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C9604D0-FF7C-43D4-8441-83C307C2F130}" xr6:coauthVersionLast="47" xr6:coauthVersionMax="47" xr10:uidLastSave="{00000000-0000-0000-0000-000000000000}"/>
  <bookViews>
    <workbookView xWindow="-110" yWindow="-110" windowWidth="19420" windowHeight="10420" firstSheet="4" activeTab="6" xr2:uid="{00000000-000D-0000-FFFF-FFFF00000000}"/>
  </bookViews>
  <sheets>
    <sheet name="WK33" sheetId="2" r:id="rId1"/>
    <sheet name="WK34" sheetId="1" r:id="rId2"/>
    <sheet name="WK35" sheetId="3" r:id="rId3"/>
    <sheet name="WK36" sheetId="5" r:id="rId4"/>
    <sheet name="WK37" sheetId="6" r:id="rId5"/>
    <sheet name="WK38" sheetId="7" r:id="rId6"/>
    <sheet name="WK39" sheetId="9" r:id="rId7"/>
    <sheet name="工作表1" sheetId="4" r:id="rId8"/>
  </sheets>
  <definedNames>
    <definedName name="_xlnm._FilterDatabase" localSheetId="0" hidden="1">'WK33'!$A$6:$GI$91</definedName>
    <definedName name="_xlnm._FilterDatabase" localSheetId="1" hidden="1">'WK34'!$A$6:$GW$83</definedName>
    <definedName name="_xlnm._FilterDatabase" localSheetId="2" hidden="1">'WK35'!$A$6:$GY$101</definedName>
    <definedName name="_xlnm._FilterDatabase" localSheetId="3" hidden="1">'WK36'!$A$6:$GJ$115</definedName>
    <definedName name="_xlnm._FilterDatabase" localSheetId="4" hidden="1">'WK37'!$A$6:$FV$120</definedName>
    <definedName name="_xlnm._FilterDatabase" localSheetId="5" hidden="1">'WK38'!$A$6:$FW$99</definedName>
    <definedName name="_xlnm._FilterDatabase" localSheetId="6" hidden="1">'WK39'!$A$6:$FU$107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T95" i="9" l="1"/>
  <c r="FT94" i="9"/>
  <c r="FT113" i="9"/>
  <c r="FT112" i="9"/>
  <c r="FF83" i="9"/>
  <c r="FF114" i="9"/>
  <c r="EX114" i="9"/>
  <c r="EV74" i="9"/>
  <c r="EV109" i="9" s="1"/>
  <c r="EV114" i="9" s="1"/>
  <c r="EV83" i="9"/>
  <c r="EV110" i="9" s="1"/>
  <c r="EV86" i="9"/>
  <c r="EV111" i="9"/>
  <c r="EU109" i="9"/>
  <c r="EU111" i="9"/>
  <c r="EL35" i="9"/>
  <c r="EL32" i="9"/>
  <c r="EL110" i="9" s="1"/>
  <c r="EL56" i="9"/>
  <c r="EL83" i="9"/>
  <c r="EL86" i="9"/>
  <c r="EK50" i="9"/>
  <c r="EK74" i="9"/>
  <c r="EK86" i="9"/>
  <c r="EK83" i="9"/>
  <c r="EK110" i="9" s="1"/>
  <c r="EK56" i="9"/>
  <c r="EK109" i="9" s="1"/>
  <c r="EK114" i="9" s="1"/>
  <c r="EK35" i="9"/>
  <c r="EK32" i="9"/>
  <c r="EL111" i="9"/>
  <c r="EK111" i="9"/>
  <c r="EH109" i="9"/>
  <c r="EH114" i="9" s="1"/>
  <c r="EH110" i="9"/>
  <c r="EH111" i="9"/>
  <c r="EB32" i="9"/>
  <c r="EB35" i="9"/>
  <c r="EB56" i="9"/>
  <c r="EB53" i="9"/>
  <c r="EB83" i="9"/>
  <c r="EB74" i="9"/>
  <c r="EB86" i="9"/>
  <c r="EB110" i="9"/>
  <c r="EA111" i="9"/>
  <c r="EA110" i="9"/>
  <c r="EA109" i="9"/>
  <c r="EA114" i="9"/>
  <c r="DZ29" i="9"/>
  <c r="DZ74" i="9"/>
  <c r="DZ50" i="9"/>
  <c r="DZ86" i="9"/>
  <c r="DZ56" i="9"/>
  <c r="DZ83" i="9"/>
  <c r="DZ53" i="9"/>
  <c r="DZ35" i="9"/>
  <c r="DZ110" i="9"/>
  <c r="DZ111" i="9"/>
  <c r="DU114" i="9"/>
  <c r="DR83" i="9"/>
  <c r="DR110" i="9"/>
  <c r="DR111" i="9"/>
  <c r="DQ97" i="9"/>
  <c r="DM114" i="9"/>
  <c r="DM97" i="9"/>
  <c r="DM32" i="9"/>
  <c r="DK74" i="9"/>
  <c r="DK86" i="9"/>
  <c r="DK56" i="9"/>
  <c r="DK35" i="9"/>
  <c r="DK110" i="9" s="1"/>
  <c r="DK53" i="9"/>
  <c r="DK109" i="9"/>
  <c r="DK111" i="9"/>
  <c r="DG32" i="9"/>
  <c r="DF83" i="9"/>
  <c r="DH114" i="9"/>
  <c r="DF114" i="9"/>
  <c r="CY50" i="9"/>
  <c r="CY109" i="9" s="1"/>
  <c r="CX50" i="9"/>
  <c r="CX56" i="9"/>
  <c r="CX74" i="9"/>
  <c r="CX86" i="9"/>
  <c r="CX32" i="9"/>
  <c r="CX29" i="9"/>
  <c r="CX111" i="9" s="1"/>
  <c r="CX53" i="9"/>
  <c r="CX59" i="9"/>
  <c r="CX83" i="9"/>
  <c r="CX97" i="9"/>
  <c r="CW50" i="9"/>
  <c r="CW109" i="9" s="1"/>
  <c r="CW74" i="9"/>
  <c r="CW83" i="9"/>
  <c r="CW110" i="9" s="1"/>
  <c r="CW56" i="9"/>
  <c r="CW86" i="9"/>
  <c r="CW29" i="9"/>
  <c r="CW53" i="9"/>
  <c r="CU32" i="9"/>
  <c r="CU29" i="9"/>
  <c r="CU111" i="9" s="1"/>
  <c r="CU53" i="9"/>
  <c r="CU83" i="9"/>
  <c r="CX109" i="9"/>
  <c r="CX110" i="9"/>
  <c r="CW111" i="9"/>
  <c r="CU110" i="9"/>
  <c r="CR114" i="9"/>
  <c r="CR83" i="9"/>
  <c r="CP50" i="9"/>
  <c r="CP56" i="9"/>
  <c r="CP86" i="9"/>
  <c r="CP29" i="9"/>
  <c r="CP111" i="9" s="1"/>
  <c r="CP32" i="9"/>
  <c r="CP53" i="9"/>
  <c r="CP59" i="9"/>
  <c r="CP83" i="9"/>
  <c r="CO86" i="9"/>
  <c r="CO74" i="9"/>
  <c r="CO50" i="9"/>
  <c r="CO109" i="9" s="1"/>
  <c r="CO29" i="9"/>
  <c r="CO111" i="9" s="1"/>
  <c r="CO32" i="9"/>
  <c r="CO53" i="9"/>
  <c r="CO56" i="9"/>
  <c r="CO83" i="9"/>
  <c r="CP74" i="9"/>
  <c r="F15" i="4"/>
  <c r="CN74" i="9"/>
  <c r="CN50" i="9"/>
  <c r="CN109" i="9" s="1"/>
  <c r="CN114" i="9" s="1"/>
  <c r="CN56" i="9"/>
  <c r="CN53" i="9"/>
  <c r="CN29" i="9"/>
  <c r="CN32" i="9"/>
  <c r="CN59" i="9"/>
  <c r="CN83" i="9"/>
  <c r="CN86" i="9"/>
  <c r="CM50" i="9"/>
  <c r="CM109" i="9" s="1"/>
  <c r="CM114" i="9" s="1"/>
  <c r="CM74" i="9"/>
  <c r="CM53" i="9"/>
  <c r="CM111" i="9" s="1"/>
  <c r="CM83" i="9"/>
  <c r="CM29" i="9"/>
  <c r="CM56" i="9"/>
  <c r="CM86" i="9"/>
  <c r="CL50" i="9"/>
  <c r="CL74" i="9"/>
  <c r="CL86" i="9"/>
  <c r="CL56" i="9"/>
  <c r="CL29" i="9"/>
  <c r="CL53" i="9"/>
  <c r="CL83" i="9"/>
  <c r="CP110" i="9"/>
  <c r="CO110" i="9"/>
  <c r="CN110" i="9"/>
  <c r="CN111" i="9"/>
  <c r="CM110" i="9"/>
  <c r="CL110" i="9"/>
  <c r="CL111" i="9"/>
  <c r="CJ114" i="9"/>
  <c r="CI114" i="9"/>
  <c r="CH29" i="9"/>
  <c r="CH50" i="9"/>
  <c r="CH74" i="9"/>
  <c r="CH86" i="9"/>
  <c r="CH32" i="9"/>
  <c r="CH110" i="9" s="1"/>
  <c r="CH59" i="9"/>
  <c r="CH83" i="9"/>
  <c r="CG86" i="9"/>
  <c r="CG56" i="9"/>
  <c r="CG59" i="9"/>
  <c r="CG74" i="9"/>
  <c r="CG29" i="9"/>
  <c r="CG111" i="9" s="1"/>
  <c r="CG32" i="9"/>
  <c r="CG110" i="9" s="1"/>
  <c r="CG53" i="9"/>
  <c r="CG83" i="9"/>
  <c r="CG97" i="9"/>
  <c r="CE74" i="9"/>
  <c r="CE50" i="9"/>
  <c r="CE86" i="9"/>
  <c r="CE56" i="9"/>
  <c r="CE29" i="9"/>
  <c r="CE111" i="9" s="1"/>
  <c r="CE83" i="9"/>
  <c r="CE53" i="9"/>
  <c r="CH111" i="9"/>
  <c r="CG109" i="9"/>
  <c r="CF109" i="9"/>
  <c r="CF110" i="9"/>
  <c r="CF111" i="9"/>
  <c r="CE109" i="9"/>
  <c r="CE114" i="9" s="1"/>
  <c r="CE110" i="9"/>
  <c r="CA50" i="9"/>
  <c r="CA56" i="9"/>
  <c r="CA74" i="9"/>
  <c r="CA109" i="9" s="1"/>
  <c r="CA86" i="9"/>
  <c r="BZ50" i="9"/>
  <c r="BZ53" i="9"/>
  <c r="BZ111" i="9" s="1"/>
  <c r="BZ56" i="9"/>
  <c r="BZ74" i="9"/>
  <c r="BZ86" i="9"/>
  <c r="CA83" i="9"/>
  <c r="CA97" i="9"/>
  <c r="CA32" i="9"/>
  <c r="CA59" i="9"/>
  <c r="CB53" i="9"/>
  <c r="CB32" i="9"/>
  <c r="CB29" i="9"/>
  <c r="CA53" i="9"/>
  <c r="CA29" i="9"/>
  <c r="BZ83" i="9"/>
  <c r="BY56" i="9"/>
  <c r="BY74" i="9"/>
  <c r="BY86" i="9"/>
  <c r="BY29" i="9"/>
  <c r="BY83" i="9"/>
  <c r="BY110" i="9" s="1"/>
  <c r="CA111" i="9"/>
  <c r="BZ109" i="9"/>
  <c r="BZ110" i="9"/>
  <c r="BY111" i="9"/>
  <c r="BU86" i="9"/>
  <c r="BV86" i="9"/>
  <c r="BV50" i="9"/>
  <c r="BV56" i="9"/>
  <c r="BV53" i="9"/>
  <c r="BV74" i="9"/>
  <c r="BV32" i="9"/>
  <c r="BV110" i="9" s="1"/>
  <c r="BV29" i="9"/>
  <c r="BV83" i="9"/>
  <c r="BU74" i="9"/>
  <c r="BU109" i="9" s="1"/>
  <c r="BU114" i="9" s="1"/>
  <c r="BU56" i="9"/>
  <c r="BU59" i="9"/>
  <c r="BU53" i="9"/>
  <c r="BU32" i="9"/>
  <c r="BU29" i="9"/>
  <c r="BU111" i="9" s="1"/>
  <c r="BU83" i="9"/>
  <c r="BU97" i="9"/>
  <c r="BV109" i="9"/>
  <c r="BV114" i="9" s="1"/>
  <c r="BV111" i="9"/>
  <c r="BU110" i="9"/>
  <c r="BT109" i="9"/>
  <c r="BT114" i="9" s="1"/>
  <c r="BT110" i="9"/>
  <c r="BT111" i="9"/>
  <c r="BP56" i="9"/>
  <c r="BP50" i="9"/>
  <c r="BP74" i="9"/>
  <c r="BP86" i="9"/>
  <c r="BP83" i="9"/>
  <c r="BP110" i="9" s="1"/>
  <c r="BP111" i="9"/>
  <c r="BK86" i="9"/>
  <c r="BK109" i="9" s="1"/>
  <c r="BK114" i="9" s="1"/>
  <c r="BK74" i="9"/>
  <c r="BJ50" i="9"/>
  <c r="BJ56" i="9"/>
  <c r="BJ86" i="9"/>
  <c r="BJ32" i="9"/>
  <c r="BJ110" i="9" s="1"/>
  <c r="BJ53" i="9"/>
  <c r="BJ111" i="9" s="1"/>
  <c r="BJ83" i="9"/>
  <c r="BJ74" i="9"/>
  <c r="BK110" i="9"/>
  <c r="BK111" i="9"/>
  <c r="BG29" i="9"/>
  <c r="BG53" i="9"/>
  <c r="FT53" i="9" s="1"/>
  <c r="BG74" i="9"/>
  <c r="BG50" i="9"/>
  <c r="BG86" i="9"/>
  <c r="BG56" i="9"/>
  <c r="BG32" i="9"/>
  <c r="BG59" i="9"/>
  <c r="BG83" i="9"/>
  <c r="BG97" i="9"/>
  <c r="BD86" i="9"/>
  <c r="BD109" i="9" s="1"/>
  <c r="BD114" i="9" s="1"/>
  <c r="BD74" i="9"/>
  <c r="BD83" i="9"/>
  <c r="BC50" i="9"/>
  <c r="BC83" i="9"/>
  <c r="BG109" i="9"/>
  <c r="BD110" i="9"/>
  <c r="BD111" i="9"/>
  <c r="BC109" i="9"/>
  <c r="BC110" i="9"/>
  <c r="BC111" i="9"/>
  <c r="BC114" i="9"/>
  <c r="AY86" i="9"/>
  <c r="AX56" i="9"/>
  <c r="AX74" i="9"/>
  <c r="AX86" i="9"/>
  <c r="AX50" i="9"/>
  <c r="AX109" i="9" s="1"/>
  <c r="AX32" i="9"/>
  <c r="AX83" i="9"/>
  <c r="AY109" i="9"/>
  <c r="AY114" i="9" s="1"/>
  <c r="AY110" i="9"/>
  <c r="AY111" i="9"/>
  <c r="AX110" i="9"/>
  <c r="AX111" i="9"/>
  <c r="AX114" i="9"/>
  <c r="AV86" i="9"/>
  <c r="AV74" i="9"/>
  <c r="AV50" i="9"/>
  <c r="AV109" i="9" s="1"/>
  <c r="AV114" i="9" s="1"/>
  <c r="AV56" i="9"/>
  <c r="AV32" i="9"/>
  <c r="AV29" i="9"/>
  <c r="AV111" i="9" s="1"/>
  <c r="AV53" i="9"/>
  <c r="AV83" i="9"/>
  <c r="AV110" i="9" s="1"/>
  <c r="AU86" i="9"/>
  <c r="AU56" i="9"/>
  <c r="AU74" i="9"/>
  <c r="AU109" i="9" s="1"/>
  <c r="AU83" i="9"/>
  <c r="AU29" i="9"/>
  <c r="AU32" i="9"/>
  <c r="AU59" i="9"/>
  <c r="AU97" i="9"/>
  <c r="AU110" i="9" s="1"/>
  <c r="AY38" i="9"/>
  <c r="FT38" i="9" s="1"/>
  <c r="AS50" i="9"/>
  <c r="AS86" i="9"/>
  <c r="AS97" i="9"/>
  <c r="AU111" i="9"/>
  <c r="AS111" i="9"/>
  <c r="AS56" i="9"/>
  <c r="AS74" i="9"/>
  <c r="AR50" i="9"/>
  <c r="AR109" i="9" s="1"/>
  <c r="AR114" i="9" s="1"/>
  <c r="AR56" i="9"/>
  <c r="AR74" i="9"/>
  <c r="AR86" i="9"/>
  <c r="AR110" i="9"/>
  <c r="AR111" i="9"/>
  <c r="AS83" i="9"/>
  <c r="AS110" i="9" s="1"/>
  <c r="AR83" i="9"/>
  <c r="AN50" i="9"/>
  <c r="AN56" i="9"/>
  <c r="AN109" i="9" s="1"/>
  <c r="AN83" i="9"/>
  <c r="AN110" i="9" s="1"/>
  <c r="AN111" i="9"/>
  <c r="X114" i="9"/>
  <c r="V83" i="9"/>
  <c r="U50" i="9"/>
  <c r="V29" i="9"/>
  <c r="V50" i="9"/>
  <c r="V109" i="9" s="1"/>
  <c r="V114" i="9" s="1"/>
  <c r="V56" i="9"/>
  <c r="V74" i="9"/>
  <c r="V86" i="9"/>
  <c r="V32" i="9"/>
  <c r="V59" i="9"/>
  <c r="V110" i="9" s="1"/>
  <c r="V53" i="9"/>
  <c r="V111" i="9"/>
  <c r="U56" i="9"/>
  <c r="U74" i="9"/>
  <c r="U86" i="9"/>
  <c r="U109" i="9"/>
  <c r="U114" i="9" s="1"/>
  <c r="U83" i="9"/>
  <c r="U110" i="9"/>
  <c r="U29" i="9"/>
  <c r="U111" i="9" s="1"/>
  <c r="U53" i="9"/>
  <c r="R86" i="9"/>
  <c r="S109" i="9"/>
  <c r="S114" i="9" s="1"/>
  <c r="S110" i="9"/>
  <c r="S111" i="9"/>
  <c r="R50" i="9"/>
  <c r="R109" i="9" s="1"/>
  <c r="R56" i="9"/>
  <c r="R74" i="9"/>
  <c r="R32" i="9"/>
  <c r="R110" i="9" s="1"/>
  <c r="R59" i="9"/>
  <c r="R83" i="9"/>
  <c r="R29" i="9"/>
  <c r="R53" i="9"/>
  <c r="R111" i="9" s="1"/>
  <c r="Q50" i="9"/>
  <c r="Q56" i="9"/>
  <c r="Q74" i="9"/>
  <c r="Q86" i="9"/>
  <c r="Q83" i="9"/>
  <c r="Q110" i="9" s="1"/>
  <c r="Q29" i="9"/>
  <c r="Q53" i="9"/>
  <c r="Q111" i="9" s="1"/>
  <c r="P86" i="9"/>
  <c r="P109" i="9" s="1"/>
  <c r="P114" i="9" s="1"/>
  <c r="P110" i="9"/>
  <c r="P111" i="9"/>
  <c r="O56" i="9"/>
  <c r="O109" i="9" s="1"/>
  <c r="O29" i="9"/>
  <c r="O53" i="9"/>
  <c r="O111" i="9" s="1"/>
  <c r="O86" i="9"/>
  <c r="O83" i="9"/>
  <c r="O74" i="9"/>
  <c r="O59" i="9"/>
  <c r="O110" i="9"/>
  <c r="O114" i="9"/>
  <c r="K50" i="9"/>
  <c r="K74" i="9"/>
  <c r="K86" i="9"/>
  <c r="L50" i="9"/>
  <c r="L56" i="9"/>
  <c r="L74" i="9"/>
  <c r="L86" i="9"/>
  <c r="L109" i="9"/>
  <c r="L32" i="9"/>
  <c r="L59" i="9"/>
  <c r="L83" i="9"/>
  <c r="L111" i="9"/>
  <c r="K56" i="9"/>
  <c r="K109" i="9"/>
  <c r="K83" i="9"/>
  <c r="K29" i="9"/>
  <c r="K111" i="9" s="1"/>
  <c r="I111" i="9"/>
  <c r="I83" i="9"/>
  <c r="I110" i="9"/>
  <c r="I50" i="9"/>
  <c r="I109" i="9" s="1"/>
  <c r="I86" i="9"/>
  <c r="H111" i="9"/>
  <c r="H50" i="9"/>
  <c r="H74" i="9"/>
  <c r="H86" i="9"/>
  <c r="H83" i="9"/>
  <c r="H110" i="9"/>
  <c r="CU7" i="9"/>
  <c r="DA7" i="9"/>
  <c r="DG7" i="9"/>
  <c r="DU7" i="9"/>
  <c r="EB7" i="9"/>
  <c r="EI7" i="9"/>
  <c r="H8" i="9"/>
  <c r="I8" i="9"/>
  <c r="J8" i="9"/>
  <c r="K8" i="9"/>
  <c r="L8" i="9"/>
  <c r="M8" i="9"/>
  <c r="N8" i="9"/>
  <c r="O8" i="9"/>
  <c r="P8" i="9"/>
  <c r="R8" i="9"/>
  <c r="S8" i="9"/>
  <c r="T8" i="9"/>
  <c r="U8" i="9"/>
  <c r="V8" i="9"/>
  <c r="W8" i="9"/>
  <c r="X8" i="9"/>
  <c r="Y8" i="9"/>
  <c r="Z8" i="9"/>
  <c r="AA8" i="9"/>
  <c r="AC8" i="9"/>
  <c r="AD8" i="9"/>
  <c r="AE8" i="9"/>
  <c r="AS8" i="9"/>
  <c r="AT8" i="9"/>
  <c r="AU8" i="9"/>
  <c r="AV8" i="9"/>
  <c r="AW8" i="9"/>
  <c r="AX8" i="9"/>
  <c r="AY8" i="9"/>
  <c r="BC8" i="9"/>
  <c r="BD8" i="9"/>
  <c r="BE8" i="9"/>
  <c r="BF8" i="9"/>
  <c r="BG8" i="9"/>
  <c r="BH8" i="9"/>
  <c r="BI8" i="9"/>
  <c r="BJ8" i="9"/>
  <c r="BK8" i="9"/>
  <c r="BO8" i="9"/>
  <c r="BP8" i="9"/>
  <c r="BQ8" i="9"/>
  <c r="BR8" i="9"/>
  <c r="BS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R8" i="9"/>
  <c r="CS8" i="9"/>
  <c r="CW8" i="9"/>
  <c r="CX8" i="9"/>
  <c r="CY8" i="9"/>
  <c r="CZ8" i="9"/>
  <c r="DC8" i="9"/>
  <c r="DD8" i="9"/>
  <c r="DE8" i="9"/>
  <c r="DF8" i="9"/>
  <c r="DH8" i="9"/>
  <c r="DK8" i="9"/>
  <c r="DO8" i="9"/>
  <c r="DQ8" i="9"/>
  <c r="DT8" i="9"/>
  <c r="DV8" i="9"/>
  <c r="DW8" i="9"/>
  <c r="DX8" i="9"/>
  <c r="DY8" i="9"/>
  <c r="DZ8" i="9"/>
  <c r="ED8" i="9"/>
  <c r="EE8" i="9"/>
  <c r="EF8" i="9"/>
  <c r="EG8" i="9"/>
  <c r="EJ8" i="9"/>
  <c r="EK8" i="9"/>
  <c r="EL8" i="9"/>
  <c r="EM8" i="9"/>
  <c r="EN8" i="9"/>
  <c r="EO8" i="9"/>
  <c r="EP8" i="9"/>
  <c r="FG8" i="9"/>
  <c r="Q9" i="9"/>
  <c r="AQ9" i="9"/>
  <c r="FT9" i="9" s="1"/>
  <c r="AR9" i="9"/>
  <c r="BT9" i="9"/>
  <c r="ER10" i="9"/>
  <c r="FT10" i="9" s="1"/>
  <c r="EU10" i="9"/>
  <c r="EX10" i="9"/>
  <c r="AL11" i="9"/>
  <c r="FT11" i="9" s="1"/>
  <c r="EQ11" i="9"/>
  <c r="ES11" i="9"/>
  <c r="ET11" i="9"/>
  <c r="EV11" i="9"/>
  <c r="EW11" i="9"/>
  <c r="EY11" i="9"/>
  <c r="EZ11" i="9"/>
  <c r="FA11" i="9"/>
  <c r="FB11" i="9"/>
  <c r="FC11" i="9"/>
  <c r="FD11" i="9"/>
  <c r="FE11" i="9"/>
  <c r="FF11" i="9"/>
  <c r="FT12" i="9"/>
  <c r="EI13" i="9"/>
  <c r="FT13" i="9"/>
  <c r="DG14" i="9"/>
  <c r="DV14" i="9"/>
  <c r="DW14" i="9"/>
  <c r="DZ14" i="9"/>
  <c r="EB14" i="9"/>
  <c r="ED14" i="9"/>
  <c r="EG14" i="9"/>
  <c r="EI14" i="9"/>
  <c r="EK14" i="9"/>
  <c r="EO14" i="9"/>
  <c r="ES14" i="9"/>
  <c r="FT15" i="9"/>
  <c r="FT16" i="9"/>
  <c r="DG17" i="9"/>
  <c r="DV17" i="9"/>
  <c r="DW17" i="9"/>
  <c r="DZ17" i="9"/>
  <c r="EB17" i="9"/>
  <c r="ED17" i="9"/>
  <c r="EG17" i="9"/>
  <c r="EI17" i="9"/>
  <c r="EK17" i="9"/>
  <c r="ES17" i="9"/>
  <c r="FT18" i="9"/>
  <c r="FT19" i="9"/>
  <c r="DG20" i="9"/>
  <c r="DV20" i="9"/>
  <c r="DZ20" i="9"/>
  <c r="EB20" i="9"/>
  <c r="EG20" i="9"/>
  <c r="EI20" i="9"/>
  <c r="EK20" i="9"/>
  <c r="ES20" i="9"/>
  <c r="FT21" i="9"/>
  <c r="FT22" i="9"/>
  <c r="H23" i="9"/>
  <c r="I23" i="9"/>
  <c r="K23" i="9"/>
  <c r="L23" i="9"/>
  <c r="N23" i="9"/>
  <c r="O23" i="9"/>
  <c r="Q23" i="9"/>
  <c r="R23" i="9"/>
  <c r="S23" i="9"/>
  <c r="T23" i="9"/>
  <c r="U23" i="9"/>
  <c r="V23" i="9"/>
  <c r="W23" i="9"/>
  <c r="AQ23" i="9"/>
  <c r="AR23" i="9"/>
  <c r="AS23" i="9"/>
  <c r="AT23" i="9"/>
  <c r="AU23" i="9"/>
  <c r="AV23" i="9"/>
  <c r="AW23" i="9"/>
  <c r="AX23" i="9"/>
  <c r="AY23" i="9"/>
  <c r="BC23" i="9"/>
  <c r="BD23" i="9"/>
  <c r="BE23" i="9"/>
  <c r="BF23" i="9"/>
  <c r="BG23" i="9"/>
  <c r="BH23" i="9"/>
  <c r="BI23" i="9"/>
  <c r="BJ23" i="9"/>
  <c r="BO23" i="9"/>
  <c r="BP23" i="9"/>
  <c r="BQ23" i="9"/>
  <c r="BR23" i="9"/>
  <c r="BS23" i="9"/>
  <c r="BU23" i="9"/>
  <c r="BV23" i="9"/>
  <c r="BW23" i="9"/>
  <c r="BX23" i="9"/>
  <c r="BY23" i="9"/>
  <c r="BZ23" i="9"/>
  <c r="CA23" i="9"/>
  <c r="CB23" i="9"/>
  <c r="CC23" i="9"/>
  <c r="CD23" i="9"/>
  <c r="CE23" i="9"/>
  <c r="CG23" i="9"/>
  <c r="CH23" i="9"/>
  <c r="CI23" i="9"/>
  <c r="CJ23" i="9"/>
  <c r="CL23" i="9"/>
  <c r="CM23" i="9"/>
  <c r="CN23" i="9"/>
  <c r="CO23" i="9"/>
  <c r="CP23" i="9"/>
  <c r="CW23" i="9"/>
  <c r="CX23" i="9"/>
  <c r="CY23" i="9"/>
  <c r="CZ23" i="9"/>
  <c r="DA23" i="9"/>
  <c r="DO23" i="9"/>
  <c r="DT23" i="9"/>
  <c r="EB23" i="9"/>
  <c r="ED23" i="9"/>
  <c r="FT24" i="9"/>
  <c r="FT25" i="9"/>
  <c r="DK26" i="9"/>
  <c r="DO26" i="9"/>
  <c r="EB26" i="9"/>
  <c r="FT26" i="9"/>
  <c r="FT27" i="9"/>
  <c r="FT28" i="9"/>
  <c r="J29" i="9"/>
  <c r="N29" i="9"/>
  <c r="T29" i="9"/>
  <c r="W29" i="9"/>
  <c r="AT29" i="9"/>
  <c r="AW29" i="9"/>
  <c r="BF29" i="9"/>
  <c r="BI29" i="9"/>
  <c r="BO29" i="9"/>
  <c r="BQ29" i="9"/>
  <c r="BR29" i="9"/>
  <c r="BS29" i="9"/>
  <c r="BW29" i="9"/>
  <c r="BX29" i="9"/>
  <c r="CC29" i="9"/>
  <c r="CI29" i="9"/>
  <c r="CJ29" i="9"/>
  <c r="CK29" i="9"/>
  <c r="CR29" i="9"/>
  <c r="CS29" i="9"/>
  <c r="CY29" i="9"/>
  <c r="CZ29" i="9"/>
  <c r="DA29" i="9"/>
  <c r="DA111" i="9" s="1"/>
  <c r="DE29" i="9"/>
  <c r="DO29" i="9"/>
  <c r="DQ29" i="9"/>
  <c r="DQ111" i="9" s="1"/>
  <c r="DV29" i="9"/>
  <c r="DW29" i="9"/>
  <c r="DX29" i="9"/>
  <c r="EB29" i="9"/>
  <c r="EB111" i="9" s="1"/>
  <c r="ED29" i="9"/>
  <c r="EE29" i="9"/>
  <c r="EF29" i="9"/>
  <c r="EG29" i="9"/>
  <c r="EI29" i="9"/>
  <c r="FT30" i="9"/>
  <c r="FT31" i="9"/>
  <c r="W32" i="9"/>
  <c r="Z32" i="9"/>
  <c r="AT32" i="9"/>
  <c r="AW32" i="9"/>
  <c r="BF32" i="9"/>
  <c r="BH32" i="9"/>
  <c r="BI32" i="9"/>
  <c r="BW32" i="9"/>
  <c r="CC32" i="9"/>
  <c r="CI32" i="9"/>
  <c r="CJ32" i="9"/>
  <c r="CR32" i="9"/>
  <c r="CT32" i="9"/>
  <c r="CY32" i="9"/>
  <c r="CY110" i="9" s="1"/>
  <c r="CZ32" i="9"/>
  <c r="DA32" i="9"/>
  <c r="DA110" i="9" s="1"/>
  <c r="DE32" i="9"/>
  <c r="DO32" i="9"/>
  <c r="DQ32" i="9"/>
  <c r="DT32" i="9"/>
  <c r="DU32" i="9"/>
  <c r="DV32" i="9"/>
  <c r="DW32" i="9"/>
  <c r="DX32" i="9"/>
  <c r="ED32" i="9"/>
  <c r="EF32" i="9"/>
  <c r="EG32" i="9"/>
  <c r="EI32" i="9"/>
  <c r="EO32" i="9"/>
  <c r="EQ32" i="9"/>
  <c r="ER32" i="9"/>
  <c r="ER110" i="9" s="1"/>
  <c r="ES32" i="9"/>
  <c r="FT33" i="9"/>
  <c r="FT34" i="9"/>
  <c r="DL35" i="9"/>
  <c r="DP35" i="9"/>
  <c r="DV35" i="9"/>
  <c r="DW35" i="9"/>
  <c r="DX35" i="9"/>
  <c r="DY35" i="9"/>
  <c r="ED35" i="9"/>
  <c r="EE35" i="9"/>
  <c r="EF35" i="9"/>
  <c r="EG35" i="9"/>
  <c r="EI35" i="9"/>
  <c r="EJ35" i="9"/>
  <c r="EO35" i="9"/>
  <c r="FT36" i="9"/>
  <c r="FT37" i="9"/>
  <c r="FT39" i="9"/>
  <c r="FT40" i="9"/>
  <c r="BU41" i="9"/>
  <c r="BW41" i="9"/>
  <c r="CA41" i="9"/>
  <c r="CC41" i="9"/>
  <c r="CD41" i="9"/>
  <c r="CG41" i="9"/>
  <c r="CI41" i="9"/>
  <c r="CJ41" i="9"/>
  <c r="CM41" i="9"/>
  <c r="CN41" i="9"/>
  <c r="CO41" i="9"/>
  <c r="CP41" i="9"/>
  <c r="CS41" i="9"/>
  <c r="CT41" i="9"/>
  <c r="CU41" i="9"/>
  <c r="CX41" i="9"/>
  <c r="CZ41" i="9"/>
  <c r="DA41" i="9"/>
  <c r="DO41" i="9"/>
  <c r="DV41" i="9"/>
  <c r="DZ41" i="9"/>
  <c r="EB41" i="9"/>
  <c r="EK41" i="9"/>
  <c r="FT42" i="9"/>
  <c r="FT43" i="9"/>
  <c r="BX44" i="9"/>
  <c r="CA44" i="9"/>
  <c r="CM44" i="9"/>
  <c r="CO44" i="9"/>
  <c r="CW44" i="9"/>
  <c r="DW44" i="9"/>
  <c r="FT45" i="9"/>
  <c r="FT46" i="9"/>
  <c r="L47" i="9"/>
  <c r="Y47" i="9"/>
  <c r="Z47" i="9"/>
  <c r="AL47" i="9"/>
  <c r="AT47" i="9"/>
  <c r="AU47" i="9"/>
  <c r="BE47" i="9"/>
  <c r="BF47" i="9"/>
  <c r="BG47" i="9"/>
  <c r="BU47" i="9"/>
  <c r="BV47" i="9"/>
  <c r="BZ47" i="9"/>
  <c r="CA47" i="9"/>
  <c r="CB47" i="9"/>
  <c r="CD47" i="9"/>
  <c r="CG47" i="9"/>
  <c r="CH47" i="9"/>
  <c r="CJ47" i="9"/>
  <c r="CM47" i="9"/>
  <c r="CN47" i="9"/>
  <c r="CP47" i="9"/>
  <c r="CW47" i="9"/>
  <c r="CX47" i="9"/>
  <c r="CY47" i="9"/>
  <c r="CZ47" i="9"/>
  <c r="DA47" i="9"/>
  <c r="DO47" i="9"/>
  <c r="DQ47" i="9"/>
  <c r="DV47" i="9"/>
  <c r="DW47" i="9"/>
  <c r="DZ47" i="9"/>
  <c r="EB47" i="9"/>
  <c r="ED47" i="9"/>
  <c r="EF47" i="9"/>
  <c r="EG47" i="9"/>
  <c r="EI47" i="9"/>
  <c r="ES47" i="9"/>
  <c r="FT48" i="9"/>
  <c r="FT49" i="9"/>
  <c r="J50" i="9"/>
  <c r="N50" i="9"/>
  <c r="T50" i="9"/>
  <c r="W50" i="9"/>
  <c r="AC50" i="9"/>
  <c r="AD50" i="9"/>
  <c r="AE50" i="9"/>
  <c r="AL50" i="9"/>
  <c r="AM50" i="9"/>
  <c r="AQ50" i="9"/>
  <c r="AT50" i="9"/>
  <c r="AW50" i="9"/>
  <c r="BE50" i="9"/>
  <c r="BF50" i="9"/>
  <c r="BH50" i="9"/>
  <c r="BI50" i="9"/>
  <c r="BO50" i="9"/>
  <c r="BQ50" i="9"/>
  <c r="BR50" i="9"/>
  <c r="BT50" i="9"/>
  <c r="BW50" i="9"/>
  <c r="BX50" i="9"/>
  <c r="BY50" i="9"/>
  <c r="CB50" i="9"/>
  <c r="CC50" i="9"/>
  <c r="CD50" i="9"/>
  <c r="CI50" i="9"/>
  <c r="CJ50" i="9"/>
  <c r="CK50" i="9"/>
  <c r="CR50" i="9"/>
  <c r="CU50" i="9"/>
  <c r="CU109" i="9" s="1"/>
  <c r="CU114" i="9" s="1"/>
  <c r="CZ50" i="9"/>
  <c r="DA50" i="9"/>
  <c r="DE50" i="9"/>
  <c r="DF50" i="9"/>
  <c r="DK50" i="9"/>
  <c r="DN50" i="9"/>
  <c r="DO50" i="9"/>
  <c r="DP50" i="9"/>
  <c r="DQ50" i="9"/>
  <c r="DQ109" i="9" s="1"/>
  <c r="DR50" i="9"/>
  <c r="DR109" i="9" s="1"/>
  <c r="DR114" i="9" s="1"/>
  <c r="DT50" i="9"/>
  <c r="DU50" i="9"/>
  <c r="DV50" i="9"/>
  <c r="DW50" i="9"/>
  <c r="DX50" i="9"/>
  <c r="EB50" i="9"/>
  <c r="EB109" i="9" s="1"/>
  <c r="ED50" i="9"/>
  <c r="EF50" i="9"/>
  <c r="EG50" i="9"/>
  <c r="EI50" i="9"/>
  <c r="EL50" i="9"/>
  <c r="EL109" i="9" s="1"/>
  <c r="EM50" i="9"/>
  <c r="EN50" i="9"/>
  <c r="EO50" i="9"/>
  <c r="EP50" i="9"/>
  <c r="EQ50" i="9"/>
  <c r="ER50" i="9"/>
  <c r="ER109" i="9" s="1"/>
  <c r="ES50" i="9"/>
  <c r="FT51" i="9"/>
  <c r="FT52" i="9"/>
  <c r="W53" i="9"/>
  <c r="BH53" i="9"/>
  <c r="BQ53" i="9"/>
  <c r="BR53" i="9"/>
  <c r="BX53" i="9"/>
  <c r="CC53" i="9"/>
  <c r="CI53" i="9"/>
  <c r="CJ53" i="9"/>
  <c r="CY53" i="9"/>
  <c r="CY111" i="9" s="1"/>
  <c r="CZ53" i="9"/>
  <c r="DE53" i="9"/>
  <c r="DG53" i="9"/>
  <c r="DG111" i="9" s="1"/>
  <c r="DO53" i="9"/>
  <c r="DQ53" i="9"/>
  <c r="DT53" i="9"/>
  <c r="DV53" i="9"/>
  <c r="DW53" i="9"/>
  <c r="DX53" i="9"/>
  <c r="DY53" i="9"/>
  <c r="ED53" i="9"/>
  <c r="EI53" i="9"/>
  <c r="EQ53" i="9"/>
  <c r="ER53" i="9"/>
  <c r="ER111" i="9" s="1"/>
  <c r="ES53" i="9"/>
  <c r="FT54" i="9"/>
  <c r="FT55" i="9"/>
  <c r="J56" i="9"/>
  <c r="N56" i="9"/>
  <c r="T56" i="9"/>
  <c r="W56" i="9"/>
  <c r="AQ56" i="9"/>
  <c r="AT56" i="9"/>
  <c r="AW56" i="9"/>
  <c r="BE56" i="9"/>
  <c r="BF56" i="9"/>
  <c r="BH56" i="9"/>
  <c r="BI56" i="9"/>
  <c r="BO56" i="9"/>
  <c r="BQ56" i="9"/>
  <c r="BR56" i="9"/>
  <c r="BT56" i="9"/>
  <c r="BX56" i="9"/>
  <c r="CC56" i="9"/>
  <c r="CD56" i="9"/>
  <c r="CI56" i="9"/>
  <c r="CU56" i="9"/>
  <c r="CY56" i="9"/>
  <c r="CZ56" i="9"/>
  <c r="DA56" i="9"/>
  <c r="DG56" i="9"/>
  <c r="DG109" i="9" s="1"/>
  <c r="DO56" i="9"/>
  <c r="DQ56" i="9"/>
  <c r="DT56" i="9"/>
  <c r="DV56" i="9"/>
  <c r="DW56" i="9"/>
  <c r="ED56" i="9"/>
  <c r="EI56" i="9"/>
  <c r="EM56" i="9"/>
  <c r="EQ56" i="9"/>
  <c r="ER56" i="9"/>
  <c r="ES56" i="9"/>
  <c r="EU56" i="9"/>
  <c r="FT57" i="9"/>
  <c r="FT58" i="9"/>
  <c r="N59" i="9"/>
  <c r="T59" i="9"/>
  <c r="W59" i="9"/>
  <c r="Y59" i="9"/>
  <c r="Z59" i="9"/>
  <c r="AA59" i="9"/>
  <c r="BI59" i="9"/>
  <c r="CC59" i="9"/>
  <c r="CI59" i="9"/>
  <c r="CJ59" i="9"/>
  <c r="CR59" i="9"/>
  <c r="DE59" i="9"/>
  <c r="DO59" i="9"/>
  <c r="EQ59" i="9"/>
  <c r="FT59" i="9"/>
  <c r="FT60" i="9"/>
  <c r="FT61" i="9"/>
  <c r="H62" i="9"/>
  <c r="J62" i="9"/>
  <c r="K62" i="9"/>
  <c r="L62" i="9"/>
  <c r="M62" i="9"/>
  <c r="N62" i="9"/>
  <c r="O62" i="9"/>
  <c r="Q62" i="9"/>
  <c r="R62" i="9"/>
  <c r="S62" i="9"/>
  <c r="T62" i="9"/>
  <c r="U62" i="9"/>
  <c r="V62" i="9"/>
  <c r="W62" i="9"/>
  <c r="Y62" i="9"/>
  <c r="Z62" i="9"/>
  <c r="AS62" i="9"/>
  <c r="AU62" i="9"/>
  <c r="AV62" i="9"/>
  <c r="AX62" i="9"/>
  <c r="BI62" i="9"/>
  <c r="BJ62" i="9"/>
  <c r="BQ62" i="9"/>
  <c r="BR62" i="9"/>
  <c r="BU62" i="9"/>
  <c r="BV62" i="9"/>
  <c r="BW62" i="9"/>
  <c r="BX62" i="9"/>
  <c r="BY62" i="9"/>
  <c r="BZ62" i="9"/>
  <c r="CA62" i="9"/>
  <c r="CB62" i="9"/>
  <c r="CC62" i="9"/>
  <c r="CD62" i="9"/>
  <c r="CG62" i="9"/>
  <c r="CH62" i="9"/>
  <c r="CI62" i="9"/>
  <c r="CJ62" i="9"/>
  <c r="CK62" i="9"/>
  <c r="CM62" i="9"/>
  <c r="CN62" i="9"/>
  <c r="CO62" i="9"/>
  <c r="CP62" i="9"/>
  <c r="CR62" i="9"/>
  <c r="CU62" i="9"/>
  <c r="CW62" i="9"/>
  <c r="CX62" i="9"/>
  <c r="CY62" i="9"/>
  <c r="CZ62" i="9"/>
  <c r="DA62" i="9"/>
  <c r="DG62" i="9"/>
  <c r="DK62" i="9"/>
  <c r="DM62" i="9"/>
  <c r="DO62" i="9"/>
  <c r="DQ62" i="9"/>
  <c r="DT62" i="9"/>
  <c r="DU62" i="9"/>
  <c r="DV62" i="9"/>
  <c r="DX62" i="9"/>
  <c r="ED62" i="9"/>
  <c r="EF62" i="9"/>
  <c r="EG62" i="9"/>
  <c r="EI62" i="9"/>
  <c r="EK62" i="9"/>
  <c r="EM62" i="9"/>
  <c r="EO62" i="9"/>
  <c r="EP62" i="9"/>
  <c r="EQ62" i="9"/>
  <c r="EW62" i="9"/>
  <c r="FE62" i="9"/>
  <c r="FT63" i="9"/>
  <c r="FT64" i="9"/>
  <c r="DW65" i="9"/>
  <c r="DZ65" i="9"/>
  <c r="EB65" i="9"/>
  <c r="ED65" i="9"/>
  <c r="EF65" i="9"/>
  <c r="EP65" i="9"/>
  <c r="EQ65" i="9"/>
  <c r="ER65" i="9"/>
  <c r="ET65" i="9"/>
  <c r="FE65" i="9"/>
  <c r="FT66" i="9"/>
  <c r="FT67" i="9"/>
  <c r="CM68" i="9"/>
  <c r="CN68" i="9"/>
  <c r="CO68" i="9"/>
  <c r="CP68" i="9"/>
  <c r="CS68" i="9"/>
  <c r="CT68" i="9"/>
  <c r="CU68" i="9"/>
  <c r="CX68" i="9"/>
  <c r="CZ68" i="9"/>
  <c r="DA68" i="9"/>
  <c r="FT69" i="9"/>
  <c r="FT70" i="9"/>
  <c r="AS71" i="9"/>
  <c r="AT71" i="9"/>
  <c r="AU71" i="9"/>
  <c r="AW71" i="9"/>
  <c r="BE71" i="9"/>
  <c r="BF71" i="9"/>
  <c r="BG71" i="9"/>
  <c r="BH71" i="9"/>
  <c r="BQ71" i="9"/>
  <c r="BR71" i="9"/>
  <c r="BU71" i="9"/>
  <c r="BV71" i="9"/>
  <c r="BW71" i="9"/>
  <c r="BZ71" i="9"/>
  <c r="CA71" i="9"/>
  <c r="CB71" i="9"/>
  <c r="CC71" i="9"/>
  <c r="CE71" i="9"/>
  <c r="CG71" i="9"/>
  <c r="CH71" i="9"/>
  <c r="CI71" i="9"/>
  <c r="CK71" i="9"/>
  <c r="CM71" i="9"/>
  <c r="CN71" i="9"/>
  <c r="CO71" i="9"/>
  <c r="CP71" i="9"/>
  <c r="CW71" i="9"/>
  <c r="CX71" i="9"/>
  <c r="CY71" i="9"/>
  <c r="CZ71" i="9"/>
  <c r="DK71" i="9"/>
  <c r="DO71" i="9"/>
  <c r="DQ71" i="9"/>
  <c r="DT71" i="9"/>
  <c r="DU71" i="9"/>
  <c r="DV71" i="9"/>
  <c r="DW71" i="9"/>
  <c r="DX71" i="9"/>
  <c r="DZ71" i="9"/>
  <c r="ED71" i="9"/>
  <c r="EF71" i="9"/>
  <c r="EG71" i="9"/>
  <c r="EI71" i="9"/>
  <c r="EK71" i="9"/>
  <c r="EL71" i="9"/>
  <c r="FT72" i="9"/>
  <c r="FT73" i="9"/>
  <c r="J74" i="9"/>
  <c r="N74" i="9"/>
  <c r="T74" i="9"/>
  <c r="W74" i="9"/>
  <c r="AL74" i="9"/>
  <c r="AM74" i="9"/>
  <c r="AQ74" i="9"/>
  <c r="AT74" i="9"/>
  <c r="AW74" i="9"/>
  <c r="BC74" i="9"/>
  <c r="BE74" i="9"/>
  <c r="BF74" i="9"/>
  <c r="BI74" i="9"/>
  <c r="BO74" i="9"/>
  <c r="BQ74" i="9"/>
  <c r="BR74" i="9"/>
  <c r="BT74" i="9"/>
  <c r="BW74" i="9"/>
  <c r="BX74" i="9"/>
  <c r="CB74" i="9"/>
  <c r="CC74" i="9"/>
  <c r="CD74" i="9"/>
  <c r="CI74" i="9"/>
  <c r="CJ74" i="9"/>
  <c r="CK74" i="9"/>
  <c r="CR74" i="9"/>
  <c r="CU74" i="9"/>
  <c r="CY74" i="9"/>
  <c r="CZ74" i="9"/>
  <c r="DA74" i="9"/>
  <c r="DE74" i="9"/>
  <c r="DO74" i="9"/>
  <c r="DQ74" i="9"/>
  <c r="DR74" i="9"/>
  <c r="DT74" i="9"/>
  <c r="DU74" i="9"/>
  <c r="DV74" i="9"/>
  <c r="DW74" i="9"/>
  <c r="DX74" i="9"/>
  <c r="ED74" i="9"/>
  <c r="EF74" i="9"/>
  <c r="EG74" i="9"/>
  <c r="EI74" i="9"/>
  <c r="EL74" i="9"/>
  <c r="EM74" i="9"/>
  <c r="EN74" i="9"/>
  <c r="EO74" i="9"/>
  <c r="EP74" i="9"/>
  <c r="EQ74" i="9"/>
  <c r="ER74" i="9"/>
  <c r="ES74" i="9"/>
  <c r="EU74" i="9"/>
  <c r="EW74" i="9"/>
  <c r="EX74" i="9"/>
  <c r="EY74" i="9"/>
  <c r="FB74" i="9"/>
  <c r="FE74" i="9"/>
  <c r="FF74" i="9"/>
  <c r="FT75" i="9"/>
  <c r="FT76" i="9"/>
  <c r="CA77" i="9"/>
  <c r="FT77" i="9" s="1"/>
  <c r="FT78" i="9"/>
  <c r="FT79" i="9"/>
  <c r="AU80" i="9"/>
  <c r="BU80" i="9"/>
  <c r="BV80" i="9"/>
  <c r="BW80" i="9"/>
  <c r="CA80" i="9"/>
  <c r="CB80" i="9"/>
  <c r="CC80" i="9"/>
  <c r="CD80" i="9"/>
  <c r="CG80" i="9"/>
  <c r="CH80" i="9"/>
  <c r="CI80" i="9"/>
  <c r="CN80" i="9"/>
  <c r="CO80" i="9"/>
  <c r="CP80" i="9"/>
  <c r="CX80" i="9"/>
  <c r="CY80" i="9"/>
  <c r="CZ80" i="9"/>
  <c r="DO80" i="9"/>
  <c r="DQ80" i="9"/>
  <c r="DV80" i="9"/>
  <c r="DZ80" i="9"/>
  <c r="EB80" i="9"/>
  <c r="EQ80" i="9"/>
  <c r="FT81" i="9"/>
  <c r="FT82" i="9"/>
  <c r="J83" i="9"/>
  <c r="N83" i="9"/>
  <c r="T83" i="9"/>
  <c r="W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M83" i="9"/>
  <c r="AQ83" i="9"/>
  <c r="AT83" i="9"/>
  <c r="AW83" i="9"/>
  <c r="BE83" i="9"/>
  <c r="BF83" i="9"/>
  <c r="BH83" i="9"/>
  <c r="BI83" i="9"/>
  <c r="BO83" i="9"/>
  <c r="BQ83" i="9"/>
  <c r="BR83" i="9"/>
  <c r="BW83" i="9"/>
  <c r="BX83" i="9"/>
  <c r="CB83" i="9"/>
  <c r="CC83" i="9"/>
  <c r="CD83" i="9"/>
  <c r="CI83" i="9"/>
  <c r="CJ83" i="9"/>
  <c r="CK83" i="9"/>
  <c r="CS83" i="9"/>
  <c r="CT83" i="9"/>
  <c r="CY83" i="9"/>
  <c r="CZ83" i="9"/>
  <c r="DA83" i="9"/>
  <c r="DD83" i="9"/>
  <c r="DE83" i="9"/>
  <c r="DG83" i="9"/>
  <c r="DG110" i="9" s="1"/>
  <c r="DI83" i="9"/>
  <c r="DJ83" i="9"/>
  <c r="DL83" i="9"/>
  <c r="DN83" i="9"/>
  <c r="DO83" i="9"/>
  <c r="DP83" i="9"/>
  <c r="DQ83" i="9"/>
  <c r="DT83" i="9"/>
  <c r="DU83" i="9"/>
  <c r="DV83" i="9"/>
  <c r="DW83" i="9"/>
  <c r="DX83" i="9"/>
  <c r="DY83" i="9"/>
  <c r="ED83" i="9"/>
  <c r="EF83" i="9"/>
  <c r="EG83" i="9"/>
  <c r="EI83" i="9"/>
  <c r="EJ83" i="9"/>
  <c r="EM83" i="9"/>
  <c r="EP83" i="9"/>
  <c r="EQ83" i="9"/>
  <c r="ER83" i="9"/>
  <c r="ES83" i="9"/>
  <c r="EU83" i="9"/>
  <c r="EU110" i="9" s="1"/>
  <c r="EW83" i="9"/>
  <c r="EY83" i="9"/>
  <c r="FB83" i="9"/>
  <c r="FD83" i="9"/>
  <c r="FT84" i="9"/>
  <c r="FT85" i="9"/>
  <c r="J86" i="9"/>
  <c r="M86" i="9"/>
  <c r="N86" i="9"/>
  <c r="T86" i="9"/>
  <c r="W86" i="9"/>
  <c r="AQ86" i="9"/>
  <c r="AT86" i="9"/>
  <c r="AW86" i="9"/>
  <c r="BA86" i="9"/>
  <c r="BC86" i="9"/>
  <c r="BE86" i="9"/>
  <c r="BF86" i="9"/>
  <c r="BH86" i="9"/>
  <c r="BI86" i="9"/>
  <c r="BO86" i="9"/>
  <c r="BQ86" i="9"/>
  <c r="BR86" i="9"/>
  <c r="BT86" i="9"/>
  <c r="BW86" i="9"/>
  <c r="BX86" i="9"/>
  <c r="CB86" i="9"/>
  <c r="CC86" i="9"/>
  <c r="CD86" i="9"/>
  <c r="CI86" i="9"/>
  <c r="CJ86" i="9"/>
  <c r="CK86" i="9"/>
  <c r="CR86" i="9"/>
  <c r="CS86" i="9"/>
  <c r="CT86" i="9"/>
  <c r="CU86" i="9"/>
  <c r="CY86" i="9"/>
  <c r="CZ86" i="9"/>
  <c r="DA86" i="9"/>
  <c r="DM86" i="9"/>
  <c r="DO86" i="9"/>
  <c r="DQ86" i="9"/>
  <c r="DT86" i="9"/>
  <c r="DU86" i="9"/>
  <c r="DV86" i="9"/>
  <c r="DW86" i="9"/>
  <c r="DX86" i="9"/>
  <c r="ED86" i="9"/>
  <c r="EF86" i="9"/>
  <c r="EG86" i="9"/>
  <c r="EI86" i="9"/>
  <c r="EM86" i="9"/>
  <c r="EN86" i="9"/>
  <c r="EO86" i="9"/>
  <c r="EP86" i="9"/>
  <c r="EQ86" i="9"/>
  <c r="ER86" i="9"/>
  <c r="ES86" i="9"/>
  <c r="EU86" i="9"/>
  <c r="EW86" i="9"/>
  <c r="FB86" i="9"/>
  <c r="FC86" i="9"/>
  <c r="FD86" i="9"/>
  <c r="FE86" i="9"/>
  <c r="FF86" i="9"/>
  <c r="FT87" i="9"/>
  <c r="FT88" i="9"/>
  <c r="H89" i="9"/>
  <c r="I89" i="9"/>
  <c r="L89" i="9"/>
  <c r="V89" i="9"/>
  <c r="W89" i="9"/>
  <c r="AS89" i="9"/>
  <c r="AT89" i="9"/>
  <c r="AU89" i="9"/>
  <c r="AV89" i="9"/>
  <c r="BJ89" i="9"/>
  <c r="BQ89" i="9"/>
  <c r="BR89" i="9"/>
  <c r="BU89" i="9"/>
  <c r="BV89" i="9"/>
  <c r="BX89" i="9"/>
  <c r="BZ89" i="9"/>
  <c r="CA89" i="9"/>
  <c r="CB89" i="9"/>
  <c r="CC89" i="9"/>
  <c r="CE89" i="9"/>
  <c r="CG89" i="9"/>
  <c r="CI89" i="9"/>
  <c r="CJ89" i="9"/>
  <c r="CM89" i="9"/>
  <c r="CN89" i="9"/>
  <c r="CO89" i="9"/>
  <c r="CP89" i="9"/>
  <c r="CW89" i="9"/>
  <c r="CX89" i="9"/>
  <c r="CY89" i="9"/>
  <c r="CZ89" i="9"/>
  <c r="FT89" i="9"/>
  <c r="FT90" i="9"/>
  <c r="FT91" i="9"/>
  <c r="DK92" i="9"/>
  <c r="DW92" i="9"/>
  <c r="EB92" i="9"/>
  <c r="ED92" i="9"/>
  <c r="EQ92" i="9"/>
  <c r="EU92" i="9"/>
  <c r="FT92" i="9" s="1"/>
  <c r="FE92" i="9"/>
  <c r="FT93" i="9"/>
  <c r="FT96" i="9"/>
  <c r="Z97" i="9"/>
  <c r="AW97" i="9"/>
  <c r="BI97" i="9"/>
  <c r="BQ97" i="9"/>
  <c r="CC97" i="9"/>
  <c r="CI97" i="9"/>
  <c r="CS97" i="9"/>
  <c r="CZ97" i="9"/>
  <c r="DO97" i="9"/>
  <c r="DP97" i="9"/>
  <c r="DV97" i="9"/>
  <c r="DW97" i="9"/>
  <c r="FT98" i="9"/>
  <c r="FT99" i="9"/>
  <c r="BX100" i="9"/>
  <c r="CD100" i="9"/>
  <c r="FT100" i="9" s="1"/>
  <c r="CJ100" i="9"/>
  <c r="CU100" i="9"/>
  <c r="CX100" i="9"/>
  <c r="CY100" i="9"/>
  <c r="CZ100" i="9"/>
  <c r="DV100" i="9"/>
  <c r="DZ100" i="9"/>
  <c r="EF100" i="9"/>
  <c r="EG100" i="9"/>
  <c r="EK100" i="9"/>
  <c r="EO100" i="9"/>
  <c r="FT101" i="9"/>
  <c r="FT102" i="9"/>
  <c r="AU103" i="9"/>
  <c r="BG103" i="9"/>
  <c r="BU103" i="9"/>
  <c r="CA103" i="9"/>
  <c r="CN103" i="9"/>
  <c r="FT103" i="9" s="1"/>
  <c r="DW103" i="9"/>
  <c r="EK103" i="9"/>
  <c r="FT104" i="9"/>
  <c r="FT105" i="9"/>
  <c r="FT107" i="9"/>
  <c r="F8" i="4"/>
  <c r="CM103" i="7"/>
  <c r="AD44" i="7"/>
  <c r="FV97" i="7"/>
  <c r="FV105" i="7"/>
  <c r="FV104" i="7"/>
  <c r="FE103" i="7"/>
  <c r="FE106" i="7" s="1"/>
  <c r="FD103" i="7"/>
  <c r="FE102" i="7"/>
  <c r="FE101" i="7"/>
  <c r="FD101" i="7"/>
  <c r="FB103" i="7"/>
  <c r="FB102" i="7"/>
  <c r="EZ103" i="7"/>
  <c r="EY103" i="7"/>
  <c r="EZ102" i="7"/>
  <c r="EP53" i="7"/>
  <c r="EP38" i="7"/>
  <c r="EP102" i="7"/>
  <c r="EP50" i="7"/>
  <c r="EP71" i="7"/>
  <c r="EP68" i="7"/>
  <c r="EP77" i="7"/>
  <c r="EP103" i="7"/>
  <c r="EO103" i="7"/>
  <c r="EM102" i="7"/>
  <c r="EA68" i="7"/>
  <c r="EA44" i="7"/>
  <c r="EA101" i="7" s="1"/>
  <c r="EA106" i="7" s="1"/>
  <c r="EA86" i="7"/>
  <c r="EA53" i="7"/>
  <c r="EA102" i="7" s="1"/>
  <c r="EA47" i="7"/>
  <c r="EA103" i="7" s="1"/>
  <c r="DX103" i="7"/>
  <c r="DW44" i="7"/>
  <c r="DW50" i="7"/>
  <c r="DW101" i="7" s="1"/>
  <c r="DW106" i="7" s="1"/>
  <c r="DW68" i="7"/>
  <c r="DW71" i="7"/>
  <c r="DW86" i="7"/>
  <c r="DW47" i="7"/>
  <c r="DW53" i="7"/>
  <c r="DW77" i="7"/>
  <c r="DW102" i="7" s="1"/>
  <c r="DU103" i="7"/>
  <c r="DW103" i="7"/>
  <c r="DR103" i="7"/>
  <c r="DR102" i="7"/>
  <c r="DN103" i="7"/>
  <c r="DN102" i="7"/>
  <c r="DN101" i="7"/>
  <c r="DN106" i="7"/>
  <c r="DL38" i="7"/>
  <c r="DL102" i="7" s="1"/>
  <c r="DL44" i="7"/>
  <c r="DL101" i="7" s="1"/>
  <c r="DL106" i="7" s="1"/>
  <c r="DL53" i="7"/>
  <c r="DL77" i="7"/>
  <c r="DL103" i="7"/>
  <c r="DJ38" i="7"/>
  <c r="DJ44" i="7"/>
  <c r="DJ47" i="7"/>
  <c r="DJ103" i="7" s="1"/>
  <c r="DJ50" i="7"/>
  <c r="DJ53" i="7"/>
  <c r="DJ68" i="7"/>
  <c r="DJ71" i="7"/>
  <c r="DJ77" i="7"/>
  <c r="DJ86" i="7"/>
  <c r="DG68" i="7"/>
  <c r="DG44" i="7"/>
  <c r="DG50" i="7"/>
  <c r="DG71" i="7"/>
  <c r="DG86" i="7"/>
  <c r="DG53" i="7"/>
  <c r="DG38" i="7"/>
  <c r="DG47" i="7"/>
  <c r="DG103" i="7" s="1"/>
  <c r="DG77" i="7"/>
  <c r="DG102" i="7" s="1"/>
  <c r="DD68" i="7"/>
  <c r="DD101" i="7"/>
  <c r="DD106" i="7" s="1"/>
  <c r="DD38" i="7"/>
  <c r="DD47" i="7"/>
  <c r="DD103" i="7"/>
  <c r="DD77" i="7"/>
  <c r="DD102" i="7"/>
  <c r="DH103" i="7"/>
  <c r="DA86" i="7"/>
  <c r="CZ68" i="7"/>
  <c r="E15" i="4"/>
  <c r="CZ53" i="7"/>
  <c r="CZ102" i="7" s="1"/>
  <c r="CZ38" i="7"/>
  <c r="CZ47" i="7"/>
  <c r="CZ103" i="7" s="1"/>
  <c r="CZ71" i="7"/>
  <c r="CZ77" i="7"/>
  <c r="CY86" i="7"/>
  <c r="CY68" i="7"/>
  <c r="CY44" i="7"/>
  <c r="CY101" i="7" s="1"/>
  <c r="CY106" i="7" s="1"/>
  <c r="CY38" i="7"/>
  <c r="CY50" i="7"/>
  <c r="CY47" i="7"/>
  <c r="CY53" i="7"/>
  <c r="CY71" i="7"/>
  <c r="CY77" i="7"/>
  <c r="CW86" i="7"/>
  <c r="CW50" i="7"/>
  <c r="CW38" i="7"/>
  <c r="CW102" i="7"/>
  <c r="CW77" i="7"/>
  <c r="CW68" i="7"/>
  <c r="CW53" i="7"/>
  <c r="CW47" i="7"/>
  <c r="CW103" i="7"/>
  <c r="CW44" i="7"/>
  <c r="CW101" i="7" s="1"/>
  <c r="CW106" i="7" s="1"/>
  <c r="CW71" i="7"/>
  <c r="CV44" i="7"/>
  <c r="CV86" i="7"/>
  <c r="CV68" i="7"/>
  <c r="CV47" i="7"/>
  <c r="CV50" i="7"/>
  <c r="CV53" i="7"/>
  <c r="CV102" i="7" s="1"/>
  <c r="CV71" i="7"/>
  <c r="CU68" i="7"/>
  <c r="CU44" i="7"/>
  <c r="CU50" i="7"/>
  <c r="CU101" i="7" s="1"/>
  <c r="CU86" i="7"/>
  <c r="CU77" i="7"/>
  <c r="CU38" i="7"/>
  <c r="CU102" i="7" s="1"/>
  <c r="CU47" i="7"/>
  <c r="CU103" i="7" s="1"/>
  <c r="CU53" i="7"/>
  <c r="CT53" i="7"/>
  <c r="DA103" i="7"/>
  <c r="CY103" i="7"/>
  <c r="CX103" i="7"/>
  <c r="CX102" i="7"/>
  <c r="CX101" i="7"/>
  <c r="CS86" i="7"/>
  <c r="CR86" i="7"/>
  <c r="CV103" i="7"/>
  <c r="CP44" i="7"/>
  <c r="CP71" i="7"/>
  <c r="CP101" i="7" s="1"/>
  <c r="CP53" i="7"/>
  <c r="CP38" i="7"/>
  <c r="CP77" i="7"/>
  <c r="CO44" i="7"/>
  <c r="CO38" i="7"/>
  <c r="CO102" i="7" s="1"/>
  <c r="CO47" i="7"/>
  <c r="CO103" i="7"/>
  <c r="CO50" i="7"/>
  <c r="CO101" i="7" s="1"/>
  <c r="CO106" i="7" s="1"/>
  <c r="CO53" i="7"/>
  <c r="CO68" i="7"/>
  <c r="CO71" i="7"/>
  <c r="CO86" i="7"/>
  <c r="CN44" i="7"/>
  <c r="CN38" i="7"/>
  <c r="CN53" i="7"/>
  <c r="CN102" i="7" s="1"/>
  <c r="CN68" i="7"/>
  <c r="CN101" i="7" s="1"/>
  <c r="CN106" i="7" s="1"/>
  <c r="CN47" i="7"/>
  <c r="CN50" i="7"/>
  <c r="CN71" i="7"/>
  <c r="CN86" i="7"/>
  <c r="CN77" i="7"/>
  <c r="CP103" i="7"/>
  <c r="CN103" i="7"/>
  <c r="CJ44" i="7"/>
  <c r="CJ101" i="7" s="1"/>
  <c r="CJ47" i="7"/>
  <c r="CJ38" i="7"/>
  <c r="CJ103" i="7"/>
  <c r="CJ50" i="7"/>
  <c r="CJ53" i="7"/>
  <c r="CJ68" i="7"/>
  <c r="CJ71" i="7"/>
  <c r="CJ77" i="7"/>
  <c r="CJ102" i="7" s="1"/>
  <c r="CJ86" i="7"/>
  <c r="CI86" i="7"/>
  <c r="CI68" i="7"/>
  <c r="CI77" i="7"/>
  <c r="CI44" i="7"/>
  <c r="CI101" i="7" s="1"/>
  <c r="CI38" i="7"/>
  <c r="CI47" i="7"/>
  <c r="CI103" i="7"/>
  <c r="CI50" i="7"/>
  <c r="CI53" i="7"/>
  <c r="CI71" i="7"/>
  <c r="CH68" i="7"/>
  <c r="CH53" i="7"/>
  <c r="CH50" i="7"/>
  <c r="CH102" i="7"/>
  <c r="CH86" i="7"/>
  <c r="CH103" i="7"/>
  <c r="CC103" i="7"/>
  <c r="CC102" i="7"/>
  <c r="CC101" i="7"/>
  <c r="CC106" i="7" s="1"/>
  <c r="CB71" i="7"/>
  <c r="CB50" i="7"/>
  <c r="CB68" i="7"/>
  <c r="CB86" i="7"/>
  <c r="CB47" i="7"/>
  <c r="CB103" i="7" s="1"/>
  <c r="CB53" i="7"/>
  <c r="CB77" i="7"/>
  <c r="CB102" i="7" s="1"/>
  <c r="CB38" i="7"/>
  <c r="BX44" i="7"/>
  <c r="BX101" i="7" s="1"/>
  <c r="BX53" i="7"/>
  <c r="BX102" i="7" s="1"/>
  <c r="BX47" i="7"/>
  <c r="BX103" i="7" s="1"/>
  <c r="BX50" i="7"/>
  <c r="BX68" i="7"/>
  <c r="BX71" i="7"/>
  <c r="BX86" i="7"/>
  <c r="BV103" i="7"/>
  <c r="BV102" i="7"/>
  <c r="BV101" i="7"/>
  <c r="BV106" i="7" s="1"/>
  <c r="BS44" i="7"/>
  <c r="BS86" i="7"/>
  <c r="BS68" i="7"/>
  <c r="BS50" i="7"/>
  <c r="BS53" i="7"/>
  <c r="BS102" i="7"/>
  <c r="BT103" i="7"/>
  <c r="BS103" i="7"/>
  <c r="BT102" i="7"/>
  <c r="BT101" i="7"/>
  <c r="BT106" i="7"/>
  <c r="BP86" i="7"/>
  <c r="BP68" i="7"/>
  <c r="BP101" i="7"/>
  <c r="BO68" i="7"/>
  <c r="BO53" i="7"/>
  <c r="BO102" i="7" s="1"/>
  <c r="BO38" i="7"/>
  <c r="BO47" i="7"/>
  <c r="BO103" i="7" s="1"/>
  <c r="BO50" i="7"/>
  <c r="BO86" i="7"/>
  <c r="BM44" i="7"/>
  <c r="BM50" i="7"/>
  <c r="BM101" i="7" s="1"/>
  <c r="BM106" i="7" s="1"/>
  <c r="BM47" i="7"/>
  <c r="BM38" i="7"/>
  <c r="BM53" i="7"/>
  <c r="BM102" i="7" s="1"/>
  <c r="BM68" i="7"/>
  <c r="BM77" i="7"/>
  <c r="BM86" i="7"/>
  <c r="BL44" i="7"/>
  <c r="BL86" i="7"/>
  <c r="BL101" i="7" s="1"/>
  <c r="BL68" i="7"/>
  <c r="BL38" i="7"/>
  <c r="BL102" i="7" s="1"/>
  <c r="BL47" i="7"/>
  <c r="BL50" i="7"/>
  <c r="BL53" i="7"/>
  <c r="BK44" i="7"/>
  <c r="BK101" i="7" s="1"/>
  <c r="BK106" i="7" s="1"/>
  <c r="BK53" i="7"/>
  <c r="BK68" i="7"/>
  <c r="BK86" i="7"/>
  <c r="BK38" i="7"/>
  <c r="BK102" i="7" s="1"/>
  <c r="BK50" i="7"/>
  <c r="BJ44" i="7"/>
  <c r="BJ101" i="7"/>
  <c r="BJ68" i="7"/>
  <c r="BP103" i="7"/>
  <c r="BP102" i="7"/>
  <c r="BM103" i="7"/>
  <c r="BL103" i="7"/>
  <c r="BK103" i="7"/>
  <c r="BJ103" i="7"/>
  <c r="BJ102" i="7"/>
  <c r="CX106" i="7"/>
  <c r="DJ102" i="7"/>
  <c r="DJ101" i="7"/>
  <c r="DJ106" i="7" s="1"/>
  <c r="DG101" i="7"/>
  <c r="CZ101" i="7"/>
  <c r="CZ106" i="7" s="1"/>
  <c r="CY102" i="7"/>
  <c r="CP102" i="7"/>
  <c r="CI102" i="7"/>
  <c r="CH106" i="7"/>
  <c r="CB101" i="7"/>
  <c r="CB106" i="7"/>
  <c r="BS101" i="7"/>
  <c r="BP106" i="7"/>
  <c r="BJ106" i="7"/>
  <c r="BL106" i="7"/>
  <c r="BE86" i="7"/>
  <c r="BE101" i="7" s="1"/>
  <c r="BC71" i="7"/>
  <c r="BA71" i="7"/>
  <c r="BA86" i="7"/>
  <c r="BA53" i="7"/>
  <c r="BA77" i="7"/>
  <c r="BA68" i="7"/>
  <c r="BA38" i="7"/>
  <c r="BA102" i="7" s="1"/>
  <c r="BA106" i="7" s="1"/>
  <c r="AZ38" i="7"/>
  <c r="AZ53" i="7"/>
  <c r="BA50" i="7"/>
  <c r="BA101" i="7" s="1"/>
  <c r="AY77" i="7"/>
  <c r="AY44" i="7"/>
  <c r="AY50" i="7"/>
  <c r="AY68" i="7"/>
  <c r="AY101" i="7"/>
  <c r="AY106" i="7" s="1"/>
  <c r="AY86" i="7"/>
  <c r="AX44" i="7"/>
  <c r="AX50" i="7"/>
  <c r="AX68" i="7"/>
  <c r="AX86" i="7"/>
  <c r="BE103" i="7"/>
  <c r="BE106" i="7" s="1"/>
  <c r="BC103" i="7"/>
  <c r="BC102" i="7"/>
  <c r="BA103" i="7"/>
  <c r="AY103" i="7"/>
  <c r="AX103" i="7"/>
  <c r="AX102" i="7"/>
  <c r="AH53" i="7"/>
  <c r="AH102" i="7"/>
  <c r="AH103" i="7"/>
  <c r="AH101" i="7"/>
  <c r="AH106" i="7" s="1"/>
  <c r="AE68" i="7"/>
  <c r="AE44" i="7"/>
  <c r="AE38" i="7"/>
  <c r="AE47" i="7"/>
  <c r="AE50" i="7"/>
  <c r="AE101" i="7" s="1"/>
  <c r="AE53" i="7"/>
  <c r="AE102" i="7" s="1"/>
  <c r="AE86" i="7"/>
  <c r="AD38" i="7"/>
  <c r="AD47" i="7"/>
  <c r="AD103" i="7"/>
  <c r="AD50" i="7"/>
  <c r="AD53" i="7"/>
  <c r="AD68" i="7"/>
  <c r="AD86" i="7"/>
  <c r="AB71" i="7"/>
  <c r="AE103" i="7"/>
  <c r="AB103" i="7"/>
  <c r="Z53" i="7"/>
  <c r="Z102" i="7" s="1"/>
  <c r="Z47" i="7"/>
  <c r="Z103" i="7" s="1"/>
  <c r="Z44" i="7"/>
  <c r="Z50" i="7"/>
  <c r="Z101" i="7" s="1"/>
  <c r="Z68" i="7"/>
  <c r="Z86" i="7"/>
  <c r="V86" i="7"/>
  <c r="V101" i="7" s="1"/>
  <c r="U71" i="7"/>
  <c r="T71" i="7"/>
  <c r="T53" i="7"/>
  <c r="V103" i="7"/>
  <c r="V102" i="7"/>
  <c r="V106" i="7" s="1"/>
  <c r="T103" i="7"/>
  <c r="T102" i="7"/>
  <c r="Q103" i="7"/>
  <c r="Q102" i="7"/>
  <c r="Q101" i="7"/>
  <c r="FV99" i="7"/>
  <c r="FV98" i="7"/>
  <c r="FV96" i="7"/>
  <c r="DW95" i="7"/>
  <c r="DG95" i="7"/>
  <c r="CO95" i="7"/>
  <c r="CJ95" i="7"/>
  <c r="FV95" i="7" s="1"/>
  <c r="CB95" i="7"/>
  <c r="BL95" i="7"/>
  <c r="BA95" i="7"/>
  <c r="AD95" i="7"/>
  <c r="FV94" i="7"/>
  <c r="FV93" i="7"/>
  <c r="EM92" i="7"/>
  <c r="EL92" i="7"/>
  <c r="EK92" i="7"/>
  <c r="EI92" i="7"/>
  <c r="EH92" i="7"/>
  <c r="EG92" i="7"/>
  <c r="EE92" i="7"/>
  <c r="ED92" i="7"/>
  <c r="EC92" i="7"/>
  <c r="DY92" i="7"/>
  <c r="DW92" i="7"/>
  <c r="DL92" i="7"/>
  <c r="DJ92" i="7"/>
  <c r="DD92" i="7"/>
  <c r="CS92" i="7"/>
  <c r="CR92" i="7"/>
  <c r="FV92" i="7" s="1"/>
  <c r="CG92" i="7"/>
  <c r="FV91" i="7"/>
  <c r="FV90" i="7"/>
  <c r="EX89" i="7"/>
  <c r="EW89" i="7"/>
  <c r="EU89" i="7"/>
  <c r="ET89" i="7"/>
  <c r="EI89" i="7"/>
  <c r="ED89" i="7"/>
  <c r="EA89" i="7"/>
  <c r="DU89" i="7"/>
  <c r="DS89" i="7"/>
  <c r="DJ89" i="7"/>
  <c r="DH89" i="7"/>
  <c r="DG89" i="7"/>
  <c r="CZ89" i="7"/>
  <c r="CW89" i="7"/>
  <c r="CV89" i="7"/>
  <c r="CS89" i="7"/>
  <c r="CR89" i="7"/>
  <c r="CO89" i="7"/>
  <c r="CN89" i="7"/>
  <c r="CL89" i="7"/>
  <c r="CJ89" i="7"/>
  <c r="CI89" i="7"/>
  <c r="CG89" i="7"/>
  <c r="CD89" i="7"/>
  <c r="CB89" i="7"/>
  <c r="BX89" i="7"/>
  <c r="BW89" i="7"/>
  <c r="BA89" i="7"/>
  <c r="AY89" i="7"/>
  <c r="FV89" i="7" s="1"/>
  <c r="AD89" i="7"/>
  <c r="AB89" i="7"/>
  <c r="J89" i="7"/>
  <c r="FV88" i="7"/>
  <c r="FV87" i="7"/>
  <c r="FJ86" i="7"/>
  <c r="FI86" i="7"/>
  <c r="FH86" i="7"/>
  <c r="FG86" i="7"/>
  <c r="FF86" i="7"/>
  <c r="FB86" i="7"/>
  <c r="FA86" i="7"/>
  <c r="EZ86" i="7"/>
  <c r="EY86" i="7"/>
  <c r="EW86" i="7"/>
  <c r="EV86" i="7"/>
  <c r="EU86" i="7"/>
  <c r="ET86" i="7"/>
  <c r="ES86" i="7"/>
  <c r="ER86" i="7"/>
  <c r="EQ86" i="7"/>
  <c r="EP86" i="7"/>
  <c r="EO86" i="7"/>
  <c r="EM86" i="7"/>
  <c r="EL86" i="7"/>
  <c r="EK86" i="7"/>
  <c r="EI86" i="7"/>
  <c r="EH86" i="7"/>
  <c r="EG86" i="7"/>
  <c r="EE86" i="7"/>
  <c r="ED86" i="7"/>
  <c r="EC86" i="7"/>
  <c r="EB86" i="7"/>
  <c r="DY86" i="7"/>
  <c r="DU86" i="7"/>
  <c r="DU101" i="7" s="1"/>
  <c r="DS86" i="7"/>
  <c r="DR86" i="7"/>
  <c r="DL86" i="7"/>
  <c r="DH86" i="7"/>
  <c r="DF86" i="7"/>
  <c r="DD86" i="7"/>
  <c r="DB86" i="7"/>
  <c r="CZ86" i="7"/>
  <c r="CT86" i="7"/>
  <c r="CP86" i="7"/>
  <c r="CM86" i="7"/>
  <c r="CL86" i="7"/>
  <c r="CK86" i="7"/>
  <c r="CG86" i="7"/>
  <c r="CE86" i="7"/>
  <c r="CD86" i="7"/>
  <c r="CA86" i="7"/>
  <c r="BW86" i="7"/>
  <c r="BU86" i="7"/>
  <c r="BN86" i="7"/>
  <c r="BJ86" i="7"/>
  <c r="BI86" i="7"/>
  <c r="BH86" i="7"/>
  <c r="BG86" i="7"/>
  <c r="BD86" i="7"/>
  <c r="BC86" i="7"/>
  <c r="BB86" i="7"/>
  <c r="AZ86" i="7"/>
  <c r="AW86" i="7"/>
  <c r="AU86" i="7"/>
  <c r="AC86" i="7"/>
  <c r="AB86" i="7"/>
  <c r="Y86" i="7"/>
  <c r="U86" i="7"/>
  <c r="T86" i="7"/>
  <c r="S86" i="7"/>
  <c r="Q86" i="7"/>
  <c r="P86" i="7"/>
  <c r="O86" i="7"/>
  <c r="N86" i="7"/>
  <c r="M86" i="7"/>
  <c r="K86" i="7"/>
  <c r="J86" i="7"/>
  <c r="EZ85" i="7"/>
  <c r="FV85" i="7" s="1"/>
  <c r="FV84" i="7"/>
  <c r="EU83" i="7"/>
  <c r="EH83" i="7"/>
  <c r="EG83" i="7"/>
  <c r="EC83" i="7"/>
  <c r="DY83" i="7"/>
  <c r="DW83" i="7"/>
  <c r="DR83" i="7"/>
  <c r="DP83" i="7"/>
  <c r="DJ83" i="7"/>
  <c r="DH83" i="7"/>
  <c r="DG83" i="7"/>
  <c r="CZ83" i="7"/>
  <c r="CY83" i="7"/>
  <c r="CW83" i="7"/>
  <c r="CR83" i="7"/>
  <c r="CP83" i="7"/>
  <c r="CO83" i="7"/>
  <c r="CM83" i="7"/>
  <c r="CL83" i="7"/>
  <c r="CK83" i="7"/>
  <c r="CJ83" i="7"/>
  <c r="CE83" i="7"/>
  <c r="CD83" i="7"/>
  <c r="CB83" i="7"/>
  <c r="BN83" i="7"/>
  <c r="BL83" i="7"/>
  <c r="BA83" i="7"/>
  <c r="FV82" i="7"/>
  <c r="EU82" i="7"/>
  <c r="FV81" i="7"/>
  <c r="EV80" i="7"/>
  <c r="ES80" i="7"/>
  <c r="EP80" i="7"/>
  <c r="EO80" i="7"/>
  <c r="EM80" i="7"/>
  <c r="EH80" i="7"/>
  <c r="EG80" i="7"/>
  <c r="EE80" i="7"/>
  <c r="ED80" i="7"/>
  <c r="EC80" i="7"/>
  <c r="DL80" i="7"/>
  <c r="DJ80" i="7"/>
  <c r="DG80" i="7"/>
  <c r="CZ80" i="7"/>
  <c r="CY80" i="7"/>
  <c r="CW80" i="7"/>
  <c r="CS80" i="7"/>
  <c r="CR80" i="7"/>
  <c r="CP80" i="7"/>
  <c r="CO80" i="7"/>
  <c r="CM80" i="7"/>
  <c r="CL80" i="7"/>
  <c r="CK80" i="7"/>
  <c r="CJ80" i="7"/>
  <c r="CB80" i="7"/>
  <c r="FV80" i="7" s="1"/>
  <c r="BO80" i="7"/>
  <c r="BL80" i="7"/>
  <c r="FV79" i="7"/>
  <c r="FV78" i="7"/>
  <c r="EW77" i="7"/>
  <c r="EV77" i="7"/>
  <c r="EU77" i="7"/>
  <c r="ET77" i="7"/>
  <c r="EO77" i="7"/>
  <c r="EN77" i="7"/>
  <c r="EM77" i="7"/>
  <c r="EL77" i="7"/>
  <c r="EK77" i="7"/>
  <c r="ED77" i="7"/>
  <c r="EC77" i="7"/>
  <c r="EB77" i="7"/>
  <c r="DY77" i="7"/>
  <c r="DX77" i="7"/>
  <c r="DH77" i="7"/>
  <c r="DF77" i="7"/>
  <c r="DA77" i="7"/>
  <c r="CK77" i="7"/>
  <c r="CG77" i="7"/>
  <c r="BW77" i="7"/>
  <c r="BC77" i="7"/>
  <c r="BB77" i="7"/>
  <c r="AZ77" i="7"/>
  <c r="AG77" i="7"/>
  <c r="FV76" i="7"/>
  <c r="FV75" i="7"/>
  <c r="EK74" i="7"/>
  <c r="FV74" i="7" s="1"/>
  <c r="EC74" i="7"/>
  <c r="DF74" i="7"/>
  <c r="CV74" i="7"/>
  <c r="CT74" i="7"/>
  <c r="CN74" i="7"/>
  <c r="BJ74" i="7"/>
  <c r="FV73" i="7"/>
  <c r="FV72" i="7"/>
  <c r="EV71" i="7"/>
  <c r="ET71" i="7"/>
  <c r="ES71" i="7"/>
  <c r="EQ71" i="7"/>
  <c r="EO71" i="7"/>
  <c r="EM71" i="7"/>
  <c r="EL71" i="7"/>
  <c r="EK71" i="7"/>
  <c r="EI71" i="7"/>
  <c r="EH71" i="7"/>
  <c r="EG71" i="7"/>
  <c r="EF71" i="7"/>
  <c r="EE71" i="7"/>
  <c r="ED71" i="7"/>
  <c r="EC71" i="7"/>
  <c r="EB71" i="7"/>
  <c r="DY71" i="7"/>
  <c r="DL71" i="7"/>
  <c r="DH71" i="7"/>
  <c r="DD71" i="7"/>
  <c r="CT71" i="7"/>
  <c r="CS71" i="7"/>
  <c r="CR71" i="7"/>
  <c r="CM71" i="7"/>
  <c r="CL71" i="7"/>
  <c r="CK71" i="7"/>
  <c r="CG71" i="7"/>
  <c r="CE71" i="7"/>
  <c r="CD71" i="7"/>
  <c r="BW71" i="7"/>
  <c r="BD71" i="7"/>
  <c r="BB71" i="7"/>
  <c r="AZ71" i="7"/>
  <c r="Y71" i="7"/>
  <c r="P71" i="7"/>
  <c r="O71" i="7"/>
  <c r="N71" i="7"/>
  <c r="K71" i="7"/>
  <c r="J71" i="7"/>
  <c r="FV70" i="7"/>
  <c r="FV69" i="7"/>
  <c r="FJ68" i="7"/>
  <c r="FI68" i="7"/>
  <c r="FF68" i="7"/>
  <c r="FC68" i="7"/>
  <c r="FB68" i="7"/>
  <c r="FB101" i="7" s="1"/>
  <c r="FB106" i="7" s="1"/>
  <c r="FA68" i="7"/>
  <c r="EZ68" i="7"/>
  <c r="EY68" i="7"/>
  <c r="EW68" i="7"/>
  <c r="EV68" i="7"/>
  <c r="EU68" i="7"/>
  <c r="ET68" i="7"/>
  <c r="ES68" i="7"/>
  <c r="ER68" i="7"/>
  <c r="EQ68" i="7"/>
  <c r="EO68" i="7"/>
  <c r="EM68" i="7"/>
  <c r="EL68" i="7"/>
  <c r="EK68" i="7"/>
  <c r="EI68" i="7"/>
  <c r="EH68" i="7"/>
  <c r="EG68" i="7"/>
  <c r="EE68" i="7"/>
  <c r="ED68" i="7"/>
  <c r="EC68" i="7"/>
  <c r="EB68" i="7"/>
  <c r="DZ68" i="7"/>
  <c r="DY68" i="7"/>
  <c r="DS68" i="7"/>
  <c r="DR68" i="7"/>
  <c r="DP68" i="7"/>
  <c r="DL68" i="7"/>
  <c r="DH68" i="7"/>
  <c r="DF68" i="7"/>
  <c r="DA68" i="7"/>
  <c r="CT68" i="7"/>
  <c r="CS68" i="7"/>
  <c r="CR68" i="7"/>
  <c r="CP68" i="7"/>
  <c r="CM68" i="7"/>
  <c r="CL68" i="7"/>
  <c r="CK68" i="7"/>
  <c r="CG68" i="7"/>
  <c r="CE68" i="7"/>
  <c r="CD68" i="7"/>
  <c r="CA68" i="7"/>
  <c r="BW68" i="7"/>
  <c r="BU68" i="7"/>
  <c r="BN68" i="7"/>
  <c r="BI68" i="7"/>
  <c r="BH68" i="7"/>
  <c r="BD68" i="7"/>
  <c r="BC68" i="7"/>
  <c r="BB68" i="7"/>
  <c r="AZ68" i="7"/>
  <c r="AW68" i="7"/>
  <c r="AT68" i="7"/>
  <c r="AS68" i="7"/>
  <c r="AC68" i="7"/>
  <c r="AB68" i="7"/>
  <c r="Y68" i="7"/>
  <c r="U68" i="7"/>
  <c r="T68" i="7"/>
  <c r="P68" i="7"/>
  <c r="O68" i="7"/>
  <c r="N68" i="7"/>
  <c r="J68" i="7"/>
  <c r="EZ67" i="7"/>
  <c r="FV67" i="7" s="1"/>
  <c r="FV66" i="7"/>
  <c r="EV65" i="7"/>
  <c r="EU65" i="7"/>
  <c r="EP65" i="7"/>
  <c r="EO65" i="7"/>
  <c r="EM65" i="7"/>
  <c r="EL65" i="7"/>
  <c r="EG65" i="7"/>
  <c r="EC65" i="7"/>
  <c r="DW65" i="7"/>
  <c r="DS65" i="7"/>
  <c r="DR65" i="7"/>
  <c r="DP65" i="7"/>
  <c r="DL65" i="7"/>
  <c r="DJ65" i="7"/>
  <c r="DH65" i="7"/>
  <c r="DG65" i="7"/>
  <c r="DF65" i="7"/>
  <c r="DD65" i="7"/>
  <c r="DC65" i="7"/>
  <c r="DB65" i="7"/>
  <c r="CZ65" i="7"/>
  <c r="CY65" i="7"/>
  <c r="CW65" i="7"/>
  <c r="CV65" i="7"/>
  <c r="CT65" i="7"/>
  <c r="CS65" i="7"/>
  <c r="CR65" i="7"/>
  <c r="CP65" i="7"/>
  <c r="CO65" i="7"/>
  <c r="CN65" i="7"/>
  <c r="CM65" i="7"/>
  <c r="CL65" i="7"/>
  <c r="CK65" i="7"/>
  <c r="CJ65" i="7"/>
  <c r="CI65" i="7"/>
  <c r="CG65" i="7"/>
  <c r="CE65" i="7"/>
  <c r="CD65" i="7"/>
  <c r="CB65" i="7"/>
  <c r="BX65" i="7"/>
  <c r="BW65" i="7"/>
  <c r="BO65" i="7"/>
  <c r="BM65" i="7"/>
  <c r="BL65" i="7"/>
  <c r="BK65" i="7"/>
  <c r="BJ65" i="7"/>
  <c r="BI65" i="7"/>
  <c r="BH65" i="7"/>
  <c r="BD65" i="7"/>
  <c r="BC65" i="7"/>
  <c r="BA65" i="7"/>
  <c r="AZ65" i="7"/>
  <c r="AY65" i="7"/>
  <c r="EU64" i="7"/>
  <c r="FV64" i="7" s="1"/>
  <c r="FV63" i="7"/>
  <c r="EP62" i="7"/>
  <c r="EO62" i="7"/>
  <c r="EM62" i="7"/>
  <c r="EL62" i="7"/>
  <c r="EK62" i="7"/>
  <c r="EI62" i="7"/>
  <c r="EG62" i="7"/>
  <c r="EE62" i="7"/>
  <c r="ED62" i="7"/>
  <c r="EC62" i="7"/>
  <c r="EB62" i="7"/>
  <c r="EA62" i="7"/>
  <c r="DY62" i="7"/>
  <c r="DW62" i="7"/>
  <c r="DS62" i="7"/>
  <c r="DJ62" i="7"/>
  <c r="DH62" i="7"/>
  <c r="DG62" i="7"/>
  <c r="DF62" i="7"/>
  <c r="CZ62" i="7"/>
  <c r="CY62" i="7"/>
  <c r="CW62" i="7"/>
  <c r="CV62" i="7"/>
  <c r="CT62" i="7"/>
  <c r="CR62" i="7"/>
  <c r="CP62" i="7"/>
  <c r="CO62" i="7"/>
  <c r="CN62" i="7"/>
  <c r="CL62" i="7"/>
  <c r="CK62" i="7"/>
  <c r="CJ62" i="7"/>
  <c r="CI62" i="7"/>
  <c r="CE62" i="7"/>
  <c r="CD62" i="7"/>
  <c r="CB62" i="7"/>
  <c r="BX62" i="7"/>
  <c r="BW62" i="7"/>
  <c r="BM62" i="7"/>
  <c r="BL62" i="7"/>
  <c r="BK62" i="7"/>
  <c r="BJ62" i="7"/>
  <c r="BC62" i="7"/>
  <c r="BA62" i="7"/>
  <c r="AZ62" i="7"/>
  <c r="AY62" i="7"/>
  <c r="FV61" i="7"/>
  <c r="FV60" i="7"/>
  <c r="FI59" i="7"/>
  <c r="FF59" i="7"/>
  <c r="FC59" i="7"/>
  <c r="EX59" i="7"/>
  <c r="EV59" i="7"/>
  <c r="FV59" i="7" s="1"/>
  <c r="ET59" i="7"/>
  <c r="ES59" i="7"/>
  <c r="EM59" i="7"/>
  <c r="EI59" i="7"/>
  <c r="EH59" i="7"/>
  <c r="ED59" i="7"/>
  <c r="FV58" i="7"/>
  <c r="FV57" i="7"/>
  <c r="FI56" i="7"/>
  <c r="FA56" i="7"/>
  <c r="EU56" i="7"/>
  <c r="EQ56" i="7"/>
  <c r="EO56" i="7"/>
  <c r="EL56" i="7"/>
  <c r="EK56" i="7"/>
  <c r="EI56" i="7"/>
  <c r="EG56" i="7"/>
  <c r="EE56" i="7"/>
  <c r="EC56" i="7"/>
  <c r="EB56" i="7"/>
  <c r="DY56" i="7"/>
  <c r="DW56" i="7"/>
  <c r="DL56" i="7"/>
  <c r="DJ56" i="7"/>
  <c r="DH56" i="7"/>
  <c r="DG56" i="7"/>
  <c r="DF56" i="7"/>
  <c r="DA56" i="7"/>
  <c r="CZ56" i="7"/>
  <c r="CY56" i="7"/>
  <c r="CW56" i="7"/>
  <c r="CV56" i="7"/>
  <c r="CT56" i="7"/>
  <c r="CS56" i="7"/>
  <c r="CR56" i="7"/>
  <c r="CP56" i="7"/>
  <c r="CM56" i="7"/>
  <c r="CL56" i="7"/>
  <c r="CK56" i="7"/>
  <c r="CJ56" i="7"/>
  <c r="CI56" i="7"/>
  <c r="CG56" i="7"/>
  <c r="CE56" i="7"/>
  <c r="CD56" i="7"/>
  <c r="CB56" i="7"/>
  <c r="BX56" i="7"/>
  <c r="BW56" i="7"/>
  <c r="BO56" i="7"/>
  <c r="BN56" i="7"/>
  <c r="BK56" i="7"/>
  <c r="BD56" i="7"/>
  <c r="BB56" i="7"/>
  <c r="BA56" i="7"/>
  <c r="AH56" i="7"/>
  <c r="AG56" i="7"/>
  <c r="AE56" i="7"/>
  <c r="AD56" i="7"/>
  <c r="AC56" i="7"/>
  <c r="AB56" i="7"/>
  <c r="AA56" i="7"/>
  <c r="Z56" i="7"/>
  <c r="U56" i="7"/>
  <c r="T56" i="7"/>
  <c r="P56" i="7"/>
  <c r="O56" i="7"/>
  <c r="N56" i="7"/>
  <c r="J56" i="7"/>
  <c r="EU55" i="7"/>
  <c r="FV55" i="7"/>
  <c r="FV54" i="7"/>
  <c r="FJ53" i="7"/>
  <c r="FI53" i="7"/>
  <c r="FH53" i="7"/>
  <c r="FG53" i="7"/>
  <c r="FF53" i="7"/>
  <c r="FE53" i="7"/>
  <c r="FD53" i="7"/>
  <c r="FC53" i="7"/>
  <c r="FB53" i="7"/>
  <c r="FA53" i="7"/>
  <c r="EZ53" i="7"/>
  <c r="EY53" i="7"/>
  <c r="EY102" i="7" s="1"/>
  <c r="EW53" i="7"/>
  <c r="EV53" i="7"/>
  <c r="EV102" i="7" s="1"/>
  <c r="EU53" i="7"/>
  <c r="ET53" i="7"/>
  <c r="ES53" i="7"/>
  <c r="EQ53" i="7"/>
  <c r="EO53" i="7"/>
  <c r="EM53" i="7"/>
  <c r="EL53" i="7"/>
  <c r="EK53" i="7"/>
  <c r="EJ53" i="7"/>
  <c r="EI53" i="7"/>
  <c r="EH53" i="7"/>
  <c r="EG53" i="7"/>
  <c r="EE53" i="7"/>
  <c r="ED53" i="7"/>
  <c r="EC53" i="7"/>
  <c r="EB53" i="7"/>
  <c r="DZ53" i="7"/>
  <c r="DY53" i="7"/>
  <c r="DU53" i="7"/>
  <c r="DU102" i="7" s="1"/>
  <c r="DU106" i="7" s="1"/>
  <c r="DS53" i="7"/>
  <c r="DP53" i="7"/>
  <c r="DH53" i="7"/>
  <c r="DF53" i="7"/>
  <c r="DD53" i="7"/>
  <c r="DB53" i="7"/>
  <c r="DA53" i="7"/>
  <c r="CS53" i="7"/>
  <c r="CR53" i="7"/>
  <c r="CM53" i="7"/>
  <c r="CM102" i="7" s="1"/>
  <c r="CL53" i="7"/>
  <c r="CK53" i="7"/>
  <c r="CG53" i="7"/>
  <c r="CE53" i="7"/>
  <c r="CD53" i="7"/>
  <c r="CA53" i="7"/>
  <c r="BW53" i="7"/>
  <c r="BN53" i="7"/>
  <c r="BJ53" i="7"/>
  <c r="BH53" i="7"/>
  <c r="BE53" i="7"/>
  <c r="BE102" i="7" s="1"/>
  <c r="BD53" i="7"/>
  <c r="BC53" i="7"/>
  <c r="BB53" i="7"/>
  <c r="AY53" i="7"/>
  <c r="AW53" i="7"/>
  <c r="AT53" i="7"/>
  <c r="AS53" i="7"/>
  <c r="AL53" i="7"/>
  <c r="AI53" i="7"/>
  <c r="AG53" i="7"/>
  <c r="AC53" i="7"/>
  <c r="AB53" i="7"/>
  <c r="AB102" i="7" s="1"/>
  <c r="Y53" i="7"/>
  <c r="X53" i="7"/>
  <c r="W53" i="7"/>
  <c r="V53" i="7"/>
  <c r="U53" i="7"/>
  <c r="U102" i="7" s="1"/>
  <c r="S53" i="7"/>
  <c r="R53" i="7"/>
  <c r="P53" i="7"/>
  <c r="O53" i="7"/>
  <c r="N53" i="7"/>
  <c r="L53" i="7"/>
  <c r="K53" i="7"/>
  <c r="J53" i="7"/>
  <c r="H53" i="7"/>
  <c r="FD52" i="7"/>
  <c r="FD102" i="7" s="1"/>
  <c r="EZ52" i="7"/>
  <c r="FV52" i="7" s="1"/>
  <c r="FV51" i="7"/>
  <c r="EY50" i="7"/>
  <c r="EY101" i="7" s="1"/>
  <c r="EY106" i="7" s="1"/>
  <c r="EW50" i="7"/>
  <c r="EV50" i="7"/>
  <c r="EV101" i="7" s="1"/>
  <c r="EV106" i="7" s="1"/>
  <c r="EU50" i="7"/>
  <c r="EQ50" i="7"/>
  <c r="EO50" i="7"/>
  <c r="EM50" i="7"/>
  <c r="EI50" i="7"/>
  <c r="EH50" i="7"/>
  <c r="EG50" i="7"/>
  <c r="ED50" i="7"/>
  <c r="EC50" i="7"/>
  <c r="EA50" i="7"/>
  <c r="DY50" i="7"/>
  <c r="DS50" i="7"/>
  <c r="DR50" i="7"/>
  <c r="DL50" i="7"/>
  <c r="DH50" i="7"/>
  <c r="DF50" i="7"/>
  <c r="DD50" i="7"/>
  <c r="CZ50" i="7"/>
  <c r="CR50" i="7"/>
  <c r="CR101" i="7" s="1"/>
  <c r="CR106" i="7" s="1"/>
  <c r="CM50" i="7"/>
  <c r="CL50" i="7"/>
  <c r="CG50" i="7"/>
  <c r="CD50" i="7"/>
  <c r="CA50" i="7"/>
  <c r="BW50" i="7"/>
  <c r="BU50" i="7"/>
  <c r="BN50" i="7"/>
  <c r="BJ50" i="7"/>
  <c r="BD50" i="7"/>
  <c r="BC50" i="7"/>
  <c r="BB50" i="7"/>
  <c r="AZ50" i="7"/>
  <c r="AW50" i="7"/>
  <c r="AU50" i="7"/>
  <c r="AC50" i="7"/>
  <c r="AB50" i="7"/>
  <c r="Y50" i="7"/>
  <c r="U50" i="7"/>
  <c r="T50" i="7"/>
  <c r="P50" i="7"/>
  <c r="O50" i="7"/>
  <c r="N50" i="7"/>
  <c r="FV49" i="7"/>
  <c r="FV48" i="7"/>
  <c r="EW47" i="7"/>
  <c r="EV47" i="7"/>
  <c r="EV103" i="7" s="1"/>
  <c r="EU47" i="7"/>
  <c r="EM47" i="7"/>
  <c r="EM103" i="7" s="1"/>
  <c r="EI47" i="7"/>
  <c r="EH47" i="7"/>
  <c r="EG47" i="7"/>
  <c r="EF47" i="7"/>
  <c r="EE47" i="7"/>
  <c r="ED47" i="7"/>
  <c r="EC47" i="7"/>
  <c r="DY47" i="7"/>
  <c r="DS47" i="7"/>
  <c r="DR47" i="7"/>
  <c r="DP47" i="7"/>
  <c r="DH47" i="7"/>
  <c r="DF47" i="7"/>
  <c r="CS47" i="7"/>
  <c r="CS103" i="7" s="1"/>
  <c r="CR47" i="7"/>
  <c r="CR103" i="7" s="1"/>
  <c r="CL47" i="7"/>
  <c r="CK47" i="7"/>
  <c r="CG47" i="7"/>
  <c r="CD47" i="7"/>
  <c r="BW47" i="7"/>
  <c r="BB47" i="7"/>
  <c r="AC47" i="7"/>
  <c r="Y47" i="7"/>
  <c r="U47" i="7"/>
  <c r="FV46" i="7"/>
  <c r="FV45" i="7"/>
  <c r="EW44" i="7"/>
  <c r="EV44" i="7"/>
  <c r="EU44" i="7"/>
  <c r="ET44" i="7"/>
  <c r="ES44" i="7"/>
  <c r="ER44" i="7"/>
  <c r="EQ44" i="7"/>
  <c r="EP44" i="7"/>
  <c r="EP101" i="7" s="1"/>
  <c r="EO44" i="7"/>
  <c r="EO101" i="7" s="1"/>
  <c r="EO106" i="7" s="1"/>
  <c r="EM44" i="7"/>
  <c r="EM101" i="7" s="1"/>
  <c r="EL44" i="7"/>
  <c r="EK44" i="7"/>
  <c r="EI44" i="7"/>
  <c r="EH44" i="7"/>
  <c r="EG44" i="7"/>
  <c r="EE44" i="7"/>
  <c r="ED44" i="7"/>
  <c r="EC44" i="7"/>
  <c r="EB44" i="7"/>
  <c r="DZ44" i="7"/>
  <c r="DY44" i="7"/>
  <c r="DX44" i="7"/>
  <c r="DX101" i="7" s="1"/>
  <c r="DX106" i="7" s="1"/>
  <c r="DV44" i="7"/>
  <c r="DS44" i="7"/>
  <c r="DR44" i="7"/>
  <c r="DR101" i="7" s="1"/>
  <c r="DR106" i="7" s="1"/>
  <c r="DQ44" i="7"/>
  <c r="DP44" i="7"/>
  <c r="DH44" i="7"/>
  <c r="DF44" i="7"/>
  <c r="DD44" i="7"/>
  <c r="DA44" i="7"/>
  <c r="CZ44" i="7"/>
  <c r="CT44" i="7"/>
  <c r="CS44" i="7"/>
  <c r="CR44" i="7"/>
  <c r="CM44" i="7"/>
  <c r="CM101" i="7" s="1"/>
  <c r="CM106" i="7" s="1"/>
  <c r="CL44" i="7"/>
  <c r="CK44" i="7"/>
  <c r="CH44" i="7"/>
  <c r="CH101" i="7" s="1"/>
  <c r="CG44" i="7"/>
  <c r="CE44" i="7"/>
  <c r="CD44" i="7"/>
  <c r="CA44" i="7"/>
  <c r="BW44" i="7"/>
  <c r="BU44" i="7"/>
  <c r="BO44" i="7"/>
  <c r="BO101" i="7" s="1"/>
  <c r="BN44" i="7"/>
  <c r="BH44" i="7"/>
  <c r="BD44" i="7"/>
  <c r="BC44" i="7"/>
  <c r="BB44" i="7"/>
  <c r="AZ44" i="7"/>
  <c r="AW44" i="7"/>
  <c r="AU44" i="7"/>
  <c r="AT44" i="7"/>
  <c r="AS44" i="7"/>
  <c r="AN44" i="7"/>
  <c r="AM44" i="7"/>
  <c r="AL44" i="7"/>
  <c r="AC44" i="7"/>
  <c r="AB44" i="7"/>
  <c r="Y44" i="7"/>
  <c r="T44" i="7"/>
  <c r="T101" i="7" s="1"/>
  <c r="T106" i="7" s="1"/>
  <c r="P44" i="7"/>
  <c r="O44" i="7"/>
  <c r="N44" i="7"/>
  <c r="K44" i="7"/>
  <c r="J44" i="7"/>
  <c r="FV43" i="7"/>
  <c r="FV42" i="7"/>
  <c r="EG41" i="7"/>
  <c r="EC41" i="7"/>
  <c r="DW41" i="7"/>
  <c r="DJ41" i="7"/>
  <c r="DG41" i="7"/>
  <c r="DF41" i="7"/>
  <c r="CT41" i="7"/>
  <c r="CR41" i="7"/>
  <c r="CP41" i="7"/>
  <c r="CO41" i="7"/>
  <c r="CN41" i="7"/>
  <c r="CK41" i="7"/>
  <c r="CJ41" i="7"/>
  <c r="CI41" i="7"/>
  <c r="BX41" i="7"/>
  <c r="BO41" i="7"/>
  <c r="BM41" i="7"/>
  <c r="BK41" i="7"/>
  <c r="FV41" i="7"/>
  <c r="FV40" i="7"/>
  <c r="FV39" i="7"/>
  <c r="EW38" i="7"/>
  <c r="ES38" i="7"/>
  <c r="EO38" i="7"/>
  <c r="EO102" i="7" s="1"/>
  <c r="EN38" i="7"/>
  <c r="EM38" i="7"/>
  <c r="EL38" i="7"/>
  <c r="EK38" i="7"/>
  <c r="EJ38" i="7"/>
  <c r="EI38" i="7"/>
  <c r="EH38" i="7"/>
  <c r="EG38" i="7"/>
  <c r="EF38" i="7"/>
  <c r="EE38" i="7"/>
  <c r="ED38" i="7"/>
  <c r="EC38" i="7"/>
  <c r="DX38" i="7"/>
  <c r="DX102" i="7" s="1"/>
  <c r="DT38" i="7"/>
  <c r="DS38" i="7"/>
  <c r="DH38" i="7"/>
  <c r="DH102" i="7" s="1"/>
  <c r="DF38" i="7"/>
  <c r="DA38" i="7"/>
  <c r="DA102" i="7" s="1"/>
  <c r="CS38" i="7"/>
  <c r="CS102" i="7" s="1"/>
  <c r="CR38" i="7"/>
  <c r="CR102" i="7" s="1"/>
  <c r="CL38" i="7"/>
  <c r="CK38" i="7"/>
  <c r="CG38" i="7"/>
  <c r="CE38" i="7"/>
  <c r="CD38" i="7"/>
  <c r="BW38" i="7"/>
  <c r="BN38" i="7"/>
  <c r="BJ38" i="7"/>
  <c r="BD38" i="7"/>
  <c r="BC38" i="7"/>
  <c r="BB38" i="7"/>
  <c r="AY38" i="7"/>
  <c r="AY102" i="7" s="1"/>
  <c r="AK38" i="7"/>
  <c r="AJ38" i="7"/>
  <c r="AI38" i="7"/>
  <c r="AH38" i="7"/>
  <c r="AG38" i="7"/>
  <c r="FV37" i="7"/>
  <c r="FV36" i="7"/>
  <c r="EM35" i="7"/>
  <c r="EL35" i="7"/>
  <c r="EK35" i="7"/>
  <c r="EJ35" i="7"/>
  <c r="EI35" i="7"/>
  <c r="EH35" i="7"/>
  <c r="EG35" i="7"/>
  <c r="EE35" i="7"/>
  <c r="ED35" i="7"/>
  <c r="EC35" i="7"/>
  <c r="DY35" i="7"/>
  <c r="DW35" i="7"/>
  <c r="DP35" i="7"/>
  <c r="DL35" i="7"/>
  <c r="DJ35" i="7"/>
  <c r="DH35" i="7"/>
  <c r="DG35" i="7"/>
  <c r="DF35" i="7"/>
  <c r="DD35" i="7"/>
  <c r="DB35" i="7"/>
  <c r="DA35" i="7"/>
  <c r="CZ35" i="7"/>
  <c r="CY35" i="7"/>
  <c r="CW35" i="7"/>
  <c r="CV35" i="7"/>
  <c r="CU35" i="7"/>
  <c r="CT35" i="7"/>
  <c r="CS35" i="7"/>
  <c r="CR35" i="7"/>
  <c r="CP35" i="7"/>
  <c r="CO35" i="7"/>
  <c r="CN35" i="7"/>
  <c r="CL35" i="7"/>
  <c r="CK35" i="7"/>
  <c r="CJ35" i="7"/>
  <c r="CH35" i="7"/>
  <c r="CG35" i="7"/>
  <c r="CE35" i="7"/>
  <c r="CD35" i="7"/>
  <c r="CB35" i="7"/>
  <c r="BX35" i="7"/>
  <c r="BW35" i="7"/>
  <c r="BS35" i="7"/>
  <c r="BN35" i="7"/>
  <c r="BL35" i="7"/>
  <c r="BK35" i="7"/>
  <c r="BC35" i="7"/>
  <c r="BB35" i="7"/>
  <c r="BA35" i="7"/>
  <c r="AZ35" i="7"/>
  <c r="AE35" i="7"/>
  <c r="AD35" i="7"/>
  <c r="AC35" i="7"/>
  <c r="AB35" i="7"/>
  <c r="Z35" i="7"/>
  <c r="Y35" i="7"/>
  <c r="U35" i="7"/>
  <c r="T35" i="7"/>
  <c r="O35" i="7"/>
  <c r="N35" i="7"/>
  <c r="FV35" i="7" s="1"/>
  <c r="FV34" i="7"/>
  <c r="FV33" i="7"/>
  <c r="EH32" i="7"/>
  <c r="DW32" i="7"/>
  <c r="DS32" i="7"/>
  <c r="FV31" i="7"/>
  <c r="FV30" i="7"/>
  <c r="AS29" i="7"/>
  <c r="FV29" i="7" s="1"/>
  <c r="FV28" i="7"/>
  <c r="FV27" i="7"/>
  <c r="EZ26" i="7"/>
  <c r="EW26" i="7"/>
  <c r="EV26" i="7"/>
  <c r="EU26" i="7"/>
  <c r="EH26" i="7"/>
  <c r="EA26" i="7"/>
  <c r="FV26" i="7" s="1"/>
  <c r="DW26" i="7"/>
  <c r="DR26" i="7"/>
  <c r="DP26" i="7"/>
  <c r="FV25" i="7"/>
  <c r="EZ25" i="7"/>
  <c r="FV24" i="7"/>
  <c r="EW23" i="7"/>
  <c r="EO23" i="7"/>
  <c r="EM23" i="7"/>
  <c r="EL23" i="7"/>
  <c r="EH23" i="7"/>
  <c r="EG23" i="7"/>
  <c r="EC23" i="7"/>
  <c r="DR23" i="7"/>
  <c r="FV23" i="7" s="1"/>
  <c r="FV22" i="7"/>
  <c r="FV21" i="7"/>
  <c r="EU20" i="7"/>
  <c r="EJ20" i="7"/>
  <c r="EF20" i="7"/>
  <c r="EC20" i="7"/>
  <c r="EA20" i="7"/>
  <c r="DX20" i="7"/>
  <c r="DR20" i="7"/>
  <c r="AQ20" i="7"/>
  <c r="AO20" i="7"/>
  <c r="AM20" i="7"/>
  <c r="AL20" i="7"/>
  <c r="AH20" i="7"/>
  <c r="AG20" i="7"/>
  <c r="AB20" i="7"/>
  <c r="Z20" i="7"/>
  <c r="Y20" i="7"/>
  <c r="U20" i="7"/>
  <c r="T20" i="7"/>
  <c r="P20" i="7"/>
  <c r="O20" i="7"/>
  <c r="N20" i="7"/>
  <c r="K20" i="7"/>
  <c r="J20" i="7"/>
  <c r="FV19" i="7"/>
  <c r="FV18" i="7"/>
  <c r="EW17" i="7"/>
  <c r="EO17" i="7"/>
  <c r="EM17" i="7"/>
  <c r="EL17" i="7"/>
  <c r="EI17" i="7"/>
  <c r="EH17" i="7"/>
  <c r="EG17" i="7"/>
  <c r="ED17" i="7"/>
  <c r="FV17" i="7" s="1"/>
  <c r="EC17" i="7"/>
  <c r="DR17" i="7"/>
  <c r="FV16" i="7"/>
  <c r="EO15" i="7"/>
  <c r="FV15" i="7" s="1"/>
  <c r="EW14" i="7"/>
  <c r="EO14" i="7"/>
  <c r="EM14" i="7"/>
  <c r="EL14" i="7"/>
  <c r="EI14" i="7"/>
  <c r="EH14" i="7"/>
  <c r="EG14" i="7"/>
  <c r="ED14" i="7"/>
  <c r="EC14" i="7"/>
  <c r="FV14" i="7" s="1"/>
  <c r="DR14" i="7"/>
  <c r="EE13" i="7"/>
  <c r="FV13" i="7"/>
  <c r="FV12" i="7"/>
  <c r="FJ11" i="7"/>
  <c r="FI11" i="7"/>
  <c r="FH11" i="7"/>
  <c r="FG11" i="7"/>
  <c r="FF11" i="7"/>
  <c r="FE11" i="7"/>
  <c r="FC11" i="7"/>
  <c r="FB11" i="7"/>
  <c r="FA11" i="7"/>
  <c r="EY11" i="7"/>
  <c r="EX11" i="7"/>
  <c r="EW11" i="7"/>
  <c r="EV11" i="7"/>
  <c r="AS11" i="7"/>
  <c r="FD10" i="7"/>
  <c r="EZ10" i="7"/>
  <c r="EU10" i="7"/>
  <c r="FV10" i="7"/>
  <c r="EO9" i="7"/>
  <c r="DH9" i="7"/>
  <c r="DF9" i="7"/>
  <c r="CM9" i="7"/>
  <c r="FV9" i="7" s="1"/>
  <c r="ET8" i="7"/>
  <c r="ER8" i="7"/>
  <c r="EQ8" i="7"/>
  <c r="EP8" i="7"/>
  <c r="EM8" i="7"/>
  <c r="EL8" i="7"/>
  <c r="EK8" i="7"/>
  <c r="EJ8" i="7"/>
  <c r="EI8" i="7"/>
  <c r="EH8" i="7"/>
  <c r="EG8" i="7"/>
  <c r="EF8" i="7"/>
  <c r="ED8" i="7"/>
  <c r="EC8" i="7"/>
  <c r="EB8" i="7"/>
  <c r="EA8" i="7"/>
  <c r="DY8" i="7"/>
  <c r="DX8" i="7"/>
  <c r="DW8" i="7"/>
  <c r="DU8" i="7"/>
  <c r="DS8" i="7"/>
  <c r="DR8" i="7"/>
  <c r="DP8" i="7"/>
  <c r="DJ8" i="7"/>
  <c r="DD8" i="7"/>
  <c r="DB8" i="7"/>
  <c r="DA8" i="7"/>
  <c r="CZ8" i="7"/>
  <c r="CY8" i="7"/>
  <c r="CW8" i="7"/>
  <c r="CV8" i="7"/>
  <c r="CU8" i="7"/>
  <c r="CT8" i="7"/>
  <c r="CS8" i="7"/>
  <c r="CR8" i="7"/>
  <c r="CP8" i="7"/>
  <c r="CO8" i="7"/>
  <c r="CN8" i="7"/>
  <c r="CL8" i="7"/>
  <c r="CK8" i="7"/>
  <c r="CJ8" i="7"/>
  <c r="CI8" i="7"/>
  <c r="CH8" i="7"/>
  <c r="CG8" i="7"/>
  <c r="CE8" i="7"/>
  <c r="CD8" i="7"/>
  <c r="CB8" i="7"/>
  <c r="CA8" i="7"/>
  <c r="BX8" i="7"/>
  <c r="BW8" i="7"/>
  <c r="BU8" i="7"/>
  <c r="BT8" i="7"/>
  <c r="BS8" i="7"/>
  <c r="BP8" i="7"/>
  <c r="BO8" i="7"/>
  <c r="BN8" i="7"/>
  <c r="BM8" i="7"/>
  <c r="BL8" i="7"/>
  <c r="BK8" i="7"/>
  <c r="BJ8" i="7"/>
  <c r="BI8" i="7"/>
  <c r="BH8" i="7"/>
  <c r="BE8" i="7"/>
  <c r="BD8" i="7"/>
  <c r="BC8" i="7"/>
  <c r="BB8" i="7"/>
  <c r="BA8" i="7"/>
  <c r="AZ8" i="7"/>
  <c r="AY8" i="7"/>
  <c r="AX8" i="7"/>
  <c r="AW8" i="7"/>
  <c r="AN8" i="7"/>
  <c r="AM8" i="7"/>
  <c r="AL8" i="7"/>
  <c r="AI8" i="7"/>
  <c r="AH8" i="7"/>
  <c r="AG8" i="7"/>
  <c r="AF8" i="7"/>
  <c r="AE8" i="7"/>
  <c r="AD8" i="7"/>
  <c r="AC8" i="7"/>
  <c r="AB8" i="7"/>
  <c r="AA8" i="7"/>
  <c r="Z8" i="7"/>
  <c r="Y8" i="7"/>
  <c r="V8" i="7"/>
  <c r="U8" i="7"/>
  <c r="T8" i="7"/>
  <c r="Q8" i="7"/>
  <c r="P8" i="7"/>
  <c r="O8" i="7"/>
  <c r="N8" i="7"/>
  <c r="K8" i="7"/>
  <c r="J8" i="7"/>
  <c r="I8" i="7"/>
  <c r="EE7" i="7"/>
  <c r="DL7" i="7"/>
  <c r="FV7" i="7"/>
  <c r="DG7" i="7"/>
  <c r="FV77" i="7"/>
  <c r="AD101" i="7"/>
  <c r="E8" i="4"/>
  <c r="D15" i="4"/>
  <c r="D8" i="4"/>
  <c r="V129" i="6"/>
  <c r="Z129" i="6"/>
  <c r="AF129" i="6"/>
  <c r="AG129" i="6"/>
  <c r="AH129" i="6"/>
  <c r="AL129" i="6"/>
  <c r="AP129" i="6"/>
  <c r="AR129" i="6"/>
  <c r="AW129" i="6"/>
  <c r="AZ129" i="6"/>
  <c r="BB129" i="6"/>
  <c r="BF129" i="6"/>
  <c r="BR129" i="6"/>
  <c r="BV129" i="6"/>
  <c r="BW129" i="6"/>
  <c r="BX129" i="6"/>
  <c r="CC129" i="6"/>
  <c r="CS129" i="6"/>
  <c r="CT129" i="6"/>
  <c r="DB129" i="6"/>
  <c r="DI129" i="6"/>
  <c r="DL129" i="6"/>
  <c r="DN129" i="6"/>
  <c r="DX129" i="6"/>
  <c r="DZ129" i="6"/>
  <c r="ED129" i="6"/>
  <c r="EI129" i="6"/>
  <c r="ER129" i="6"/>
  <c r="ET129" i="6"/>
  <c r="FB129" i="6"/>
  <c r="FI129" i="6"/>
  <c r="FJ129" i="6"/>
  <c r="FK129" i="6"/>
  <c r="FN129" i="6"/>
  <c r="L127" i="6"/>
  <c r="L129" i="6" s="1"/>
  <c r="M127" i="6"/>
  <c r="M129" i="6" s="1"/>
  <c r="P127" i="6"/>
  <c r="P129" i="6" s="1"/>
  <c r="Q127" i="6"/>
  <c r="Q129" i="6" s="1"/>
  <c r="R127" i="6"/>
  <c r="R129" i="6" s="1"/>
  <c r="S127" i="6"/>
  <c r="S129" i="6" s="1"/>
  <c r="U127" i="6"/>
  <c r="U129" i="6" s="1"/>
  <c r="V127" i="6"/>
  <c r="W127" i="6"/>
  <c r="W129" i="6" s="1"/>
  <c r="Z127" i="6"/>
  <c r="AA127" i="6"/>
  <c r="AA129" i="6" s="1"/>
  <c r="AC127" i="6"/>
  <c r="AC129" i="6" s="1"/>
  <c r="AE127" i="6"/>
  <c r="AE129" i="6" s="1"/>
  <c r="AF127" i="6"/>
  <c r="AG127" i="6"/>
  <c r="AH127" i="6"/>
  <c r="AI127" i="6"/>
  <c r="AI129" i="6" s="1"/>
  <c r="AJ127" i="6"/>
  <c r="AJ129" i="6" s="1"/>
  <c r="AK127" i="6"/>
  <c r="AK129" i="6" s="1"/>
  <c r="AL127" i="6"/>
  <c r="AM127" i="6"/>
  <c r="AM129" i="6" s="1"/>
  <c r="AN127" i="6"/>
  <c r="AN129" i="6" s="1"/>
  <c r="AO127" i="6"/>
  <c r="AO129" i="6" s="1"/>
  <c r="AP127" i="6"/>
  <c r="AQ127" i="6"/>
  <c r="AQ129" i="6" s="1"/>
  <c r="AR127" i="6"/>
  <c r="AS127" i="6"/>
  <c r="AS129" i="6" s="1"/>
  <c r="AT127" i="6"/>
  <c r="AT129" i="6" s="1"/>
  <c r="AV127" i="6"/>
  <c r="AV129" i="6" s="1"/>
  <c r="AW127" i="6"/>
  <c r="AY127" i="6"/>
  <c r="AY129" i="6" s="1"/>
  <c r="AZ127" i="6"/>
  <c r="BA127" i="6"/>
  <c r="BA129" i="6" s="1"/>
  <c r="BB127" i="6"/>
  <c r="BC127" i="6"/>
  <c r="BC129" i="6" s="1"/>
  <c r="BE127" i="6"/>
  <c r="BE129" i="6" s="1"/>
  <c r="BF127" i="6"/>
  <c r="BH127" i="6"/>
  <c r="BH129" i="6" s="1"/>
  <c r="BI127" i="6"/>
  <c r="BI129" i="6" s="1"/>
  <c r="BJ127" i="6"/>
  <c r="BJ129" i="6" s="1"/>
  <c r="BK127" i="6"/>
  <c r="BK129" i="6" s="1"/>
  <c r="BQ127" i="6"/>
  <c r="BQ129" i="6" s="1"/>
  <c r="BR127" i="6"/>
  <c r="BU127" i="6"/>
  <c r="BU129" i="6" s="1"/>
  <c r="BV127" i="6"/>
  <c r="BX127" i="6"/>
  <c r="BZ127" i="6"/>
  <c r="BZ129" i="6" s="1"/>
  <c r="CA127" i="6"/>
  <c r="CA129" i="6" s="1"/>
  <c r="CC127" i="6"/>
  <c r="CE127" i="6"/>
  <c r="CE129" i="6" s="1"/>
  <c r="CF127" i="6"/>
  <c r="CF129" i="6" s="1"/>
  <c r="CK127" i="6"/>
  <c r="CK129" i="6" s="1"/>
  <c r="CL127" i="6"/>
  <c r="CL129" i="6" s="1"/>
  <c r="CP127" i="6"/>
  <c r="CP129" i="6" s="1"/>
  <c r="CQ127" i="6"/>
  <c r="CQ129" i="6" s="1"/>
  <c r="CS127" i="6"/>
  <c r="CT127" i="6"/>
  <c r="CU127" i="6"/>
  <c r="CU129" i="6" s="1"/>
  <c r="CY127" i="6"/>
  <c r="CY129" i="6" s="1"/>
  <c r="DA127" i="6"/>
  <c r="DA129" i="6" s="1"/>
  <c r="DB127" i="6"/>
  <c r="DC127" i="6"/>
  <c r="DC129" i="6" s="1"/>
  <c r="DE127" i="6"/>
  <c r="DE129" i="6" s="1"/>
  <c r="DH127" i="6"/>
  <c r="DH129" i="6" s="1"/>
  <c r="DI127" i="6"/>
  <c r="DJ127" i="6"/>
  <c r="DJ129" i="6" s="1"/>
  <c r="DK127" i="6"/>
  <c r="DK129" i="6" s="1"/>
  <c r="DL127" i="6"/>
  <c r="DM127" i="6"/>
  <c r="DM129" i="6" s="1"/>
  <c r="DN127" i="6"/>
  <c r="DQ127" i="6"/>
  <c r="DQ129" i="6" s="1"/>
  <c r="DR127" i="6"/>
  <c r="DR129" i="6" s="1"/>
  <c r="DS127" i="6"/>
  <c r="DS129" i="6" s="1"/>
  <c r="DT127" i="6"/>
  <c r="DT129" i="6" s="1"/>
  <c r="DV127" i="6"/>
  <c r="DV129" i="6" s="1"/>
  <c r="DX127" i="6"/>
  <c r="DZ127" i="6"/>
  <c r="EA127" i="6"/>
  <c r="EA129" i="6" s="1"/>
  <c r="EB127" i="6"/>
  <c r="EB129" i="6" s="1"/>
  <c r="EC127" i="6"/>
  <c r="EC129" i="6" s="1"/>
  <c r="ED127" i="6"/>
  <c r="EF127" i="6"/>
  <c r="EF129" i="6" s="1"/>
  <c r="EI127" i="6"/>
  <c r="EJ127" i="6"/>
  <c r="EJ129" i="6" s="1"/>
  <c r="EK127" i="6"/>
  <c r="EK129" i="6" s="1"/>
  <c r="EL127" i="6"/>
  <c r="EL129" i="6" s="1"/>
  <c r="EN127" i="6"/>
  <c r="EN129" i="6" s="1"/>
  <c r="EO127" i="6"/>
  <c r="EO129" i="6" s="1"/>
  <c r="EP127" i="6"/>
  <c r="EP129" i="6" s="1"/>
  <c r="ER127" i="6"/>
  <c r="ES127" i="6"/>
  <c r="ES129" i="6" s="1"/>
  <c r="ET127" i="6"/>
  <c r="EY127" i="6"/>
  <c r="EY129" i="6" s="1"/>
  <c r="FA127" i="6"/>
  <c r="FA129" i="6" s="1"/>
  <c r="FB127" i="6"/>
  <c r="FE127" i="6"/>
  <c r="FE129" i="6" s="1"/>
  <c r="FG127" i="6"/>
  <c r="FG129" i="6" s="1"/>
  <c r="FI127" i="6"/>
  <c r="FJ127" i="6"/>
  <c r="FK127" i="6"/>
  <c r="FL127" i="6"/>
  <c r="FL129" i="6" s="1"/>
  <c r="FM127" i="6"/>
  <c r="FM129" i="6" s="1"/>
  <c r="FN127" i="6"/>
  <c r="FO127" i="6"/>
  <c r="FO129" i="6" s="1"/>
  <c r="FU120" i="6"/>
  <c r="FU119" i="6"/>
  <c r="BW89" i="6"/>
  <c r="AU125" i="6"/>
  <c r="AU124" i="6"/>
  <c r="AU123" i="6"/>
  <c r="FH126" i="6"/>
  <c r="FH124" i="6"/>
  <c r="FH123" i="6"/>
  <c r="FH122" i="6"/>
  <c r="FF126" i="6"/>
  <c r="FF124" i="6"/>
  <c r="FF123" i="6"/>
  <c r="FF122" i="6"/>
  <c r="FD126" i="6"/>
  <c r="FC126" i="6"/>
  <c r="FA126" i="6"/>
  <c r="EZ126" i="6"/>
  <c r="FD125" i="6"/>
  <c r="FC125" i="6"/>
  <c r="FA125" i="6"/>
  <c r="FD124" i="6"/>
  <c r="FC124" i="6"/>
  <c r="FD123" i="6"/>
  <c r="FC123" i="6"/>
  <c r="FA123" i="6"/>
  <c r="EZ123" i="6"/>
  <c r="FD122" i="6"/>
  <c r="EX65" i="6"/>
  <c r="EX124" i="6" s="1"/>
  <c r="EX86" i="6"/>
  <c r="EX56" i="6"/>
  <c r="EX125" i="6" s="1"/>
  <c r="EX110" i="6"/>
  <c r="EX123" i="6"/>
  <c r="EX59" i="6"/>
  <c r="EX68" i="6"/>
  <c r="EX89" i="6"/>
  <c r="EX104" i="6"/>
  <c r="FU104" i="6" s="1"/>
  <c r="EX126" i="6"/>
  <c r="EU74" i="6"/>
  <c r="EU126" i="6" s="1"/>
  <c r="EU125" i="6"/>
  <c r="EU124" i="6"/>
  <c r="EU123" i="6"/>
  <c r="EU122" i="6"/>
  <c r="EU127" i="6" s="1"/>
  <c r="EU129" i="6" s="1"/>
  <c r="EQ110" i="6"/>
  <c r="EQ47" i="6"/>
  <c r="EQ83" i="6"/>
  <c r="EQ125" i="6" s="1"/>
  <c r="EQ95" i="6"/>
  <c r="EQ126" i="6"/>
  <c r="EQ59" i="6"/>
  <c r="EQ89" i="6"/>
  <c r="EQ124" i="6"/>
  <c r="EM126" i="6"/>
  <c r="EM125" i="6"/>
  <c r="EM124" i="6"/>
  <c r="EM123" i="6"/>
  <c r="EM122" i="6"/>
  <c r="EM127" i="6" s="1"/>
  <c r="EM129" i="6" s="1"/>
  <c r="EG38" i="6"/>
  <c r="EG65" i="6"/>
  <c r="EH122" i="6"/>
  <c r="EG50" i="6"/>
  <c r="EG83" i="6"/>
  <c r="EG95" i="6"/>
  <c r="EG62" i="6"/>
  <c r="EG47" i="6"/>
  <c r="EG123" i="6" s="1"/>
  <c r="EG56" i="6"/>
  <c r="EG125" i="6" s="1"/>
  <c r="EG74" i="6"/>
  <c r="EG86" i="6"/>
  <c r="EG101" i="6"/>
  <c r="EG110" i="6"/>
  <c r="EG113" i="6"/>
  <c r="EG59" i="6"/>
  <c r="EG89" i="6"/>
  <c r="EG104" i="6"/>
  <c r="EG126" i="6"/>
  <c r="DY89" i="6"/>
  <c r="DW83" i="6"/>
  <c r="DU116" i="6"/>
  <c r="DU104" i="6"/>
  <c r="DU89" i="6"/>
  <c r="DU92" i="6"/>
  <c r="DU59" i="6"/>
  <c r="DS110" i="6"/>
  <c r="DS47" i="6"/>
  <c r="DS123" i="6" s="1"/>
  <c r="DY125" i="6"/>
  <c r="DY124" i="6"/>
  <c r="DY123" i="6"/>
  <c r="DW126" i="6"/>
  <c r="DS126" i="6"/>
  <c r="DS125" i="6"/>
  <c r="DS124" i="6"/>
  <c r="DS122" i="6"/>
  <c r="DP126" i="6"/>
  <c r="DO126" i="6"/>
  <c r="DO125" i="6"/>
  <c r="DO124" i="6"/>
  <c r="DO123" i="6"/>
  <c r="DO122" i="6"/>
  <c r="DG50" i="6"/>
  <c r="DG56" i="6"/>
  <c r="DG83" i="6"/>
  <c r="DG101" i="6"/>
  <c r="DG125" i="6" s="1"/>
  <c r="DG110" i="6"/>
  <c r="DG62" i="6"/>
  <c r="DG65" i="6"/>
  <c r="DG124" i="6"/>
  <c r="DG71" i="6"/>
  <c r="DG80" i="6"/>
  <c r="DG74" i="6"/>
  <c r="DG126" i="6"/>
  <c r="DG95" i="6"/>
  <c r="DG116" i="6"/>
  <c r="DF50" i="6"/>
  <c r="DF38" i="6"/>
  <c r="DF47" i="6"/>
  <c r="DF80" i="6"/>
  <c r="DF107" i="6"/>
  <c r="DF126" i="6" s="1"/>
  <c r="DF56" i="6"/>
  <c r="DF74" i="6"/>
  <c r="DG47" i="6"/>
  <c r="DG41" i="6"/>
  <c r="DG38" i="6"/>
  <c r="DF59" i="6"/>
  <c r="DF89" i="6"/>
  <c r="DF104" i="6"/>
  <c r="DG59" i="6"/>
  <c r="DG92" i="6"/>
  <c r="DG89" i="6"/>
  <c r="DG104" i="6"/>
  <c r="DG68" i="6"/>
  <c r="DG122" i="6" s="1"/>
  <c r="DF123" i="6"/>
  <c r="DD38" i="6"/>
  <c r="DD124" i="6" s="1"/>
  <c r="DD47" i="6"/>
  <c r="DD53" i="6"/>
  <c r="DD56" i="6"/>
  <c r="DD62" i="6"/>
  <c r="DD123" i="6"/>
  <c r="DD74" i="6"/>
  <c r="DD126" i="6" s="1"/>
  <c r="DD80" i="6"/>
  <c r="DD107" i="6"/>
  <c r="DD59" i="6"/>
  <c r="DD122" i="6" s="1"/>
  <c r="CX38" i="6"/>
  <c r="CX116" i="6"/>
  <c r="CX80" i="6"/>
  <c r="CX41" i="6"/>
  <c r="CX47" i="6"/>
  <c r="CX56" i="6"/>
  <c r="CX65" i="6"/>
  <c r="CX62" i="6"/>
  <c r="CX74" i="6"/>
  <c r="CX71" i="6"/>
  <c r="CX83" i="6"/>
  <c r="CX95" i="6"/>
  <c r="CX101" i="6"/>
  <c r="CX107" i="6"/>
  <c r="CX126" i="6" s="1"/>
  <c r="CX110" i="6"/>
  <c r="FU110" i="6" s="1"/>
  <c r="CX59" i="6"/>
  <c r="CX89" i="6"/>
  <c r="CX92" i="6"/>
  <c r="CX104" i="6"/>
  <c r="CY104" i="6"/>
  <c r="CX68" i="6"/>
  <c r="CW59" i="6"/>
  <c r="CW122" i="6" s="1"/>
  <c r="CW56" i="6"/>
  <c r="CW125" i="6" s="1"/>
  <c r="CW38" i="6"/>
  <c r="CW83" i="6"/>
  <c r="CW74" i="6"/>
  <c r="CW65" i="6"/>
  <c r="CW92" i="6"/>
  <c r="CW98" i="6"/>
  <c r="CW107" i="6"/>
  <c r="CW126" i="6" s="1"/>
  <c r="CW110" i="6"/>
  <c r="CW123" i="6"/>
  <c r="CW68" i="6"/>
  <c r="CW89" i="6"/>
  <c r="CW104" i="6"/>
  <c r="CV80" i="6"/>
  <c r="CV125" i="6"/>
  <c r="CV38" i="6"/>
  <c r="CV124" i="6" s="1"/>
  <c r="CV127" i="6" s="1"/>
  <c r="CV129" i="6" s="1"/>
  <c r="CV74" i="6"/>
  <c r="CV59" i="6"/>
  <c r="CV47" i="6"/>
  <c r="CV65" i="6"/>
  <c r="CV107" i="6"/>
  <c r="CV126" i="6" s="1"/>
  <c r="CV89" i="6"/>
  <c r="CV104" i="6"/>
  <c r="CV68" i="6"/>
  <c r="CZ122" i="6"/>
  <c r="CV123" i="6"/>
  <c r="CI104" i="6"/>
  <c r="CI59" i="6"/>
  <c r="CI68" i="6"/>
  <c r="CR65" i="6"/>
  <c r="CR126" i="6"/>
  <c r="CR125" i="6"/>
  <c r="CR123" i="6"/>
  <c r="CM125" i="6"/>
  <c r="CM123" i="6"/>
  <c r="CJ74" i="6"/>
  <c r="CJ59" i="6"/>
  <c r="CJ122" i="6" s="1"/>
  <c r="CJ83" i="6"/>
  <c r="CJ125" i="6"/>
  <c r="CJ101" i="6"/>
  <c r="CJ38" i="6"/>
  <c r="CJ47" i="6"/>
  <c r="CJ50" i="6"/>
  <c r="CJ56" i="6"/>
  <c r="CJ65" i="6"/>
  <c r="CJ124" i="6" s="1"/>
  <c r="CJ95" i="6"/>
  <c r="CJ107" i="6"/>
  <c r="CJ110" i="6"/>
  <c r="CJ89" i="6"/>
  <c r="CI65" i="6"/>
  <c r="CI83" i="6"/>
  <c r="CI74" i="6"/>
  <c r="CI126" i="6" s="1"/>
  <c r="CI71" i="6"/>
  <c r="CI50" i="6"/>
  <c r="CI47" i="6"/>
  <c r="CI123" i="6" s="1"/>
  <c r="CI95" i="6"/>
  <c r="CI38" i="6"/>
  <c r="CI124" i="6" s="1"/>
  <c r="CI53" i="6"/>
  <c r="CI56" i="6"/>
  <c r="CI98" i="6"/>
  <c r="CI101" i="6"/>
  <c r="CI89" i="6"/>
  <c r="CI110" i="6"/>
  <c r="CH98" i="6"/>
  <c r="CH50" i="6"/>
  <c r="CH56" i="6"/>
  <c r="CH125" i="6" s="1"/>
  <c r="CH47" i="6"/>
  <c r="CH65" i="6"/>
  <c r="CH124" i="6" s="1"/>
  <c r="CH74" i="6"/>
  <c r="CH83" i="6"/>
  <c r="CH107" i="6"/>
  <c r="CH126" i="6" s="1"/>
  <c r="CH110" i="6"/>
  <c r="CH123" i="6" s="1"/>
  <c r="CH89" i="6"/>
  <c r="CH104" i="6"/>
  <c r="CH59" i="6"/>
  <c r="CH68" i="6"/>
  <c r="CG104" i="6"/>
  <c r="CG38" i="6"/>
  <c r="CG124" i="6" s="1"/>
  <c r="CG59" i="6"/>
  <c r="CG68" i="6"/>
  <c r="CG89" i="6"/>
  <c r="CO126" i="6"/>
  <c r="CM126" i="6"/>
  <c r="CO125" i="6"/>
  <c r="CN125" i="6"/>
  <c r="CO124" i="6"/>
  <c r="CM124" i="6"/>
  <c r="CO123" i="6"/>
  <c r="CO122" i="6"/>
  <c r="CM122" i="6"/>
  <c r="CM127" i="6" s="1"/>
  <c r="CM129" i="6" s="1"/>
  <c r="CG126" i="6"/>
  <c r="CG125" i="6"/>
  <c r="CG123" i="6"/>
  <c r="CB56" i="6"/>
  <c r="CB53" i="6"/>
  <c r="CB125" i="6"/>
  <c r="CB38" i="6"/>
  <c r="CB124" i="6"/>
  <c r="CB47" i="6"/>
  <c r="CB123" i="6" s="1"/>
  <c r="CB65" i="6"/>
  <c r="CB68" i="6"/>
  <c r="CB71" i="6"/>
  <c r="CB74" i="6"/>
  <c r="CB126" i="6" s="1"/>
  <c r="CB83" i="6"/>
  <c r="CB89" i="6"/>
  <c r="CB92" i="6"/>
  <c r="CB95" i="6"/>
  <c r="CB101" i="6"/>
  <c r="CB104" i="6"/>
  <c r="CB110" i="6"/>
  <c r="BY83" i="6"/>
  <c r="BY125" i="6" s="1"/>
  <c r="BY38" i="6"/>
  <c r="BY47" i="6"/>
  <c r="BY74" i="6"/>
  <c r="BY110" i="6"/>
  <c r="BY107" i="6"/>
  <c r="BY126" i="6" s="1"/>
  <c r="BY92" i="6"/>
  <c r="BY89" i="6"/>
  <c r="BY68" i="6"/>
  <c r="BY59" i="6"/>
  <c r="BY122" i="6" s="1"/>
  <c r="BW38" i="6"/>
  <c r="BW107" i="6"/>
  <c r="BW126" i="6"/>
  <c r="CD126" i="6"/>
  <c r="BY124" i="6"/>
  <c r="BW125" i="6"/>
  <c r="BW124" i="6"/>
  <c r="BS65" i="6"/>
  <c r="BS50" i="6"/>
  <c r="BS62" i="6"/>
  <c r="BS74" i="6"/>
  <c r="BS95" i="6"/>
  <c r="BS126" i="6"/>
  <c r="BS59" i="6"/>
  <c r="BR59" i="6"/>
  <c r="BM89" i="6"/>
  <c r="BM110" i="6"/>
  <c r="BM122" i="6"/>
  <c r="BM127" i="6" s="1"/>
  <c r="BM129" i="6" s="1"/>
  <c r="BP89" i="6"/>
  <c r="BP38" i="6"/>
  <c r="BP124" i="6" s="1"/>
  <c r="BP56" i="6"/>
  <c r="BP59" i="6"/>
  <c r="BP65" i="6"/>
  <c r="BP68" i="6"/>
  <c r="BP122" i="6" s="1"/>
  <c r="BP71" i="6"/>
  <c r="BP123" i="6" s="1"/>
  <c r="BP83" i="6"/>
  <c r="BP95" i="6"/>
  <c r="BP126" i="6"/>
  <c r="BP101" i="6"/>
  <c r="BP110" i="6"/>
  <c r="BP116" i="6"/>
  <c r="BO89" i="6"/>
  <c r="BO59" i="6"/>
  <c r="BO56" i="6"/>
  <c r="BO125" i="6" s="1"/>
  <c r="BO95" i="6"/>
  <c r="BO38" i="6"/>
  <c r="BO47" i="6"/>
  <c r="BO50" i="6"/>
  <c r="BO68" i="6"/>
  <c r="BO74" i="6"/>
  <c r="BO126" i="6" s="1"/>
  <c r="BO83" i="6"/>
  <c r="BO110" i="6"/>
  <c r="BO123" i="6" s="1"/>
  <c r="BN59" i="6"/>
  <c r="BN89" i="6"/>
  <c r="BN110" i="6"/>
  <c r="BN83" i="6"/>
  <c r="BN56" i="6"/>
  <c r="BN125" i="6" s="1"/>
  <c r="BN47" i="6"/>
  <c r="BN123" i="6" s="1"/>
  <c r="BL59" i="6"/>
  <c r="BL74" i="6"/>
  <c r="BL89" i="6"/>
  <c r="BT125" i="6"/>
  <c r="BT124" i="6"/>
  <c r="BT123" i="6"/>
  <c r="BT122" i="6"/>
  <c r="BT127" i="6" s="1"/>
  <c r="BT129" i="6" s="1"/>
  <c r="BS124" i="6"/>
  <c r="BN126" i="6"/>
  <c r="BM126" i="6"/>
  <c r="BL126" i="6"/>
  <c r="BM125" i="6"/>
  <c r="BL125" i="6"/>
  <c r="BO124" i="6"/>
  <c r="BN124" i="6"/>
  <c r="BM124" i="6"/>
  <c r="BL124" i="6"/>
  <c r="BM123" i="6"/>
  <c r="BL123" i="6"/>
  <c r="BG126" i="6"/>
  <c r="BG125" i="6"/>
  <c r="BG124" i="6"/>
  <c r="BG123" i="6"/>
  <c r="BG122" i="6"/>
  <c r="BG127" i="6" s="1"/>
  <c r="BG129" i="6" s="1"/>
  <c r="BD59" i="6"/>
  <c r="BD92" i="6"/>
  <c r="BD89" i="6"/>
  <c r="BD110" i="6"/>
  <c r="BD38" i="6"/>
  <c r="BD47" i="6"/>
  <c r="BD123" i="6" s="1"/>
  <c r="BD65" i="6"/>
  <c r="BD124" i="6" s="1"/>
  <c r="BD68" i="6"/>
  <c r="BD107" i="6"/>
  <c r="CZ7" i="6"/>
  <c r="DP7" i="6"/>
  <c r="DU7" i="6"/>
  <c r="DY7" i="6"/>
  <c r="EE7" i="6"/>
  <c r="EH7" i="6"/>
  <c r="BB8" i="6"/>
  <c r="BC8" i="6"/>
  <c r="BD8" i="6"/>
  <c r="BE8" i="6"/>
  <c r="BF8" i="6"/>
  <c r="BG8" i="6"/>
  <c r="BL8" i="6"/>
  <c r="BM8" i="6"/>
  <c r="BN8" i="6"/>
  <c r="BP8" i="6"/>
  <c r="BQ8" i="6"/>
  <c r="BR8" i="6"/>
  <c r="BS8" i="6"/>
  <c r="BT8" i="6"/>
  <c r="BW8" i="6"/>
  <c r="BX8" i="6"/>
  <c r="BY8" i="6"/>
  <c r="BZ8" i="6"/>
  <c r="CA8" i="6"/>
  <c r="CB8" i="6"/>
  <c r="CC8" i="6"/>
  <c r="CF8" i="6"/>
  <c r="CG8" i="6"/>
  <c r="CH8" i="6"/>
  <c r="CI8" i="6"/>
  <c r="CJ8" i="6"/>
  <c r="CK8" i="6"/>
  <c r="CL8" i="6"/>
  <c r="CP8" i="6"/>
  <c r="CQ8" i="6"/>
  <c r="CS8" i="6"/>
  <c r="CU8" i="6"/>
  <c r="CV8" i="6"/>
  <c r="CW8" i="6"/>
  <c r="CX8" i="6"/>
  <c r="CY8" i="6"/>
  <c r="DA8" i="6"/>
  <c r="DB8" i="6"/>
  <c r="DD8" i="6"/>
  <c r="DF8" i="6"/>
  <c r="DG8" i="6"/>
  <c r="DH8" i="6"/>
  <c r="DI8" i="6"/>
  <c r="DJ8" i="6"/>
  <c r="DM8" i="6"/>
  <c r="DQ8" i="6"/>
  <c r="DS8" i="6"/>
  <c r="DW8" i="6"/>
  <c r="DY8" i="6"/>
  <c r="DZ8" i="6"/>
  <c r="EA8" i="6"/>
  <c r="EB8" i="6"/>
  <c r="EC8" i="6"/>
  <c r="ED8" i="6"/>
  <c r="EF8" i="6"/>
  <c r="EG8" i="6"/>
  <c r="EI8" i="6"/>
  <c r="EJ8" i="6"/>
  <c r="EK8" i="6"/>
  <c r="EL8" i="6"/>
  <c r="EM8" i="6"/>
  <c r="EN8" i="6"/>
  <c r="EP8" i="6"/>
  <c r="EQ8" i="6"/>
  <c r="ER8" i="6"/>
  <c r="ES8" i="6"/>
  <c r="EU8" i="6"/>
  <c r="CD9" i="6"/>
  <c r="CN9" i="6"/>
  <c r="CR9" i="6"/>
  <c r="FU9" i="6" s="1"/>
  <c r="EV10" i="6"/>
  <c r="EW10" i="6"/>
  <c r="FC10" i="6"/>
  <c r="FD10" i="6"/>
  <c r="FH10" i="6"/>
  <c r="EX11" i="6"/>
  <c r="EY11" i="6"/>
  <c r="EZ11" i="6"/>
  <c r="FA11" i="6"/>
  <c r="FB11" i="6"/>
  <c r="FE11" i="6"/>
  <c r="FF11" i="6"/>
  <c r="FG11" i="6"/>
  <c r="FI11" i="6"/>
  <c r="FJ11" i="6"/>
  <c r="FK11" i="6"/>
  <c r="DP14" i="6"/>
  <c r="EC14" i="6"/>
  <c r="ED14" i="6"/>
  <c r="EG14" i="6"/>
  <c r="EH14" i="6"/>
  <c r="EI14" i="6"/>
  <c r="EL14" i="6"/>
  <c r="EN14" i="6"/>
  <c r="EP14" i="6"/>
  <c r="EX14" i="6"/>
  <c r="FC16" i="6"/>
  <c r="BB17" i="6"/>
  <c r="BC17" i="6"/>
  <c r="BD17" i="6"/>
  <c r="BE17" i="6"/>
  <c r="BF17" i="6"/>
  <c r="BL17" i="6"/>
  <c r="BM17" i="6"/>
  <c r="BN17" i="6"/>
  <c r="BO17" i="6"/>
  <c r="BP17" i="6"/>
  <c r="BQ17" i="6"/>
  <c r="BR17" i="6"/>
  <c r="BS17" i="6"/>
  <c r="BW17" i="6"/>
  <c r="BX17" i="6"/>
  <c r="BY17" i="6"/>
  <c r="BZ17" i="6"/>
  <c r="CA17" i="6"/>
  <c r="CB17" i="6"/>
  <c r="CC17" i="6"/>
  <c r="CD17" i="6"/>
  <c r="CF17" i="6"/>
  <c r="CG17" i="6"/>
  <c r="CN17" i="6"/>
  <c r="CP17" i="6"/>
  <c r="CQ17" i="6"/>
  <c r="CR17" i="6"/>
  <c r="CS17" i="6"/>
  <c r="CV17" i="6"/>
  <c r="CW17" i="6"/>
  <c r="CX17" i="6"/>
  <c r="CY17" i="6"/>
  <c r="CZ17" i="6"/>
  <c r="DA17" i="6"/>
  <c r="DB17" i="6"/>
  <c r="DD17" i="6"/>
  <c r="DF17" i="6"/>
  <c r="DG17" i="6"/>
  <c r="DH17" i="6"/>
  <c r="DI17" i="6"/>
  <c r="DJ17" i="6"/>
  <c r="DU17" i="6"/>
  <c r="DV17" i="6"/>
  <c r="DW17" i="6"/>
  <c r="DZ17" i="6"/>
  <c r="EB17" i="6"/>
  <c r="EC17" i="6"/>
  <c r="ED17" i="6"/>
  <c r="EE17" i="6"/>
  <c r="EG17" i="6"/>
  <c r="EH17" i="6"/>
  <c r="EI17" i="6"/>
  <c r="EJ17" i="6"/>
  <c r="EK17" i="6"/>
  <c r="EL17" i="6"/>
  <c r="EN17" i="6"/>
  <c r="EP17" i="6"/>
  <c r="EQ17" i="6"/>
  <c r="ER17" i="6"/>
  <c r="ET17" i="6"/>
  <c r="EU17" i="6"/>
  <c r="EV17" i="6"/>
  <c r="EW17" i="6"/>
  <c r="EX17" i="6"/>
  <c r="EY17" i="6"/>
  <c r="FC17" i="6"/>
  <c r="DP20" i="6"/>
  <c r="FU20" i="6" s="1"/>
  <c r="EC20" i="6"/>
  <c r="ED20" i="6"/>
  <c r="EG20" i="6"/>
  <c r="EH20" i="6"/>
  <c r="EI20" i="6"/>
  <c r="EL20" i="6"/>
  <c r="EN20" i="6"/>
  <c r="EP20" i="6"/>
  <c r="EX20" i="6"/>
  <c r="DP23" i="6"/>
  <c r="DV23" i="6"/>
  <c r="DZ23" i="6"/>
  <c r="EC23" i="6"/>
  <c r="EF23" i="6"/>
  <c r="EJ23" i="6"/>
  <c r="EV23" i="6"/>
  <c r="DP26" i="6"/>
  <c r="FU26" i="6" s="1"/>
  <c r="EC26" i="6"/>
  <c r="EG26" i="6"/>
  <c r="EH26" i="6"/>
  <c r="EL26" i="6"/>
  <c r="EN26" i="6"/>
  <c r="EP26" i="6"/>
  <c r="EX26" i="6"/>
  <c r="FC28" i="6"/>
  <c r="BB29" i="6"/>
  <c r="BC29" i="6"/>
  <c r="BD29" i="6"/>
  <c r="BE29" i="6"/>
  <c r="BF29" i="6"/>
  <c r="BL29" i="6"/>
  <c r="BM29" i="6"/>
  <c r="BN29" i="6"/>
  <c r="BO29" i="6"/>
  <c r="BP29" i="6"/>
  <c r="BQ29" i="6"/>
  <c r="BR29" i="6"/>
  <c r="BS29" i="6"/>
  <c r="BW29" i="6"/>
  <c r="BX29" i="6"/>
  <c r="BY29" i="6"/>
  <c r="BZ29" i="6"/>
  <c r="CA29" i="6"/>
  <c r="CB29" i="6"/>
  <c r="CC29" i="6"/>
  <c r="CD29" i="6"/>
  <c r="CF29" i="6"/>
  <c r="CG29" i="6"/>
  <c r="CN29" i="6"/>
  <c r="CP29" i="6"/>
  <c r="CQ29" i="6"/>
  <c r="CR29" i="6"/>
  <c r="CS29" i="6"/>
  <c r="CV29" i="6"/>
  <c r="CW29" i="6"/>
  <c r="CX29" i="6"/>
  <c r="CY29" i="6"/>
  <c r="CZ29" i="6"/>
  <c r="DA29" i="6"/>
  <c r="DB29" i="6"/>
  <c r="DD29" i="6"/>
  <c r="DF29" i="6"/>
  <c r="DG29" i="6"/>
  <c r="DH29" i="6"/>
  <c r="DI29" i="6"/>
  <c r="DJ29" i="6"/>
  <c r="DU29" i="6"/>
  <c r="DV29" i="6"/>
  <c r="DW29" i="6"/>
  <c r="DZ29" i="6"/>
  <c r="EB29" i="6"/>
  <c r="EC29" i="6"/>
  <c r="ED29" i="6"/>
  <c r="EE29" i="6"/>
  <c r="EG29" i="6"/>
  <c r="EH29" i="6"/>
  <c r="EI29" i="6"/>
  <c r="EJ29" i="6"/>
  <c r="EK29" i="6"/>
  <c r="EL29" i="6"/>
  <c r="EN29" i="6"/>
  <c r="EP29" i="6"/>
  <c r="EQ29" i="6"/>
  <c r="ER29" i="6"/>
  <c r="ET29" i="6"/>
  <c r="EU29" i="6"/>
  <c r="EV29" i="6"/>
  <c r="EW29" i="6"/>
  <c r="EX29" i="6"/>
  <c r="EY29" i="6"/>
  <c r="FC29" i="6"/>
  <c r="BB32" i="6"/>
  <c r="BC32" i="6"/>
  <c r="BD32" i="6"/>
  <c r="BE32" i="6"/>
  <c r="BF32" i="6"/>
  <c r="BG32" i="6"/>
  <c r="BL32" i="6"/>
  <c r="BM32" i="6"/>
  <c r="BN32" i="6"/>
  <c r="BO32" i="6"/>
  <c r="BP32" i="6"/>
  <c r="BQ32" i="6"/>
  <c r="BR32" i="6"/>
  <c r="BS32" i="6"/>
  <c r="BW32" i="6"/>
  <c r="BX32" i="6"/>
  <c r="BY32" i="6"/>
  <c r="BZ32" i="6"/>
  <c r="CB32" i="6"/>
  <c r="CC32" i="6"/>
  <c r="CD32" i="6"/>
  <c r="CF32" i="6"/>
  <c r="CG32" i="6"/>
  <c r="CH32" i="6"/>
  <c r="CI32" i="6"/>
  <c r="CJ32" i="6"/>
  <c r="CK32" i="6"/>
  <c r="CL32" i="6"/>
  <c r="CN32" i="6"/>
  <c r="CP32" i="6"/>
  <c r="CQ32" i="6"/>
  <c r="CR32" i="6"/>
  <c r="CS32" i="6"/>
  <c r="CV32" i="6"/>
  <c r="CW32" i="6"/>
  <c r="CX32" i="6"/>
  <c r="CY32" i="6"/>
  <c r="CZ32" i="6"/>
  <c r="DF32" i="6"/>
  <c r="DG32" i="6"/>
  <c r="DH32" i="6"/>
  <c r="DI32" i="6"/>
  <c r="DJ32" i="6"/>
  <c r="DU32" i="6"/>
  <c r="DZ32" i="6"/>
  <c r="EH32" i="6"/>
  <c r="EI32" i="6"/>
  <c r="BB38" i="6"/>
  <c r="BC38" i="6"/>
  <c r="BE38" i="6"/>
  <c r="BR38" i="6"/>
  <c r="BZ38" i="6"/>
  <c r="CC38" i="6"/>
  <c r="CD38" i="6"/>
  <c r="CD124" i="6" s="1"/>
  <c r="CF38" i="6"/>
  <c r="CK38" i="6"/>
  <c r="CN38" i="6"/>
  <c r="CN124" i="6" s="1"/>
  <c r="CP38" i="6"/>
  <c r="CQ38" i="6"/>
  <c r="CR38" i="6"/>
  <c r="CR124" i="6" s="1"/>
  <c r="CS38" i="6"/>
  <c r="CU38" i="6"/>
  <c r="CY38" i="6"/>
  <c r="CZ38" i="6"/>
  <c r="CZ124" i="6" s="1"/>
  <c r="DA38" i="6"/>
  <c r="DB38" i="6"/>
  <c r="DH38" i="6"/>
  <c r="DI38" i="6"/>
  <c r="DJ38" i="6"/>
  <c r="DM38" i="6"/>
  <c r="DU38" i="6"/>
  <c r="DU124" i="6" s="1"/>
  <c r="DW38" i="6"/>
  <c r="DW124" i="6" s="1"/>
  <c r="EC38" i="6"/>
  <c r="ED38" i="6"/>
  <c r="EE38" i="6"/>
  <c r="EE124" i="6" s="1"/>
  <c r="EH38" i="6"/>
  <c r="EI38" i="6"/>
  <c r="EJ38" i="6"/>
  <c r="EK38" i="6"/>
  <c r="EL38" i="6"/>
  <c r="EN38" i="6"/>
  <c r="CF41" i="6"/>
  <c r="CS41" i="6"/>
  <c r="DU41" i="6"/>
  <c r="BC44" i="6"/>
  <c r="BB47" i="6"/>
  <c r="BC47" i="6"/>
  <c r="BE47" i="6"/>
  <c r="BP47" i="6"/>
  <c r="BQ47" i="6"/>
  <c r="BR47" i="6"/>
  <c r="BZ47" i="6"/>
  <c r="CC47" i="6"/>
  <c r="CD47" i="6"/>
  <c r="CD123" i="6" s="1"/>
  <c r="CF47" i="6"/>
  <c r="CK47" i="6"/>
  <c r="CN47" i="6"/>
  <c r="CN123" i="6" s="1"/>
  <c r="CP47" i="6"/>
  <c r="CQ47" i="6"/>
  <c r="CR47" i="6"/>
  <c r="CY47" i="6"/>
  <c r="CZ47" i="6"/>
  <c r="DA47" i="6"/>
  <c r="DH47" i="6"/>
  <c r="DI47" i="6"/>
  <c r="DJ47" i="6"/>
  <c r="DM47" i="6"/>
  <c r="DP47" i="6"/>
  <c r="DQ47" i="6"/>
  <c r="DR47" i="6"/>
  <c r="DU47" i="6"/>
  <c r="DU123" i="6" s="1"/>
  <c r="DV47" i="6"/>
  <c r="DW47" i="6"/>
  <c r="DW123" i="6" s="1"/>
  <c r="DZ47" i="6"/>
  <c r="EB47" i="6"/>
  <c r="EC47" i="6"/>
  <c r="ED47" i="6"/>
  <c r="EE47" i="6"/>
  <c r="EF47" i="6"/>
  <c r="EH47" i="6"/>
  <c r="EH123" i="6" s="1"/>
  <c r="EJ47" i="6"/>
  <c r="EK47" i="6"/>
  <c r="EN47" i="6"/>
  <c r="EO47" i="6"/>
  <c r="EP47" i="6"/>
  <c r="ER47" i="6"/>
  <c r="ET47" i="6"/>
  <c r="EU47" i="6"/>
  <c r="EV47" i="6"/>
  <c r="EV123" i="6" s="1"/>
  <c r="EW47" i="6"/>
  <c r="BQ50" i="6"/>
  <c r="BZ50" i="6"/>
  <c r="CN50" i="6"/>
  <c r="CP50" i="6"/>
  <c r="CQ50" i="6"/>
  <c r="CR50" i="6"/>
  <c r="CU50" i="6"/>
  <c r="DI50" i="6"/>
  <c r="DU50" i="6"/>
  <c r="EC50" i="6"/>
  <c r="CD53" i="6"/>
  <c r="CL53" i="6"/>
  <c r="CP53" i="6"/>
  <c r="CU53" i="6"/>
  <c r="DI53" i="6"/>
  <c r="EC53" i="6"/>
  <c r="BB56" i="6"/>
  <c r="BC56" i="6"/>
  <c r="CC56" i="6"/>
  <c r="CL56" i="6"/>
  <c r="CP56" i="6"/>
  <c r="CQ56" i="6"/>
  <c r="CS56" i="6"/>
  <c r="CZ56" i="6"/>
  <c r="DH56" i="6"/>
  <c r="DI56" i="6"/>
  <c r="DJ56" i="6"/>
  <c r="DU56" i="6"/>
  <c r="DW56" i="6"/>
  <c r="DW125" i="6" s="1"/>
  <c r="EC56" i="6"/>
  <c r="ED56" i="6"/>
  <c r="EH56" i="6"/>
  <c r="EH125" i="6" s="1"/>
  <c r="EI56" i="6"/>
  <c r="EK56" i="6"/>
  <c r="EL56" i="6"/>
  <c r="EN56" i="6"/>
  <c r="DT58" i="6"/>
  <c r="FU58" i="6" s="1"/>
  <c r="BB59" i="6"/>
  <c r="BE59" i="6"/>
  <c r="BF59" i="6"/>
  <c r="BQ59" i="6"/>
  <c r="BW59" i="6"/>
  <c r="BW122" i="6" s="1"/>
  <c r="BW127" i="6" s="1"/>
  <c r="BX59" i="6"/>
  <c r="BZ59" i="6"/>
  <c r="CA59" i="6"/>
  <c r="CC59" i="6"/>
  <c r="CD59" i="6"/>
  <c r="CF59" i="6"/>
  <c r="CK59" i="6"/>
  <c r="CL59" i="6"/>
  <c r="CN59" i="6"/>
  <c r="CP59" i="6"/>
  <c r="CQ59" i="6"/>
  <c r="CR59" i="6"/>
  <c r="CS59" i="6"/>
  <c r="CU59" i="6"/>
  <c r="CY59" i="6"/>
  <c r="CZ59" i="6"/>
  <c r="DA59" i="6"/>
  <c r="DH59" i="6"/>
  <c r="DI59" i="6"/>
  <c r="DJ59" i="6"/>
  <c r="DM59" i="6"/>
  <c r="DN59" i="6"/>
  <c r="DP59" i="6"/>
  <c r="DQ59" i="6"/>
  <c r="DV59" i="6"/>
  <c r="DW59" i="6"/>
  <c r="DW122" i="6" s="1"/>
  <c r="DY59" i="6"/>
  <c r="DY122" i="6" s="1"/>
  <c r="DY127" i="6" s="1"/>
  <c r="DY129" i="6" s="1"/>
  <c r="DZ59" i="6"/>
  <c r="EA59" i="6"/>
  <c r="EB59" i="6"/>
  <c r="EC59" i="6"/>
  <c r="ED59" i="6"/>
  <c r="EE59" i="6"/>
  <c r="EH59" i="6"/>
  <c r="EI59" i="6"/>
  <c r="EK59" i="6"/>
  <c r="EL59" i="6"/>
  <c r="EN59" i="6"/>
  <c r="EP59" i="6"/>
  <c r="ER59" i="6"/>
  <c r="ES59" i="6"/>
  <c r="ET59" i="6"/>
  <c r="EU59" i="6"/>
  <c r="EV59" i="6"/>
  <c r="EV122" i="6" s="1"/>
  <c r="EW59" i="6"/>
  <c r="BC62" i="6"/>
  <c r="BF62" i="6"/>
  <c r="CD62" i="6"/>
  <c r="CS62" i="6"/>
  <c r="DC62" i="6"/>
  <c r="DI62" i="6"/>
  <c r="DP62" i="6"/>
  <c r="DU62" i="6"/>
  <c r="DV62" i="6"/>
  <c r="DW62" i="6"/>
  <c r="DZ62" i="6"/>
  <c r="EC62" i="6"/>
  <c r="ED62" i="6"/>
  <c r="EE62" i="6"/>
  <c r="EJ62" i="6"/>
  <c r="EK62" i="6"/>
  <c r="EL62" i="6"/>
  <c r="EN62" i="6"/>
  <c r="EP62" i="6"/>
  <c r="EV62" i="6"/>
  <c r="EW62" i="6"/>
  <c r="EW123" i="6" s="1"/>
  <c r="BC65" i="6"/>
  <c r="BE65" i="6"/>
  <c r="BQ65" i="6"/>
  <c r="CC65" i="6"/>
  <c r="CF65" i="6"/>
  <c r="CK65" i="6"/>
  <c r="CN65" i="6"/>
  <c r="CP65" i="6"/>
  <c r="CS65" i="6"/>
  <c r="CY65" i="6"/>
  <c r="CZ65" i="6"/>
  <c r="DF65" i="6"/>
  <c r="DF124" i="6" s="1"/>
  <c r="DH65" i="6"/>
  <c r="DI65" i="6"/>
  <c r="DM65" i="6"/>
  <c r="DP65" i="6"/>
  <c r="DP124" i="6" s="1"/>
  <c r="DQ65" i="6"/>
  <c r="DU65" i="6"/>
  <c r="DW65" i="6"/>
  <c r="DZ65" i="6"/>
  <c r="EC65" i="6"/>
  <c r="EE65" i="6"/>
  <c r="EF65" i="6"/>
  <c r="EH65" i="6"/>
  <c r="EI65" i="6"/>
  <c r="EV65" i="6"/>
  <c r="EV124" i="6" s="1"/>
  <c r="EW65" i="6"/>
  <c r="EW124" i="6" s="1"/>
  <c r="EZ65" i="6"/>
  <c r="EZ124" i="6" s="1"/>
  <c r="FA65" i="6"/>
  <c r="FA124" i="6" s="1"/>
  <c r="BB68" i="6"/>
  <c r="BC68" i="6"/>
  <c r="BE68" i="6"/>
  <c r="BF68" i="6"/>
  <c r="BN68" i="6"/>
  <c r="BN122" i="6" s="1"/>
  <c r="BQ68" i="6"/>
  <c r="BR68" i="6"/>
  <c r="BS68" i="6"/>
  <c r="BS122" i="6" s="1"/>
  <c r="BW68" i="6"/>
  <c r="BX68" i="6"/>
  <c r="BZ68" i="6"/>
  <c r="CA68" i="6"/>
  <c r="CC68" i="6"/>
  <c r="CF68" i="6"/>
  <c r="CK68" i="6"/>
  <c r="CL68" i="6"/>
  <c r="CN68" i="6"/>
  <c r="CP68" i="6"/>
  <c r="CR68" i="6"/>
  <c r="CY68" i="6"/>
  <c r="CZ68" i="6"/>
  <c r="DD68" i="6"/>
  <c r="DF68" i="6"/>
  <c r="DH68" i="6"/>
  <c r="DI68" i="6"/>
  <c r="DJ68" i="6"/>
  <c r="DP68" i="6"/>
  <c r="DQ68" i="6"/>
  <c r="DU68" i="6"/>
  <c r="DU122" i="6" s="1"/>
  <c r="DW68" i="6"/>
  <c r="DZ68" i="6"/>
  <c r="EC68" i="6"/>
  <c r="ED68" i="6"/>
  <c r="EG68" i="6"/>
  <c r="EH68" i="6"/>
  <c r="EI68" i="6"/>
  <c r="EN68" i="6"/>
  <c r="EP68" i="6"/>
  <c r="EQ68" i="6"/>
  <c r="ER68" i="6"/>
  <c r="EV68" i="6"/>
  <c r="EW68" i="6"/>
  <c r="EZ68" i="6"/>
  <c r="EZ122" i="6" s="1"/>
  <c r="EZ127" i="6" s="1"/>
  <c r="EZ129" i="6" s="1"/>
  <c r="BC71" i="6"/>
  <c r="BR71" i="6"/>
  <c r="CK71" i="6"/>
  <c r="CP71" i="6"/>
  <c r="CQ71" i="6"/>
  <c r="CR71" i="6"/>
  <c r="CS71" i="6"/>
  <c r="CZ71" i="6"/>
  <c r="DA71" i="6"/>
  <c r="DM71" i="6"/>
  <c r="DU71" i="6"/>
  <c r="EV71" i="6"/>
  <c r="FD73" i="6"/>
  <c r="BB74" i="6"/>
  <c r="BE74" i="6"/>
  <c r="BF74" i="6"/>
  <c r="BR74" i="6"/>
  <c r="BT74" i="6"/>
  <c r="BT126" i="6" s="1"/>
  <c r="BZ74" i="6"/>
  <c r="CC74" i="6"/>
  <c r="CD74" i="6"/>
  <c r="CF74" i="6"/>
  <c r="CK74" i="6"/>
  <c r="CL74" i="6"/>
  <c r="CQ74" i="6"/>
  <c r="CR74" i="6"/>
  <c r="CS74" i="6"/>
  <c r="CU74" i="6"/>
  <c r="CY74" i="6"/>
  <c r="CZ74" i="6"/>
  <c r="CZ126" i="6" s="1"/>
  <c r="DA74" i="6"/>
  <c r="DH74" i="6"/>
  <c r="DI74" i="6"/>
  <c r="DU74" i="6"/>
  <c r="DU126" i="6" s="1"/>
  <c r="DW74" i="6"/>
  <c r="DY74" i="6"/>
  <c r="DY126" i="6" s="1"/>
  <c r="EC74" i="6"/>
  <c r="ED74" i="6"/>
  <c r="EE74" i="6"/>
  <c r="EI74" i="6"/>
  <c r="EK74" i="6"/>
  <c r="EL74" i="6"/>
  <c r="EP74" i="6"/>
  <c r="ER74" i="6"/>
  <c r="ET74" i="6"/>
  <c r="FB74" i="6"/>
  <c r="FD74" i="6"/>
  <c r="FJ74" i="6"/>
  <c r="EH77" i="6"/>
  <c r="EN77" i="6"/>
  <c r="EU77" i="6"/>
  <c r="EV77" i="6"/>
  <c r="EW77" i="6"/>
  <c r="EW126" i="6" s="1"/>
  <c r="EY77" i="6"/>
  <c r="FG77" i="6"/>
  <c r="FJ77" i="6"/>
  <c r="DJ80" i="6"/>
  <c r="FU80" i="6" s="1"/>
  <c r="BB83" i="6"/>
  <c r="BC83" i="6"/>
  <c r="BE83" i="6"/>
  <c r="BQ83" i="6"/>
  <c r="BZ83" i="6"/>
  <c r="CC83" i="6"/>
  <c r="CD83" i="6"/>
  <c r="CD125" i="6" s="1"/>
  <c r="CK83" i="6"/>
  <c r="CN83" i="6"/>
  <c r="CP83" i="6"/>
  <c r="CQ83" i="6"/>
  <c r="CR83" i="6"/>
  <c r="CU83" i="6"/>
  <c r="CY83" i="6"/>
  <c r="CZ83" i="6"/>
  <c r="DF83" i="6"/>
  <c r="DH83" i="6"/>
  <c r="DI83" i="6"/>
  <c r="DQ83" i="6"/>
  <c r="DU83" i="6"/>
  <c r="DZ83" i="6"/>
  <c r="EB83" i="6"/>
  <c r="EC83" i="6"/>
  <c r="ED83" i="6"/>
  <c r="EE83" i="6"/>
  <c r="EE125" i="6" s="1"/>
  <c r="EI83" i="6"/>
  <c r="EK83" i="6"/>
  <c r="EL83" i="6"/>
  <c r="EN83" i="6"/>
  <c r="EP83" i="6"/>
  <c r="FH85" i="6"/>
  <c r="FH125" i="6" s="1"/>
  <c r="FU85" i="6"/>
  <c r="DQ86" i="6"/>
  <c r="DZ86" i="6"/>
  <c r="EH86" i="6"/>
  <c r="EN86" i="6"/>
  <c r="EP86" i="6"/>
  <c r="EW86" i="6"/>
  <c r="EW125" i="6" s="1"/>
  <c r="EZ86" i="6"/>
  <c r="EZ125" i="6" s="1"/>
  <c r="FF86" i="6"/>
  <c r="FF125" i="6" s="1"/>
  <c r="FH86" i="6"/>
  <c r="FC88" i="6"/>
  <c r="FC122" i="6" s="1"/>
  <c r="FC127" i="6" s="1"/>
  <c r="FC129" i="6" s="1"/>
  <c r="BB89" i="6"/>
  <c r="BC89" i="6"/>
  <c r="BE89" i="6"/>
  <c r="BF89" i="6"/>
  <c r="BQ89" i="6"/>
  <c r="BR89" i="6"/>
  <c r="BS89" i="6"/>
  <c r="BT89" i="6"/>
  <c r="BX89" i="6"/>
  <c r="BZ89" i="6"/>
  <c r="CA89" i="6"/>
  <c r="CC89" i="6"/>
  <c r="CD89" i="6"/>
  <c r="CF89" i="6"/>
  <c r="CK89" i="6"/>
  <c r="CL89" i="6"/>
  <c r="CN89" i="6"/>
  <c r="CP89" i="6"/>
  <c r="CQ89" i="6"/>
  <c r="CR89" i="6"/>
  <c r="CS89" i="6"/>
  <c r="CU89" i="6"/>
  <c r="CY89" i="6"/>
  <c r="CZ89" i="6"/>
  <c r="DA89" i="6"/>
  <c r="DD89" i="6"/>
  <c r="DH89" i="6"/>
  <c r="DI89" i="6"/>
  <c r="DJ89" i="6"/>
  <c r="DM89" i="6"/>
  <c r="DP89" i="6"/>
  <c r="DQ89" i="6"/>
  <c r="DW89" i="6"/>
  <c r="DZ89" i="6"/>
  <c r="EB89" i="6"/>
  <c r="EC89" i="6"/>
  <c r="ED89" i="6"/>
  <c r="EE89" i="6"/>
  <c r="EH89" i="6"/>
  <c r="EI89" i="6"/>
  <c r="EK89" i="6"/>
  <c r="EL89" i="6"/>
  <c r="EN89" i="6"/>
  <c r="EP89" i="6"/>
  <c r="ER89" i="6"/>
  <c r="ES89" i="6"/>
  <c r="ET89" i="6"/>
  <c r="EU89" i="6"/>
  <c r="EV89" i="6"/>
  <c r="EW89" i="6"/>
  <c r="EZ89" i="6"/>
  <c r="FA89" i="6"/>
  <c r="FA122" i="6" s="1"/>
  <c r="FB89" i="6"/>
  <c r="FC89" i="6"/>
  <c r="FD89" i="6"/>
  <c r="FG89" i="6"/>
  <c r="FJ89" i="6"/>
  <c r="FK89" i="6"/>
  <c r="BB92" i="6"/>
  <c r="BC92" i="6"/>
  <c r="BE92" i="6"/>
  <c r="BF92" i="6"/>
  <c r="BZ92" i="6"/>
  <c r="CC92" i="6"/>
  <c r="CD92" i="6"/>
  <c r="CF92" i="6"/>
  <c r="CN92" i="6"/>
  <c r="CN122" i="6" s="1"/>
  <c r="CN127" i="6" s="1"/>
  <c r="CN129" i="6" s="1"/>
  <c r="CP92" i="6"/>
  <c r="CQ92" i="6"/>
  <c r="CR92" i="6"/>
  <c r="CS92" i="6"/>
  <c r="CU92" i="6"/>
  <c r="CY92" i="6"/>
  <c r="CZ92" i="6"/>
  <c r="DD92" i="6"/>
  <c r="DH92" i="6"/>
  <c r="DI92" i="6"/>
  <c r="DJ92" i="6"/>
  <c r="DW92" i="6"/>
  <c r="EB92" i="6"/>
  <c r="EC92" i="6"/>
  <c r="ED92" i="6"/>
  <c r="EE92" i="6"/>
  <c r="EF92" i="6"/>
  <c r="EG92" i="6"/>
  <c r="EG122" i="6" s="1"/>
  <c r="EH92" i="6"/>
  <c r="EI92" i="6"/>
  <c r="EK92" i="6"/>
  <c r="EL92" i="6"/>
  <c r="EN92" i="6"/>
  <c r="EP92" i="6"/>
  <c r="EQ92" i="6"/>
  <c r="ER92" i="6"/>
  <c r="ET92" i="6"/>
  <c r="EU92" i="6"/>
  <c r="EW92" i="6"/>
  <c r="CK95" i="6"/>
  <c r="CL95" i="6"/>
  <c r="CP95" i="6"/>
  <c r="CQ95" i="6"/>
  <c r="CR95" i="6"/>
  <c r="CS95" i="6"/>
  <c r="CY95" i="6"/>
  <c r="CZ95" i="6"/>
  <c r="DI95" i="6"/>
  <c r="DJ95" i="6"/>
  <c r="EC95" i="6"/>
  <c r="ED95" i="6"/>
  <c r="EE95" i="6"/>
  <c r="EE126" i="6" s="1"/>
  <c r="EH95" i="6"/>
  <c r="EN95" i="6"/>
  <c r="EP95" i="6"/>
  <c r="ET95" i="6"/>
  <c r="EW95" i="6"/>
  <c r="DI98" i="6"/>
  <c r="BC101" i="6"/>
  <c r="BR101" i="6"/>
  <c r="CC101" i="6"/>
  <c r="CD101" i="6"/>
  <c r="CK101" i="6"/>
  <c r="CL101" i="6"/>
  <c r="CP101" i="6"/>
  <c r="CQ101" i="6"/>
  <c r="CR101" i="6"/>
  <c r="CY101" i="6"/>
  <c r="CZ101" i="6"/>
  <c r="DH101" i="6"/>
  <c r="DI101" i="6"/>
  <c r="DM101" i="6"/>
  <c r="DP101" i="6"/>
  <c r="DP125" i="6" s="1"/>
  <c r="DU101" i="6"/>
  <c r="DU125" i="6" s="1"/>
  <c r="DW101" i="6"/>
  <c r="EC101" i="6"/>
  <c r="EH101" i="6"/>
  <c r="EV101" i="6"/>
  <c r="EV125" i="6" s="1"/>
  <c r="BQ104" i="6"/>
  <c r="BR104" i="6"/>
  <c r="CC104" i="6"/>
  <c r="CK104" i="6"/>
  <c r="CL104" i="6"/>
  <c r="CN104" i="6"/>
  <c r="CP104" i="6"/>
  <c r="CS104" i="6"/>
  <c r="DH104" i="6"/>
  <c r="DI104" i="6"/>
  <c r="EC104" i="6"/>
  <c r="EH104" i="6"/>
  <c r="EV104" i="6"/>
  <c r="EW104" i="6"/>
  <c r="BC107" i="6"/>
  <c r="BF107" i="6"/>
  <c r="CD107" i="6"/>
  <c r="CF107" i="6"/>
  <c r="CK107" i="6"/>
  <c r="CN107" i="6"/>
  <c r="CN126" i="6" s="1"/>
  <c r="CR107" i="6"/>
  <c r="CS107" i="6"/>
  <c r="CU107" i="6"/>
  <c r="DH107" i="6"/>
  <c r="DI107" i="6"/>
  <c r="DJ107" i="6"/>
  <c r="EC107" i="6"/>
  <c r="EI107" i="6"/>
  <c r="EV107" i="6"/>
  <c r="BB110" i="6"/>
  <c r="BC110" i="6"/>
  <c r="BE110" i="6"/>
  <c r="BF110" i="6"/>
  <c r="BL110" i="6"/>
  <c r="BQ110" i="6"/>
  <c r="BR110" i="6"/>
  <c r="BS110" i="6"/>
  <c r="BS123" i="6" s="1"/>
  <c r="BW110" i="6"/>
  <c r="BW123" i="6" s="1"/>
  <c r="BX110" i="6"/>
  <c r="BZ110" i="6"/>
  <c r="CA110" i="6"/>
  <c r="CC110" i="6"/>
  <c r="CD110" i="6"/>
  <c r="CF110" i="6"/>
  <c r="CK110" i="6"/>
  <c r="CL110" i="6"/>
  <c r="CN110" i="6"/>
  <c r="CP110" i="6"/>
  <c r="CQ110" i="6"/>
  <c r="CR110" i="6"/>
  <c r="CS110" i="6"/>
  <c r="DA110" i="6"/>
  <c r="DB110" i="6"/>
  <c r="DI110" i="6"/>
  <c r="DM110" i="6"/>
  <c r="DQ110" i="6"/>
  <c r="DU110" i="6"/>
  <c r="DW110" i="6"/>
  <c r="DZ110" i="6"/>
  <c r="EB110" i="6"/>
  <c r="EC110" i="6"/>
  <c r="ED110" i="6"/>
  <c r="EE110" i="6"/>
  <c r="EH110" i="6"/>
  <c r="EI110" i="6"/>
  <c r="EK110" i="6"/>
  <c r="EL110" i="6"/>
  <c r="EN110" i="6"/>
  <c r="EP110" i="6"/>
  <c r="EV110" i="6"/>
  <c r="EW110" i="6"/>
  <c r="ED113" i="6"/>
  <c r="FU113" i="6" s="1"/>
  <c r="EE113" i="6"/>
  <c r="EH113" i="6"/>
  <c r="EI113" i="6"/>
  <c r="EK113" i="6"/>
  <c r="EL113" i="6"/>
  <c r="EN113" i="6"/>
  <c r="BC116" i="6"/>
  <c r="FU116" i="6" s="1"/>
  <c r="CK116" i="6"/>
  <c r="CP116" i="6"/>
  <c r="ED116" i="6"/>
  <c r="FU41" i="6"/>
  <c r="FU12" i="6"/>
  <c r="FU13" i="6"/>
  <c r="FU15" i="6"/>
  <c r="FU16" i="6"/>
  <c r="FU18" i="6"/>
  <c r="FU19" i="6"/>
  <c r="FU21" i="6"/>
  <c r="FU22" i="6"/>
  <c r="FU24" i="6"/>
  <c r="FU25" i="6"/>
  <c r="FU27" i="6"/>
  <c r="FU28" i="6"/>
  <c r="FU30" i="6"/>
  <c r="FU31" i="6"/>
  <c r="FU33" i="6"/>
  <c r="FU34" i="6"/>
  <c r="FU36" i="6"/>
  <c r="FU37" i="6"/>
  <c r="FU39" i="6"/>
  <c r="FU40" i="6"/>
  <c r="FU42" i="6"/>
  <c r="FU43" i="6"/>
  <c r="FU44" i="6"/>
  <c r="FU45" i="6"/>
  <c r="FU46" i="6"/>
  <c r="FU48" i="6"/>
  <c r="FU49" i="6"/>
  <c r="FU51" i="6"/>
  <c r="FU52" i="6"/>
  <c r="FU54" i="6"/>
  <c r="FU55" i="6"/>
  <c r="FU57" i="6"/>
  <c r="FU60" i="6"/>
  <c r="FU61" i="6"/>
  <c r="FU63" i="6"/>
  <c r="FU64" i="6"/>
  <c r="FU66" i="6"/>
  <c r="FU67" i="6"/>
  <c r="FU69" i="6"/>
  <c r="FU70" i="6"/>
  <c r="FU72" i="6"/>
  <c r="FU73" i="6"/>
  <c r="FU75" i="6"/>
  <c r="FU76" i="6"/>
  <c r="FU78" i="6"/>
  <c r="FU79" i="6"/>
  <c r="FU81" i="6"/>
  <c r="FU82" i="6"/>
  <c r="FU84" i="6"/>
  <c r="FU87" i="6"/>
  <c r="FU88" i="6"/>
  <c r="FU90" i="6"/>
  <c r="FU91" i="6"/>
  <c r="FU93" i="6"/>
  <c r="FU94" i="6"/>
  <c r="FU96" i="6"/>
  <c r="FU97" i="6"/>
  <c r="FU99" i="6"/>
  <c r="FU100" i="6"/>
  <c r="FU102" i="6"/>
  <c r="FU103" i="6"/>
  <c r="FU105" i="6"/>
  <c r="FU106" i="6"/>
  <c r="FU108" i="6"/>
  <c r="FU109" i="6"/>
  <c r="FU111" i="6"/>
  <c r="FU112" i="6"/>
  <c r="FU114" i="6"/>
  <c r="FU115" i="6"/>
  <c r="FU117" i="6"/>
  <c r="AX89" i="6"/>
  <c r="AX59" i="6"/>
  <c r="AX122" i="6"/>
  <c r="AD38" i="6"/>
  <c r="AD124" i="6"/>
  <c r="AD104" i="6"/>
  <c r="AD65" i="6"/>
  <c r="AD47" i="6"/>
  <c r="AD71" i="6"/>
  <c r="AD74" i="6"/>
  <c r="AD126" i="6"/>
  <c r="BD126" i="6"/>
  <c r="BD125" i="6"/>
  <c r="BA126" i="6"/>
  <c r="BA125" i="6"/>
  <c r="BA124" i="6"/>
  <c r="BA123" i="6"/>
  <c r="BA122" i="6"/>
  <c r="AX126" i="6"/>
  <c r="AX125" i="6"/>
  <c r="AX124" i="6"/>
  <c r="AD125" i="6"/>
  <c r="AD123" i="6"/>
  <c r="AB59" i="6"/>
  <c r="AB104" i="6"/>
  <c r="AB89" i="6"/>
  <c r="AB68" i="6"/>
  <c r="AB122" i="6" s="1"/>
  <c r="AB127" i="6" s="1"/>
  <c r="AB129" i="6" s="1"/>
  <c r="AB38" i="6"/>
  <c r="AB74" i="6"/>
  <c r="AB126" i="6" s="1"/>
  <c r="Y59" i="6"/>
  <c r="Y38" i="6"/>
  <c r="Y124" i="6"/>
  <c r="Y47" i="6"/>
  <c r="Y123" i="6" s="1"/>
  <c r="Y68" i="6"/>
  <c r="Y71" i="6"/>
  <c r="Y74" i="6"/>
  <c r="Y126" i="6" s="1"/>
  <c r="Y89" i="6"/>
  <c r="Y92" i="6"/>
  <c r="Y104" i="6"/>
  <c r="X59" i="6"/>
  <c r="X68" i="6"/>
  <c r="X38" i="6"/>
  <c r="X124" i="6"/>
  <c r="X47" i="6"/>
  <c r="X123" i="6" s="1"/>
  <c r="X89" i="6"/>
  <c r="X92" i="6"/>
  <c r="N126" i="6"/>
  <c r="N125" i="6"/>
  <c r="K126" i="6"/>
  <c r="K125" i="6"/>
  <c r="K124" i="6"/>
  <c r="K123" i="6"/>
  <c r="K122" i="6"/>
  <c r="O124" i="6"/>
  <c r="T125" i="6"/>
  <c r="X126" i="6"/>
  <c r="T71" i="6"/>
  <c r="T47" i="6"/>
  <c r="T123" i="6" s="1"/>
  <c r="T38" i="6"/>
  <c r="T124" i="6" s="1"/>
  <c r="T74" i="6"/>
  <c r="T126" i="6" s="1"/>
  <c r="AB125" i="6"/>
  <c r="AB124" i="6"/>
  <c r="AB123" i="6"/>
  <c r="Y125" i="6"/>
  <c r="X125" i="6"/>
  <c r="O74" i="6"/>
  <c r="O126" i="6" s="1"/>
  <c r="O47" i="6"/>
  <c r="O123" i="6" s="1"/>
  <c r="O56" i="6"/>
  <c r="O125" i="6" s="1"/>
  <c r="O71" i="6"/>
  <c r="O89" i="6"/>
  <c r="O92" i="6"/>
  <c r="O104" i="6"/>
  <c r="N74" i="6"/>
  <c r="K89" i="6"/>
  <c r="K92" i="6"/>
  <c r="K47" i="6"/>
  <c r="K59" i="6"/>
  <c r="J8" i="6"/>
  <c r="K8" i="6"/>
  <c r="M8" i="6"/>
  <c r="N8" i="6"/>
  <c r="O8" i="6"/>
  <c r="P8" i="6"/>
  <c r="S8" i="6"/>
  <c r="T8" i="6"/>
  <c r="U8" i="6"/>
  <c r="X8" i="6"/>
  <c r="Y8" i="6"/>
  <c r="Z8" i="6"/>
  <c r="AA8" i="6"/>
  <c r="AB8" i="6"/>
  <c r="AC8" i="6"/>
  <c r="AD8" i="6"/>
  <c r="AE8" i="6"/>
  <c r="AF8" i="6"/>
  <c r="AG8" i="6"/>
  <c r="AH8" i="6"/>
  <c r="AK8" i="6"/>
  <c r="AL8" i="6"/>
  <c r="AM8" i="6"/>
  <c r="AU8" i="6"/>
  <c r="AX8" i="6"/>
  <c r="AY8" i="6"/>
  <c r="AZ8" i="6"/>
  <c r="AS11" i="6"/>
  <c r="FU11" i="6" s="1"/>
  <c r="L38" i="6"/>
  <c r="M38" i="6"/>
  <c r="N38" i="6"/>
  <c r="N124" i="6" s="1"/>
  <c r="Q38" i="6"/>
  <c r="S38" i="6"/>
  <c r="AA38" i="6"/>
  <c r="AC38" i="6"/>
  <c r="J47" i="6"/>
  <c r="L47" i="6"/>
  <c r="N47" i="6"/>
  <c r="N123" i="6" s="1"/>
  <c r="P47" i="6"/>
  <c r="Q47" i="6"/>
  <c r="R47" i="6"/>
  <c r="S47" i="6"/>
  <c r="U47" i="6"/>
  <c r="V47" i="6"/>
  <c r="W47" i="6"/>
  <c r="AA47" i="6"/>
  <c r="AC47" i="6"/>
  <c r="AF47" i="6"/>
  <c r="AG47" i="6"/>
  <c r="AH47" i="6"/>
  <c r="AI47" i="6"/>
  <c r="AJ47" i="6"/>
  <c r="AZ47" i="6"/>
  <c r="AF56" i="6"/>
  <c r="FU56" i="6" s="1"/>
  <c r="AG56" i="6"/>
  <c r="AS56" i="6"/>
  <c r="H59" i="6"/>
  <c r="J59" i="6"/>
  <c r="L59" i="6"/>
  <c r="M59" i="6"/>
  <c r="N59" i="6"/>
  <c r="N122" i="6" s="1"/>
  <c r="N127" i="6" s="1"/>
  <c r="N129" i="6" s="1"/>
  <c r="O59" i="6"/>
  <c r="O122" i="6" s="1"/>
  <c r="Q59" i="6"/>
  <c r="S59" i="6"/>
  <c r="T59" i="6"/>
  <c r="V59" i="6"/>
  <c r="AA59" i="6"/>
  <c r="AC59" i="6"/>
  <c r="AD59" i="6"/>
  <c r="AD122" i="6" s="1"/>
  <c r="AD127" i="6" s="1"/>
  <c r="AD129" i="6" s="1"/>
  <c r="AK59" i="6"/>
  <c r="AL59" i="6"/>
  <c r="AM59" i="6"/>
  <c r="AS59" i="6"/>
  <c r="AT59" i="6"/>
  <c r="AU59" i="6"/>
  <c r="AY59" i="6"/>
  <c r="AZ59" i="6"/>
  <c r="AC65" i="6"/>
  <c r="M68" i="6"/>
  <c r="N68" i="6"/>
  <c r="O68" i="6"/>
  <c r="S68" i="6"/>
  <c r="T68" i="6"/>
  <c r="AA68" i="6"/>
  <c r="AC68" i="6"/>
  <c r="AD68" i="6"/>
  <c r="AU68" i="6"/>
  <c r="AX68" i="6"/>
  <c r="AY68" i="6"/>
  <c r="AZ68" i="6"/>
  <c r="S71" i="6"/>
  <c r="AA71" i="6"/>
  <c r="AC71" i="6"/>
  <c r="AF71" i="6"/>
  <c r="AG71" i="6"/>
  <c r="AH71" i="6"/>
  <c r="J74" i="6"/>
  <c r="M74" i="6"/>
  <c r="S74" i="6"/>
  <c r="Z74" i="6"/>
  <c r="AA74" i="6"/>
  <c r="AC74" i="6"/>
  <c r="AF74" i="6"/>
  <c r="AG74" i="6"/>
  <c r="AU74" i="6"/>
  <c r="AU126" i="6" s="1"/>
  <c r="AZ83" i="6"/>
  <c r="H89" i="6"/>
  <c r="J89" i="6"/>
  <c r="L89" i="6"/>
  <c r="M89" i="6"/>
  <c r="N89" i="6"/>
  <c r="R89" i="6"/>
  <c r="S89" i="6"/>
  <c r="T89" i="6"/>
  <c r="W89" i="6"/>
  <c r="AA89" i="6"/>
  <c r="AC89" i="6"/>
  <c r="AD89" i="6"/>
  <c r="AS89" i="6"/>
  <c r="AT89" i="6"/>
  <c r="AY89" i="6"/>
  <c r="AZ89" i="6"/>
  <c r="H92" i="6"/>
  <c r="J92" i="6"/>
  <c r="L92" i="6"/>
  <c r="M92" i="6"/>
  <c r="N92" i="6"/>
  <c r="Q92" i="6"/>
  <c r="S92" i="6"/>
  <c r="T92" i="6"/>
  <c r="W92" i="6"/>
  <c r="AA92" i="6"/>
  <c r="AZ98" i="6"/>
  <c r="FU98" i="6" s="1"/>
  <c r="M104" i="6"/>
  <c r="N104" i="6"/>
  <c r="S104" i="6"/>
  <c r="T104" i="6"/>
  <c r="AA104" i="6"/>
  <c r="AC104" i="6"/>
  <c r="J107" i="6"/>
  <c r="M107" i="6"/>
  <c r="P107" i="6"/>
  <c r="AC107" i="6"/>
  <c r="AZ107" i="6"/>
  <c r="AX110" i="6"/>
  <c r="AX123" i="6" s="1"/>
  <c r="AY110" i="6"/>
  <c r="AZ110" i="6"/>
  <c r="AF17" i="6"/>
  <c r="FU17" i="6" s="1"/>
  <c r="AG17" i="6"/>
  <c r="AH17" i="6"/>
  <c r="AI17" i="6"/>
  <c r="AJ17" i="6"/>
  <c r="AX17" i="6"/>
  <c r="AY17" i="6"/>
  <c r="AZ17" i="6"/>
  <c r="J23" i="6"/>
  <c r="FU23" i="6" s="1"/>
  <c r="K23" i="6"/>
  <c r="M23" i="6"/>
  <c r="N23" i="6"/>
  <c r="O23" i="6"/>
  <c r="S23" i="6"/>
  <c r="T23" i="6"/>
  <c r="X23" i="6"/>
  <c r="Y23" i="6"/>
  <c r="AA23" i="6"/>
  <c r="AF23" i="6"/>
  <c r="AG23" i="6"/>
  <c r="AK23" i="6"/>
  <c r="AL23" i="6"/>
  <c r="AN23" i="6"/>
  <c r="AP23" i="6"/>
  <c r="AF29" i="6"/>
  <c r="FU29" i="6" s="1"/>
  <c r="AG29" i="6"/>
  <c r="AH29" i="6"/>
  <c r="AI29" i="6"/>
  <c r="AJ29" i="6"/>
  <c r="AX29" i="6"/>
  <c r="AY29" i="6"/>
  <c r="AZ29" i="6"/>
  <c r="J32" i="6"/>
  <c r="FU32" i="6" s="1"/>
  <c r="K32" i="6"/>
  <c r="N32" i="6"/>
  <c r="O32" i="6"/>
  <c r="S32" i="6"/>
  <c r="T32" i="6"/>
  <c r="X32" i="6"/>
  <c r="Y32" i="6"/>
  <c r="Z32" i="6"/>
  <c r="AA32" i="6"/>
  <c r="AB32" i="6"/>
  <c r="AC32" i="6"/>
  <c r="AD32" i="6"/>
  <c r="AX32" i="6"/>
  <c r="AY32" i="6"/>
  <c r="AZ32" i="6"/>
  <c r="AS35" i="6"/>
  <c r="FU35" i="6" s="1"/>
  <c r="FU118" i="6"/>
  <c r="FU121" i="6" s="1"/>
  <c r="EQ123" i="6"/>
  <c r="EG124" i="6"/>
  <c r="DD125" i="6"/>
  <c r="CW124" i="6"/>
  <c r="CV122" i="6"/>
  <c r="CJ123" i="6"/>
  <c r="CI125" i="6"/>
  <c r="CI122" i="6"/>
  <c r="CH122" i="6"/>
  <c r="CG122" i="6"/>
  <c r="CG127" i="6" s="1"/>
  <c r="CG129" i="6" s="1"/>
  <c r="FU53" i="6"/>
  <c r="BY123" i="6"/>
  <c r="BY127" i="6" s="1"/>
  <c r="BY129" i="6" s="1"/>
  <c r="BS125" i="6"/>
  <c r="BL122" i="6"/>
  <c r="BL127" i="6" s="1"/>
  <c r="BL129" i="6" s="1"/>
  <c r="BD122" i="6"/>
  <c r="Y122" i="6"/>
  <c r="X122" i="6"/>
  <c r="X127" i="6" s="1"/>
  <c r="X129" i="6" s="1"/>
  <c r="C15" i="4"/>
  <c r="A15" i="4"/>
  <c r="FV121" i="5"/>
  <c r="FV120" i="5"/>
  <c r="FV119" i="5"/>
  <c r="FV118" i="5"/>
  <c r="FV117" i="5"/>
  <c r="FI50" i="5"/>
  <c r="FI38" i="5"/>
  <c r="FI41" i="5"/>
  <c r="FI56" i="5"/>
  <c r="FI119" i="5"/>
  <c r="FI65" i="5"/>
  <c r="FI121" i="5"/>
  <c r="FI80" i="5"/>
  <c r="FI89" i="5"/>
  <c r="FI59" i="5"/>
  <c r="FI117" i="5" s="1"/>
  <c r="FI122" i="5" s="1"/>
  <c r="FI74" i="5"/>
  <c r="FI92" i="5"/>
  <c r="FH65" i="5"/>
  <c r="FI35" i="5"/>
  <c r="FH92" i="5"/>
  <c r="FH35" i="5"/>
  <c r="FH53" i="5"/>
  <c r="FH56" i="5"/>
  <c r="FH119" i="5" s="1"/>
  <c r="FH80" i="5"/>
  <c r="FH89" i="5"/>
  <c r="FH83" i="5"/>
  <c r="FH96" i="5"/>
  <c r="FH50" i="5"/>
  <c r="FH74" i="5"/>
  <c r="FR121" i="5"/>
  <c r="FN121" i="5"/>
  <c r="FL121" i="5"/>
  <c r="FK121" i="5"/>
  <c r="FR120" i="5"/>
  <c r="FL120" i="5"/>
  <c r="FK120" i="5"/>
  <c r="FI120" i="5"/>
  <c r="FH120" i="5"/>
  <c r="FR119" i="5"/>
  <c r="FN119" i="5"/>
  <c r="FK119" i="5"/>
  <c r="FR118" i="5"/>
  <c r="FN118" i="5"/>
  <c r="FK117" i="5"/>
  <c r="FK122" i="5"/>
  <c r="FE62" i="5"/>
  <c r="FE121" i="5" s="1"/>
  <c r="FE120" i="5"/>
  <c r="FE119" i="5"/>
  <c r="ER50" i="5"/>
  <c r="ER92" i="5"/>
  <c r="ER38" i="5"/>
  <c r="ER56" i="5"/>
  <c r="ER59" i="5"/>
  <c r="ER102" i="5"/>
  <c r="ER32" i="5"/>
  <c r="ER35" i="5"/>
  <c r="ER65" i="5"/>
  <c r="ER74" i="5"/>
  <c r="ER80" i="5"/>
  <c r="ER83" i="5"/>
  <c r="ER89" i="5"/>
  <c r="ER96" i="5"/>
  <c r="ER120" i="5"/>
  <c r="EP56" i="5"/>
  <c r="EP119" i="5"/>
  <c r="EP59" i="5"/>
  <c r="EP71" i="5"/>
  <c r="EP38" i="5"/>
  <c r="EP41" i="5"/>
  <c r="EP86" i="5"/>
  <c r="EP89" i="5"/>
  <c r="EP83" i="5"/>
  <c r="EP80" i="5"/>
  <c r="EP53" i="5"/>
  <c r="EP118" i="5" s="1"/>
  <c r="EP32" i="5"/>
  <c r="EP62" i="5"/>
  <c r="EP102" i="5"/>
  <c r="EP50" i="5"/>
  <c r="EP74" i="5"/>
  <c r="EP92" i="5"/>
  <c r="EM65" i="5"/>
  <c r="EM68" i="5"/>
  <c r="EM96" i="5"/>
  <c r="EK35" i="5"/>
  <c r="EI89" i="5"/>
  <c r="EI96" i="5"/>
  <c r="EI121" i="5" s="1"/>
  <c r="ER121" i="5"/>
  <c r="EP121" i="5"/>
  <c r="EK121" i="5"/>
  <c r="EK120" i="5"/>
  <c r="EI120" i="5"/>
  <c r="EW119" i="5"/>
  <c r="EK119" i="5"/>
  <c r="EF86" i="5"/>
  <c r="EF120" i="5" s="1"/>
  <c r="EF62" i="5"/>
  <c r="EF71" i="5"/>
  <c r="EB35" i="5"/>
  <c r="EB83" i="5"/>
  <c r="DY59" i="5"/>
  <c r="DY41" i="5"/>
  <c r="DY38" i="5"/>
  <c r="DY35" i="5"/>
  <c r="DY118" i="5" s="1"/>
  <c r="DY122" i="5" s="1"/>
  <c r="DY50" i="5"/>
  <c r="DY74" i="5"/>
  <c r="DY56" i="5"/>
  <c r="DY80" i="5"/>
  <c r="DY83" i="5"/>
  <c r="DY89" i="5"/>
  <c r="EF121" i="5"/>
  <c r="EB121" i="5"/>
  <c r="DY121" i="5"/>
  <c r="EB120" i="5"/>
  <c r="DY120" i="5"/>
  <c r="EB119" i="5"/>
  <c r="DY119" i="5"/>
  <c r="EB117" i="5"/>
  <c r="DM50" i="5"/>
  <c r="DM117" i="5"/>
  <c r="DM32" i="5"/>
  <c r="DM119" i="5" s="1"/>
  <c r="DM35" i="5"/>
  <c r="DM68" i="5"/>
  <c r="DM121" i="5"/>
  <c r="DM71" i="5"/>
  <c r="DM102" i="5"/>
  <c r="DM120" i="5"/>
  <c r="DL102" i="5"/>
  <c r="GI102" i="5" s="1"/>
  <c r="DL89" i="5"/>
  <c r="DL86" i="5"/>
  <c r="DL80" i="5"/>
  <c r="DL71" i="5"/>
  <c r="DL35" i="5"/>
  <c r="DL38" i="5"/>
  <c r="DL41" i="5"/>
  <c r="DL47" i="5"/>
  <c r="DL120" i="5" s="1"/>
  <c r="DL53" i="5"/>
  <c r="DL56" i="5"/>
  <c r="DL32" i="5"/>
  <c r="DL92" i="5"/>
  <c r="DL59" i="5"/>
  <c r="DL50" i="5"/>
  <c r="DL74" i="5"/>
  <c r="DJ86" i="5"/>
  <c r="DJ53" i="5"/>
  <c r="DJ35" i="5"/>
  <c r="DJ47" i="5"/>
  <c r="DJ38" i="5"/>
  <c r="DJ41" i="5"/>
  <c r="DJ32" i="5"/>
  <c r="DJ56" i="5"/>
  <c r="DJ80" i="5"/>
  <c r="DJ89" i="5"/>
  <c r="DJ96" i="5"/>
  <c r="DJ62" i="5"/>
  <c r="DJ71" i="5"/>
  <c r="DJ105" i="5"/>
  <c r="DJ121" i="5" s="1"/>
  <c r="DJ59" i="5"/>
  <c r="DJ117" i="5" s="1"/>
  <c r="DJ50" i="5"/>
  <c r="DJ74" i="5"/>
  <c r="DJ92" i="5"/>
  <c r="DG89" i="5"/>
  <c r="DG80" i="5"/>
  <c r="DG68" i="5"/>
  <c r="DG121" i="5" s="1"/>
  <c r="DG71" i="5"/>
  <c r="DG120" i="5" s="1"/>
  <c r="DG96" i="5"/>
  <c r="DG53" i="5"/>
  <c r="DG35" i="5"/>
  <c r="DG32" i="5"/>
  <c r="DG74" i="5"/>
  <c r="DG50" i="5"/>
  <c r="DG117" i="5" s="1"/>
  <c r="DG122" i="5" s="1"/>
  <c r="DB38" i="5"/>
  <c r="DB35" i="5"/>
  <c r="DB32" i="5"/>
  <c r="DB59" i="5"/>
  <c r="DB56" i="5"/>
  <c r="DB50" i="5"/>
  <c r="DB68" i="5"/>
  <c r="DB121" i="5" s="1"/>
  <c r="DB71" i="5"/>
  <c r="DB120" i="5" s="1"/>
  <c r="DB74" i="5"/>
  <c r="DB80" i="5"/>
  <c r="DB86" i="5"/>
  <c r="DB89" i="5"/>
  <c r="DB92" i="5"/>
  <c r="GI92" i="5" s="1"/>
  <c r="DL121" i="5"/>
  <c r="DG119" i="5"/>
  <c r="DA38" i="5"/>
  <c r="DA89" i="5"/>
  <c r="DA86" i="5"/>
  <c r="DA120" i="5" s="1"/>
  <c r="DA80" i="5"/>
  <c r="DA118" i="5" s="1"/>
  <c r="DA71" i="5"/>
  <c r="DA68" i="5"/>
  <c r="DA62" i="5"/>
  <c r="DA35" i="5"/>
  <c r="DA56" i="5"/>
  <c r="DA32" i="5"/>
  <c r="DA50" i="5"/>
  <c r="DA59" i="5"/>
  <c r="DA74" i="5"/>
  <c r="DA92" i="5"/>
  <c r="DA96" i="5"/>
  <c r="CZ71" i="5"/>
  <c r="CZ80" i="5"/>
  <c r="CZ105" i="5"/>
  <c r="CZ96" i="5"/>
  <c r="CZ121" i="5" s="1"/>
  <c r="CZ89" i="5"/>
  <c r="CZ86" i="5"/>
  <c r="CZ38" i="5"/>
  <c r="CZ35" i="5"/>
  <c r="CZ56" i="5"/>
  <c r="CZ32" i="5"/>
  <c r="CZ119" i="5" s="1"/>
  <c r="CZ50" i="5"/>
  <c r="CZ59" i="5"/>
  <c r="CZ74" i="5"/>
  <c r="CZ92" i="5"/>
  <c r="CY68" i="5"/>
  <c r="CY89" i="5"/>
  <c r="CY118" i="5"/>
  <c r="CY62" i="5"/>
  <c r="CY121" i="5" s="1"/>
  <c r="CY32" i="5"/>
  <c r="CY56" i="5"/>
  <c r="CY50" i="5"/>
  <c r="CY59" i="5"/>
  <c r="CY74" i="5"/>
  <c r="CY92" i="5"/>
  <c r="C8" i="4"/>
  <c r="B8" i="4"/>
  <c r="CX50" i="5"/>
  <c r="CX59" i="5"/>
  <c r="CX74" i="5"/>
  <c r="CX117" i="5"/>
  <c r="CX92" i="5"/>
  <c r="CX62" i="5"/>
  <c r="CX121" i="5"/>
  <c r="CX89" i="5"/>
  <c r="CX118" i="5" s="1"/>
  <c r="CX80" i="5"/>
  <c r="CX38" i="5"/>
  <c r="CX56" i="5"/>
  <c r="CX32" i="5"/>
  <c r="CX119" i="5" s="1"/>
  <c r="CZ120" i="5"/>
  <c r="CY120" i="5"/>
  <c r="DB119" i="5"/>
  <c r="DA119" i="5"/>
  <c r="CY119" i="5"/>
  <c r="CS80" i="5"/>
  <c r="CS89" i="5"/>
  <c r="CS86" i="5"/>
  <c r="CS41" i="5"/>
  <c r="CS38" i="5"/>
  <c r="CS35" i="5"/>
  <c r="CS47" i="5"/>
  <c r="CS32" i="5"/>
  <c r="CS50" i="5"/>
  <c r="CS74" i="5"/>
  <c r="CS71" i="5"/>
  <c r="CS120" i="5" s="1"/>
  <c r="CS62" i="5"/>
  <c r="CS121" i="5" s="1"/>
  <c r="CS96" i="5"/>
  <c r="CR50" i="5"/>
  <c r="CR92" i="5"/>
  <c r="CR74" i="5"/>
  <c r="CR62" i="5"/>
  <c r="CR71" i="5"/>
  <c r="CR105" i="5"/>
  <c r="CR121" i="5" s="1"/>
  <c r="CR32" i="5"/>
  <c r="CR41" i="5"/>
  <c r="CR35" i="5"/>
  <c r="CR38" i="5"/>
  <c r="CR47" i="5"/>
  <c r="CR56" i="5"/>
  <c r="CR119" i="5" s="1"/>
  <c r="CR59" i="5"/>
  <c r="CR117" i="5" s="1"/>
  <c r="CR80" i="5"/>
  <c r="CR86" i="5"/>
  <c r="CR89" i="5"/>
  <c r="CQ32" i="5"/>
  <c r="CQ62" i="5"/>
  <c r="CQ121" i="5"/>
  <c r="CQ89" i="5"/>
  <c r="CQ80" i="5"/>
  <c r="CQ71" i="5"/>
  <c r="CQ47" i="5"/>
  <c r="CQ120" i="5"/>
  <c r="CQ41" i="5"/>
  <c r="CQ38" i="5"/>
  <c r="CQ56" i="5"/>
  <c r="CQ119" i="5"/>
  <c r="CQ50" i="5"/>
  <c r="CQ59" i="5"/>
  <c r="CQ74" i="5"/>
  <c r="CQ92" i="5"/>
  <c r="CM86" i="5"/>
  <c r="CM56" i="5"/>
  <c r="CM62" i="5"/>
  <c r="CM121" i="5" s="1"/>
  <c r="CM99" i="5"/>
  <c r="CM89" i="5"/>
  <c r="CM80" i="5"/>
  <c r="CM71" i="5"/>
  <c r="CM47" i="5"/>
  <c r="CM120" i="5" s="1"/>
  <c r="CM41" i="5"/>
  <c r="CM38" i="5"/>
  <c r="CM118" i="5" s="1"/>
  <c r="CM35" i="5"/>
  <c r="CM32" i="5"/>
  <c r="CM119" i="5" s="1"/>
  <c r="CM50" i="5"/>
  <c r="CM59" i="5"/>
  <c r="CM74" i="5"/>
  <c r="CM92" i="5"/>
  <c r="CM117" i="5" s="1"/>
  <c r="CM122" i="5" s="1"/>
  <c r="CX120" i="5"/>
  <c r="CS119" i="5"/>
  <c r="CS117" i="5"/>
  <c r="CL59" i="5"/>
  <c r="CL41" i="5"/>
  <c r="CL38" i="5"/>
  <c r="CL47" i="5"/>
  <c r="CL120" i="5" s="1"/>
  <c r="CL56" i="5"/>
  <c r="CL119" i="5"/>
  <c r="CL62" i="5"/>
  <c r="CL74" i="5"/>
  <c r="CL92" i="5"/>
  <c r="CL71" i="5"/>
  <c r="CL80" i="5"/>
  <c r="CL89" i="5"/>
  <c r="CL99" i="5"/>
  <c r="CK59" i="5"/>
  <c r="CF62" i="5"/>
  <c r="CF86" i="5"/>
  <c r="CF121" i="5"/>
  <c r="CF32" i="5"/>
  <c r="CF119" i="5" s="1"/>
  <c r="CF35" i="5"/>
  <c r="CF38" i="5"/>
  <c r="CF41" i="5"/>
  <c r="CF56" i="5"/>
  <c r="CF71" i="5"/>
  <c r="CF120" i="5" s="1"/>
  <c r="CF80" i="5"/>
  <c r="CF118" i="5" s="1"/>
  <c r="CF89" i="5"/>
  <c r="CF99" i="5"/>
  <c r="CF92" i="5"/>
  <c r="CF59" i="5"/>
  <c r="CF74" i="5"/>
  <c r="CL121" i="5"/>
  <c r="CK121" i="5"/>
  <c r="CJ121" i="5"/>
  <c r="CK120" i="5"/>
  <c r="CJ120" i="5"/>
  <c r="CJ119" i="5"/>
  <c r="CG119" i="5"/>
  <c r="CJ118" i="5"/>
  <c r="CJ117" i="5"/>
  <c r="CJ122" i="5" s="1"/>
  <c r="CG117" i="5"/>
  <c r="CF117" i="5"/>
  <c r="CC47" i="5"/>
  <c r="CC89" i="5"/>
  <c r="CC62" i="5"/>
  <c r="CC96" i="5"/>
  <c r="CC80" i="5"/>
  <c r="CC71" i="5"/>
  <c r="CC120" i="5" s="1"/>
  <c r="CC59" i="5"/>
  <c r="CC117" i="5" s="1"/>
  <c r="CC122" i="5" s="1"/>
  <c r="CC41" i="5"/>
  <c r="CC118" i="5" s="1"/>
  <c r="CC38" i="5"/>
  <c r="CC32" i="5"/>
  <c r="CC50" i="5"/>
  <c r="CC74" i="5"/>
  <c r="CB89" i="5"/>
  <c r="CB41" i="5"/>
  <c r="GI41" i="5" s="1"/>
  <c r="CB38" i="5"/>
  <c r="CB80" i="5"/>
  <c r="CB71" i="5"/>
  <c r="CB62" i="5"/>
  <c r="CB56" i="5"/>
  <c r="CB32" i="5"/>
  <c r="CB119" i="5"/>
  <c r="CB96" i="5"/>
  <c r="GI96" i="5" s="1"/>
  <c r="CB59" i="5"/>
  <c r="CB50" i="5"/>
  <c r="CB74" i="5"/>
  <c r="CA74" i="5"/>
  <c r="CA62" i="5"/>
  <c r="CA121" i="5"/>
  <c r="CA89" i="5"/>
  <c r="CA118" i="5" s="1"/>
  <c r="BY32" i="5"/>
  <c r="BY74" i="5"/>
  <c r="BY62" i="5"/>
  <c r="BY89" i="5"/>
  <c r="BY121" i="5"/>
  <c r="CB120" i="5"/>
  <c r="CA120" i="5"/>
  <c r="BY120" i="5"/>
  <c r="CC119" i="5"/>
  <c r="CA119" i="5"/>
  <c r="BY119" i="5"/>
  <c r="BY118" i="5"/>
  <c r="CB117" i="5"/>
  <c r="BS50" i="5"/>
  <c r="BS53" i="5"/>
  <c r="BS41" i="5"/>
  <c r="BS62" i="5"/>
  <c r="BS121" i="5" s="1"/>
  <c r="BS71" i="5"/>
  <c r="BS89" i="5"/>
  <c r="BS99" i="5"/>
  <c r="BS56" i="5"/>
  <c r="BS119" i="5" s="1"/>
  <c r="BS35" i="5"/>
  <c r="BS38" i="5"/>
  <c r="BS47" i="5"/>
  <c r="BS120" i="5"/>
  <c r="BS74" i="5"/>
  <c r="BQ50" i="5"/>
  <c r="BQ47" i="5"/>
  <c r="BQ56" i="5"/>
  <c r="BQ119" i="5" s="1"/>
  <c r="BQ35" i="5"/>
  <c r="BQ38" i="5"/>
  <c r="BQ41" i="5"/>
  <c r="BQ59" i="5"/>
  <c r="BQ71" i="5"/>
  <c r="BQ74" i="5"/>
  <c r="BQ80" i="5"/>
  <c r="BQ89" i="5"/>
  <c r="BQ92" i="5"/>
  <c r="BQ99" i="5"/>
  <c r="BP50" i="5"/>
  <c r="BP68" i="5"/>
  <c r="BP56" i="5"/>
  <c r="BP41" i="5"/>
  <c r="BP38" i="5"/>
  <c r="BP35" i="5"/>
  <c r="BP32" i="5"/>
  <c r="BP71" i="5"/>
  <c r="BP80" i="5"/>
  <c r="BP89" i="5"/>
  <c r="BP105" i="5"/>
  <c r="BP86" i="5"/>
  <c r="BP120" i="5"/>
  <c r="BP59" i="5"/>
  <c r="BP74" i="5"/>
  <c r="BL50" i="5"/>
  <c r="BL74" i="5"/>
  <c r="BL117" i="5" s="1"/>
  <c r="BL122" i="5" s="1"/>
  <c r="BL89" i="5"/>
  <c r="BL118" i="5" s="1"/>
  <c r="BL62" i="5"/>
  <c r="BL121" i="5"/>
  <c r="BT121" i="5"/>
  <c r="BQ121" i="5"/>
  <c r="BO121" i="5"/>
  <c r="BN121" i="5"/>
  <c r="BT120" i="5"/>
  <c r="BL120" i="5"/>
  <c r="BT119" i="5"/>
  <c r="BP119" i="5"/>
  <c r="BO119" i="5"/>
  <c r="BN119" i="5"/>
  <c r="BL119" i="5"/>
  <c r="BS117" i="5"/>
  <c r="BP117" i="5"/>
  <c r="BC89" i="5"/>
  <c r="BC80" i="5"/>
  <c r="BC41" i="5"/>
  <c r="BC74" i="5"/>
  <c r="BC99" i="5"/>
  <c r="BC71" i="5"/>
  <c r="BC120" i="5"/>
  <c r="BC59" i="5"/>
  <c r="BC38" i="5"/>
  <c r="BC35" i="5"/>
  <c r="BC118" i="5" s="1"/>
  <c r="BC56" i="5"/>
  <c r="BC32" i="5"/>
  <c r="BC53" i="5"/>
  <c r="BA89" i="5"/>
  <c r="BA32" i="5"/>
  <c r="BA119" i="5" s="1"/>
  <c r="BA62" i="5"/>
  <c r="BA121" i="5" s="1"/>
  <c r="BA71" i="5"/>
  <c r="BA120" i="5" s="1"/>
  <c r="BA80" i="5"/>
  <c r="BA99" i="5"/>
  <c r="AZ50" i="5"/>
  <c r="AZ38" i="5"/>
  <c r="AZ118" i="5" s="1"/>
  <c r="AZ71" i="5"/>
  <c r="AZ120" i="5"/>
  <c r="AZ89" i="5"/>
  <c r="AZ41" i="5"/>
  <c r="AZ59" i="5"/>
  <c r="BG121" i="5"/>
  <c r="BC121" i="5"/>
  <c r="AZ121" i="5"/>
  <c r="AU121" i="5"/>
  <c r="BG120" i="5"/>
  <c r="AX120" i="5"/>
  <c r="AU120" i="5"/>
  <c r="BG119" i="5"/>
  <c r="BG122" i="5" s="1"/>
  <c r="BE119" i="5"/>
  <c r="AZ119" i="5"/>
  <c r="AX119" i="5"/>
  <c r="AU119" i="5"/>
  <c r="BG118" i="5"/>
  <c r="BE118" i="5"/>
  <c r="AX118" i="5"/>
  <c r="AU118" i="5"/>
  <c r="BG117" i="5"/>
  <c r="AZ117" i="5"/>
  <c r="AZ122" i="5" s="1"/>
  <c r="AU117" i="5"/>
  <c r="AH80" i="5"/>
  <c r="AH121" i="5"/>
  <c r="AH120" i="5"/>
  <c r="AH119" i="5"/>
  <c r="AH118" i="5"/>
  <c r="AH122" i="5" s="1"/>
  <c r="AH117" i="5"/>
  <c r="AD35" i="5"/>
  <c r="AD32" i="5"/>
  <c r="AD38" i="5"/>
  <c r="AD41" i="5"/>
  <c r="AD62" i="5"/>
  <c r="AD68" i="5"/>
  <c r="AD80" i="5"/>
  <c r="AD89" i="5"/>
  <c r="AC62" i="5"/>
  <c r="AC105" i="5"/>
  <c r="AC41" i="5"/>
  <c r="AC38" i="5"/>
  <c r="AC80" i="5"/>
  <c r="AC118" i="5" s="1"/>
  <c r="AC32" i="5"/>
  <c r="AC119" i="5" s="1"/>
  <c r="AC35" i="5"/>
  <c r="AC50" i="5"/>
  <c r="AC59" i="5"/>
  <c r="AC74" i="5"/>
  <c r="AC89" i="5"/>
  <c r="AB62" i="5"/>
  <c r="AB89" i="5"/>
  <c r="AB118" i="5" s="1"/>
  <c r="AB32" i="5"/>
  <c r="AB119" i="5" s="1"/>
  <c r="AB50" i="5"/>
  <c r="AB59" i="5"/>
  <c r="AB74" i="5"/>
  <c r="AB92" i="5"/>
  <c r="AC121" i="5"/>
  <c r="AB121" i="5"/>
  <c r="AD120" i="5"/>
  <c r="AC120" i="5"/>
  <c r="AB120" i="5"/>
  <c r="AD119" i="5"/>
  <c r="Y59" i="5"/>
  <c r="Y32" i="5"/>
  <c r="Y119" i="5"/>
  <c r="Y35" i="5"/>
  <c r="Y62" i="5"/>
  <c r="Y121" i="5" s="1"/>
  <c r="Y80" i="5"/>
  <c r="Y89" i="5"/>
  <c r="Y50" i="5"/>
  <c r="Y117" i="5" s="1"/>
  <c r="Y74" i="5"/>
  <c r="Y92" i="5"/>
  <c r="Y120" i="5"/>
  <c r="X89" i="5"/>
  <c r="X118" i="5" s="1"/>
  <c r="X80" i="5"/>
  <c r="X74" i="5"/>
  <c r="X121" i="5"/>
  <c r="X120" i="5"/>
  <c r="I121" i="5"/>
  <c r="I120" i="5"/>
  <c r="I119" i="5"/>
  <c r="I117" i="5"/>
  <c r="GI115" i="5"/>
  <c r="FE114" i="5"/>
  <c r="EM114" i="5"/>
  <c r="EB114" i="5"/>
  <c r="DY114" i="5"/>
  <c r="GI114" i="5" s="1"/>
  <c r="EW113" i="5"/>
  <c r="EN113" i="5"/>
  <c r="EI113" i="5"/>
  <c r="DB113" i="5"/>
  <c r="GI113" i="5" s="1"/>
  <c r="FN112" i="5"/>
  <c r="GI112" i="5"/>
  <c r="FV111" i="5"/>
  <c r="FU111" i="5"/>
  <c r="FT111" i="5"/>
  <c r="FS111" i="5"/>
  <c r="FQ111" i="5"/>
  <c r="FP111" i="5"/>
  <c r="FO111" i="5"/>
  <c r="FM111" i="5"/>
  <c r="FK111" i="5"/>
  <c r="FJ111" i="5"/>
  <c r="FI111" i="5"/>
  <c r="FH111" i="5"/>
  <c r="FG111" i="5"/>
  <c r="EB111" i="5"/>
  <c r="AS111" i="5"/>
  <c r="FV110" i="5"/>
  <c r="FR110" i="5"/>
  <c r="FL110" i="5"/>
  <c r="EY109" i="5"/>
  <c r="CP109" i="5"/>
  <c r="CG109" i="5"/>
  <c r="BO109" i="5"/>
  <c r="BN109" i="5"/>
  <c r="BE109" i="5"/>
  <c r="BD109" i="5"/>
  <c r="AX109" i="5"/>
  <c r="AU109" i="5"/>
  <c r="T109" i="5"/>
  <c r="I109" i="5"/>
  <c r="FE108" i="5"/>
  <c r="FC108" i="5"/>
  <c r="FB108" i="5"/>
  <c r="FA108" i="5"/>
  <c r="EV108" i="5"/>
  <c r="EU108" i="5"/>
  <c r="ET108" i="5"/>
  <c r="ES108" i="5"/>
  <c r="ER108" i="5"/>
  <c r="EP108" i="5"/>
  <c r="EO108" i="5"/>
  <c r="EM108" i="5"/>
  <c r="EL108" i="5"/>
  <c r="EK108" i="5"/>
  <c r="EJ108" i="5"/>
  <c r="EF108" i="5"/>
  <c r="ED108" i="5"/>
  <c r="DY108" i="5"/>
  <c r="DR108" i="5"/>
  <c r="DP108" i="5"/>
  <c r="DL108" i="5"/>
  <c r="DK108" i="5"/>
  <c r="DJ108" i="5"/>
  <c r="DI108" i="5"/>
  <c r="DG108" i="5"/>
  <c r="DE108" i="5"/>
  <c r="DD108" i="5"/>
  <c r="DA108" i="5"/>
  <c r="CZ108" i="5"/>
  <c r="CY108" i="5"/>
  <c r="CW108" i="5"/>
  <c r="CU108" i="5"/>
  <c r="CT108" i="5"/>
  <c r="CS108" i="5"/>
  <c r="CR108" i="5"/>
  <c r="CQ108" i="5"/>
  <c r="CO108" i="5"/>
  <c r="CN108" i="5"/>
  <c r="CM108" i="5"/>
  <c r="CL108" i="5"/>
  <c r="CK108" i="5"/>
  <c r="CI108" i="5"/>
  <c r="CH108" i="5"/>
  <c r="CF108" i="5"/>
  <c r="CE108" i="5"/>
  <c r="CC108" i="5"/>
  <c r="CB108" i="5"/>
  <c r="CA108" i="5"/>
  <c r="BY108" i="5"/>
  <c r="BT108" i="5"/>
  <c r="BS108" i="5"/>
  <c r="BR108" i="5"/>
  <c r="BQ108" i="5"/>
  <c r="BP108" i="5"/>
  <c r="BM108" i="5"/>
  <c r="BL108" i="5"/>
  <c r="BI108" i="5"/>
  <c r="BG108" i="5"/>
  <c r="BF108" i="5"/>
  <c r="BC108" i="5"/>
  <c r="BA108" i="5"/>
  <c r="AZ108" i="5"/>
  <c r="AY108" i="5"/>
  <c r="AM108" i="5"/>
  <c r="AL108" i="5"/>
  <c r="AK108" i="5"/>
  <c r="AH108" i="5"/>
  <c r="AG108" i="5"/>
  <c r="AF108" i="5"/>
  <c r="AE108" i="5"/>
  <c r="AD108" i="5"/>
  <c r="AC108" i="5"/>
  <c r="AB108" i="5"/>
  <c r="AA108" i="5"/>
  <c r="Z108" i="5"/>
  <c r="Y108" i="5"/>
  <c r="X108" i="5"/>
  <c r="U108" i="5"/>
  <c r="S108" i="5"/>
  <c r="P108" i="5"/>
  <c r="O108" i="5"/>
  <c r="N108" i="5"/>
  <c r="M108" i="5"/>
  <c r="GI108" i="5" s="1"/>
  <c r="K108" i="5"/>
  <c r="J108" i="5"/>
  <c r="EW107" i="5"/>
  <c r="EN107" i="5"/>
  <c r="EI107" i="5"/>
  <c r="DM107" i="5"/>
  <c r="DB107" i="5"/>
  <c r="GI106" i="5"/>
  <c r="EY105" i="5"/>
  <c r="CO105" i="5"/>
  <c r="O105" i="5"/>
  <c r="K105" i="5"/>
  <c r="GI105" i="5" s="1"/>
  <c r="GI104" i="5"/>
  <c r="FN103" i="5"/>
  <c r="GI103" i="5"/>
  <c r="FN102" i="5"/>
  <c r="FN120" i="5" s="1"/>
  <c r="EW102" i="5"/>
  <c r="EW120" i="5" s="1"/>
  <c r="EV102" i="5"/>
  <c r="EU102" i="5"/>
  <c r="EN102" i="5"/>
  <c r="EM102" i="5"/>
  <c r="EL102" i="5"/>
  <c r="CU102" i="5"/>
  <c r="CT102" i="5"/>
  <c r="CP102" i="5"/>
  <c r="CO102" i="5"/>
  <c r="GI101" i="5"/>
  <c r="I100" i="5"/>
  <c r="I118" i="5" s="1"/>
  <c r="EX99" i="5"/>
  <c r="EL99" i="5"/>
  <c r="CO99" i="5"/>
  <c r="BN99" i="5"/>
  <c r="AJ99" i="5"/>
  <c r="P99" i="5"/>
  <c r="N99" i="5"/>
  <c r="GI99" i="5" s="1"/>
  <c r="K99" i="5"/>
  <c r="GI98" i="5"/>
  <c r="GI97" i="5"/>
  <c r="FG96" i="5"/>
  <c r="EU96" i="5"/>
  <c r="EL96" i="5"/>
  <c r="ED96" i="5"/>
  <c r="DV96" i="5"/>
  <c r="DI96" i="5"/>
  <c r="CW96" i="5"/>
  <c r="CU96" i="5"/>
  <c r="CI96" i="5"/>
  <c r="CH96" i="5"/>
  <c r="CG96" i="5"/>
  <c r="BF96" i="5"/>
  <c r="BE96" i="5"/>
  <c r="GI95" i="5"/>
  <c r="AC94" i="5"/>
  <c r="AC117" i="5" s="1"/>
  <c r="GI93" i="5"/>
  <c r="FG92" i="5"/>
  <c r="EL92" i="5"/>
  <c r="ED92" i="5"/>
  <c r="DK92" i="5"/>
  <c r="DI92" i="5"/>
  <c r="CU92" i="5"/>
  <c r="CP92" i="5"/>
  <c r="CO92" i="5"/>
  <c r="CK92" i="5"/>
  <c r="CG92" i="5"/>
  <c r="BR92" i="5"/>
  <c r="AD92" i="5"/>
  <c r="AA92" i="5"/>
  <c r="T92" i="5"/>
  <c r="S92" i="5"/>
  <c r="O92" i="5"/>
  <c r="N92" i="5"/>
  <c r="M92" i="5"/>
  <c r="GI91" i="5"/>
  <c r="GI90" i="5"/>
  <c r="FV89" i="5"/>
  <c r="FU89" i="5"/>
  <c r="FT89" i="5"/>
  <c r="FS89" i="5"/>
  <c r="FR89" i="5"/>
  <c r="FQ89" i="5"/>
  <c r="FP89" i="5"/>
  <c r="FO89" i="5"/>
  <c r="FM89" i="5"/>
  <c r="FL89" i="5"/>
  <c r="FL118" i="5" s="1"/>
  <c r="FK89" i="5"/>
  <c r="FK118" i="5" s="1"/>
  <c r="FG89" i="5"/>
  <c r="FE89" i="5"/>
  <c r="FB89" i="5"/>
  <c r="FA89" i="5"/>
  <c r="EY89" i="5"/>
  <c r="EX89" i="5"/>
  <c r="EW89" i="5"/>
  <c r="EV89" i="5"/>
  <c r="EU89" i="5"/>
  <c r="ES89" i="5"/>
  <c r="EO89" i="5"/>
  <c r="EN89" i="5"/>
  <c r="EM89" i="5"/>
  <c r="EL89" i="5"/>
  <c r="EK89" i="5"/>
  <c r="EK118" i="5" s="1"/>
  <c r="EJ89" i="5"/>
  <c r="EH89" i="5"/>
  <c r="EF89" i="5"/>
  <c r="EE89" i="5"/>
  <c r="ED89" i="5"/>
  <c r="EC89" i="5"/>
  <c r="EA89" i="5"/>
  <c r="DZ89" i="5"/>
  <c r="DX89" i="5"/>
  <c r="DS89" i="5"/>
  <c r="DR89" i="5"/>
  <c r="DQ89" i="5"/>
  <c r="DP89" i="5"/>
  <c r="DO89" i="5"/>
  <c r="DM89" i="5"/>
  <c r="DK89" i="5"/>
  <c r="DI89" i="5"/>
  <c r="DE89" i="5"/>
  <c r="CW89" i="5"/>
  <c r="CU89" i="5"/>
  <c r="CT89" i="5"/>
  <c r="CP89" i="5"/>
  <c r="CO89" i="5"/>
  <c r="CN89" i="5"/>
  <c r="CK89" i="5"/>
  <c r="CK118" i="5" s="1"/>
  <c r="CI89" i="5"/>
  <c r="CH89" i="5"/>
  <c r="CG89" i="5"/>
  <c r="BT89" i="5"/>
  <c r="BT118" i="5" s="1"/>
  <c r="BR89" i="5"/>
  <c r="BO89" i="5"/>
  <c r="BN89" i="5"/>
  <c r="BN118" i="5" s="1"/>
  <c r="BM89" i="5"/>
  <c r="BF89" i="5"/>
  <c r="BE89" i="5"/>
  <c r="BD89" i="5"/>
  <c r="AY89" i="5"/>
  <c r="AX89" i="5"/>
  <c r="AT89" i="5"/>
  <c r="AS89" i="5"/>
  <c r="AR89" i="5"/>
  <c r="AQ89" i="5"/>
  <c r="AP89" i="5"/>
  <c r="AO89" i="5"/>
  <c r="AN89" i="5"/>
  <c r="AM89" i="5"/>
  <c r="AL89" i="5"/>
  <c r="AK89" i="5"/>
  <c r="AI89" i="5"/>
  <c r="AH89" i="5"/>
  <c r="AG89" i="5"/>
  <c r="AF89" i="5"/>
  <c r="AA89" i="5"/>
  <c r="T89" i="5"/>
  <c r="S89" i="5"/>
  <c r="O89" i="5"/>
  <c r="K89" i="5"/>
  <c r="J89" i="5"/>
  <c r="FL88" i="5"/>
  <c r="GI88" i="5" s="1"/>
  <c r="GI87" i="5"/>
  <c r="FG86" i="5"/>
  <c r="EL86" i="5"/>
  <c r="ED86" i="5"/>
  <c r="DR86" i="5"/>
  <c r="DP86" i="5"/>
  <c r="DK86" i="5"/>
  <c r="CT86" i="5"/>
  <c r="CP86" i="5"/>
  <c r="CO86" i="5"/>
  <c r="CN86" i="5"/>
  <c r="CH86" i="5"/>
  <c r="CG86" i="5"/>
  <c r="CG120" i="5" s="1"/>
  <c r="BR86" i="5"/>
  <c r="GI85" i="5"/>
  <c r="GI84" i="5"/>
  <c r="FG83" i="5"/>
  <c r="FE83" i="5"/>
  <c r="FE118" i="5" s="1"/>
  <c r="FD83" i="5"/>
  <c r="FB83" i="5"/>
  <c r="FA83" i="5"/>
  <c r="EY83" i="5"/>
  <c r="EX83" i="5"/>
  <c r="EW83" i="5"/>
  <c r="EU83" i="5"/>
  <c r="EN83" i="5"/>
  <c r="EM83" i="5"/>
  <c r="EL83" i="5"/>
  <c r="GI83" i="5" s="1"/>
  <c r="EF83" i="5"/>
  <c r="EE83" i="5"/>
  <c r="ED83" i="5"/>
  <c r="EA83" i="5"/>
  <c r="GI82" i="5"/>
  <c r="GI81" i="5"/>
  <c r="FG80" i="5"/>
  <c r="FD80" i="5"/>
  <c r="FA80" i="5"/>
  <c r="EY80" i="5"/>
  <c r="EX80" i="5"/>
  <c r="EW80" i="5"/>
  <c r="EV80" i="5"/>
  <c r="EU80" i="5"/>
  <c r="ET80" i="5"/>
  <c r="ES80" i="5"/>
  <c r="EO80" i="5"/>
  <c r="EN80" i="5"/>
  <c r="EM80" i="5"/>
  <c r="EL80" i="5"/>
  <c r="EK80" i="5"/>
  <c r="EI80" i="5"/>
  <c r="EF80" i="5"/>
  <c r="EE80" i="5"/>
  <c r="ED80" i="5"/>
  <c r="EB80" i="5"/>
  <c r="EA80" i="5"/>
  <c r="DR80" i="5"/>
  <c r="DP80" i="5"/>
  <c r="DM80" i="5"/>
  <c r="DK80" i="5"/>
  <c r="DI80" i="5"/>
  <c r="DD80" i="5"/>
  <c r="CU80" i="5"/>
  <c r="CT80" i="5"/>
  <c r="CO80" i="5"/>
  <c r="CN80" i="5"/>
  <c r="CI80" i="5"/>
  <c r="CH80" i="5"/>
  <c r="CG80" i="5"/>
  <c r="BR80" i="5"/>
  <c r="BO80" i="5"/>
  <c r="BN80" i="5"/>
  <c r="BE80" i="5"/>
  <c r="BD80" i="5"/>
  <c r="AJ80" i="5"/>
  <c r="AI80" i="5"/>
  <c r="AG80" i="5"/>
  <c r="AF80" i="5"/>
  <c r="AA80" i="5"/>
  <c r="U80" i="5"/>
  <c r="T80" i="5"/>
  <c r="S80" i="5"/>
  <c r="P80" i="5"/>
  <c r="O80" i="5"/>
  <c r="N80" i="5"/>
  <c r="M80" i="5"/>
  <c r="K80" i="5"/>
  <c r="J80" i="5"/>
  <c r="GI79" i="5"/>
  <c r="GI78" i="5"/>
  <c r="FH77" i="5"/>
  <c r="FE77" i="5"/>
  <c r="FD77" i="5"/>
  <c r="FB77" i="5"/>
  <c r="FA77" i="5"/>
  <c r="EY77" i="5"/>
  <c r="EW77" i="5"/>
  <c r="EV77" i="5"/>
  <c r="EU77" i="5"/>
  <c r="ES77" i="5"/>
  <c r="ER77" i="5"/>
  <c r="EP77" i="5"/>
  <c r="EP117" i="5" s="1"/>
  <c r="EO77" i="5"/>
  <c r="EN77" i="5"/>
  <c r="EM77" i="5"/>
  <c r="EL77" i="5"/>
  <c r="EK77" i="5"/>
  <c r="EF77" i="5"/>
  <c r="ED77" i="5"/>
  <c r="DM77" i="5"/>
  <c r="DL77" i="5"/>
  <c r="DK77" i="5"/>
  <c r="DJ77" i="5"/>
  <c r="DG77" i="5"/>
  <c r="DB77" i="5"/>
  <c r="DA77" i="5"/>
  <c r="CZ77" i="5"/>
  <c r="CY77" i="5"/>
  <c r="CY117" i="5" s="1"/>
  <c r="CY122" i="5" s="1"/>
  <c r="CW77" i="5"/>
  <c r="CU77" i="5"/>
  <c r="CT77" i="5"/>
  <c r="CS77" i="5"/>
  <c r="CR77" i="5"/>
  <c r="CQ77" i="5"/>
  <c r="CI77" i="5"/>
  <c r="CH77" i="5"/>
  <c r="CG77" i="5"/>
  <c r="CF77" i="5"/>
  <c r="CC77" i="5"/>
  <c r="CB77" i="5"/>
  <c r="BF77" i="5"/>
  <c r="BE77" i="5"/>
  <c r="BD77" i="5"/>
  <c r="BC77" i="5"/>
  <c r="BA77" i="5"/>
  <c r="AA77" i="5"/>
  <c r="Y77" i="5"/>
  <c r="X77" i="5"/>
  <c r="W77" i="5"/>
  <c r="T77" i="5"/>
  <c r="S77" i="5"/>
  <c r="Q77" i="5"/>
  <c r="O77" i="5"/>
  <c r="N77" i="5"/>
  <c r="M77" i="5"/>
  <c r="L77" i="5"/>
  <c r="K77" i="5"/>
  <c r="J77" i="5"/>
  <c r="H77" i="5"/>
  <c r="GI77" i="5" s="1"/>
  <c r="GI76" i="5"/>
  <c r="FN75" i="5"/>
  <c r="GI75" i="5" s="1"/>
  <c r="FV74" i="5"/>
  <c r="FU74" i="5"/>
  <c r="FR74" i="5"/>
  <c r="FO74" i="5"/>
  <c r="FN74" i="5"/>
  <c r="FN117" i="5" s="1"/>
  <c r="FM74" i="5"/>
  <c r="FL74" i="5"/>
  <c r="FK74" i="5"/>
  <c r="FG74" i="5"/>
  <c r="FE74" i="5"/>
  <c r="FD74" i="5"/>
  <c r="FC74" i="5"/>
  <c r="FB74" i="5"/>
  <c r="FA74" i="5"/>
  <c r="EY74" i="5"/>
  <c r="EW74" i="5"/>
  <c r="EV74" i="5"/>
  <c r="EU74" i="5"/>
  <c r="ES74" i="5"/>
  <c r="EN74" i="5"/>
  <c r="EM74" i="5"/>
  <c r="EL74" i="5"/>
  <c r="EK74" i="5"/>
  <c r="EI74" i="5"/>
  <c r="EH74" i="5"/>
  <c r="EF74" i="5"/>
  <c r="ED74" i="5"/>
  <c r="DR74" i="5"/>
  <c r="DP74" i="5"/>
  <c r="DM74" i="5"/>
  <c r="DK74" i="5"/>
  <c r="DI74" i="5"/>
  <c r="DD74" i="5"/>
  <c r="CW74" i="5"/>
  <c r="CU74" i="5"/>
  <c r="CT74" i="5"/>
  <c r="CP74" i="5"/>
  <c r="CO74" i="5"/>
  <c r="CN74" i="5"/>
  <c r="CK74" i="5"/>
  <c r="CI74" i="5"/>
  <c r="CH74" i="5"/>
  <c r="CG74" i="5"/>
  <c r="CE74" i="5"/>
  <c r="BR74" i="5"/>
  <c r="BO74" i="5"/>
  <c r="BN74" i="5"/>
  <c r="BM74" i="5"/>
  <c r="BF74" i="5"/>
  <c r="BE74" i="5"/>
  <c r="BD74" i="5"/>
  <c r="BA74" i="5"/>
  <c r="AY74" i="5"/>
  <c r="AX74" i="5"/>
  <c r="AX117" i="5" s="1"/>
  <c r="AX122" i="5" s="1"/>
  <c r="AT74" i="5"/>
  <c r="AS74" i="5"/>
  <c r="AR74" i="5"/>
  <c r="AQ74" i="5"/>
  <c r="AO74" i="5"/>
  <c r="AN74" i="5"/>
  <c r="AM74" i="5"/>
  <c r="AL74" i="5"/>
  <c r="AK74" i="5"/>
  <c r="AH74" i="5"/>
  <c r="AG74" i="5"/>
  <c r="AF74" i="5"/>
  <c r="AD74" i="5"/>
  <c r="AA74" i="5"/>
  <c r="W74" i="5"/>
  <c r="T74" i="5"/>
  <c r="S74" i="5"/>
  <c r="R74" i="5"/>
  <c r="O74" i="5"/>
  <c r="N74" i="5"/>
  <c r="M74" i="5"/>
  <c r="L74" i="5"/>
  <c r="K74" i="5"/>
  <c r="J74" i="5"/>
  <c r="H74" i="5"/>
  <c r="FV73" i="5"/>
  <c r="FR73" i="5"/>
  <c r="FR117" i="5" s="1"/>
  <c r="FL73" i="5"/>
  <c r="GI72" i="5"/>
  <c r="EV71" i="5"/>
  <c r="ES71" i="5"/>
  <c r="EL71" i="5"/>
  <c r="ED71" i="5"/>
  <c r="DK71" i="5"/>
  <c r="DI71" i="5"/>
  <c r="CW71" i="5"/>
  <c r="CU71" i="5"/>
  <c r="CT71" i="5"/>
  <c r="CP71" i="5"/>
  <c r="CO71" i="5"/>
  <c r="CN71" i="5"/>
  <c r="CI71" i="5"/>
  <c r="CH71" i="5"/>
  <c r="CG71" i="5"/>
  <c r="BO71" i="5"/>
  <c r="BO120" i="5" s="1"/>
  <c r="BN71" i="5"/>
  <c r="BN120" i="5" s="1"/>
  <c r="BE71" i="5"/>
  <c r="BE120" i="5" s="1"/>
  <c r="BD71" i="5"/>
  <c r="GI70" i="5"/>
  <c r="GI69" i="5"/>
  <c r="FJ68" i="5"/>
  <c r="EY68" i="5"/>
  <c r="EL68" i="5"/>
  <c r="CP68" i="5"/>
  <c r="GI67" i="5"/>
  <c r="GI66" i="5"/>
  <c r="FU65" i="5"/>
  <c r="FR65" i="5"/>
  <c r="FO65" i="5"/>
  <c r="FJ65" i="5"/>
  <c r="FG65" i="5"/>
  <c r="FD65" i="5"/>
  <c r="EY65" i="5"/>
  <c r="EW65" i="5"/>
  <c r="EW121" i="5" s="1"/>
  <c r="ES65" i="5"/>
  <c r="GI65" i="5" s="1"/>
  <c r="EN65" i="5"/>
  <c r="EN121" i="5" s="1"/>
  <c r="EH65" i="5"/>
  <c r="GI64" i="5"/>
  <c r="GI63" i="5"/>
  <c r="FU62" i="5"/>
  <c r="FM62" i="5"/>
  <c r="FB62" i="5"/>
  <c r="EV62" i="5"/>
  <c r="EU62" i="5"/>
  <c r="ES62" i="5"/>
  <c r="EL62" i="5"/>
  <c r="ED62" i="5"/>
  <c r="DK62" i="5"/>
  <c r="DI62" i="5"/>
  <c r="DD62" i="5"/>
  <c r="CW62" i="5"/>
  <c r="CU62" i="5"/>
  <c r="CT62" i="5"/>
  <c r="CP62" i="5"/>
  <c r="CO62" i="5"/>
  <c r="CN62" i="5"/>
  <c r="CI62" i="5"/>
  <c r="CH62" i="5"/>
  <c r="CG62" i="5"/>
  <c r="CG121" i="5" s="1"/>
  <c r="BR62" i="5"/>
  <c r="BO62" i="5"/>
  <c r="BF62" i="5"/>
  <c r="BE62" i="5"/>
  <c r="BE121" i="5" s="1"/>
  <c r="AX62" i="5"/>
  <c r="AX121" i="5" s="1"/>
  <c r="AG62" i="5"/>
  <c r="AF62" i="5"/>
  <c r="AA62" i="5"/>
  <c r="Z62" i="5"/>
  <c r="T62" i="5"/>
  <c r="S62" i="5"/>
  <c r="O62" i="5"/>
  <c r="N62" i="5"/>
  <c r="M62" i="5"/>
  <c r="J62" i="5"/>
  <c r="GI61" i="5"/>
  <c r="GI60" i="5"/>
  <c r="FH59" i="5"/>
  <c r="FH117" i="5" s="1"/>
  <c r="FG59" i="5"/>
  <c r="EW59" i="5"/>
  <c r="ES59" i="5"/>
  <c r="EM59" i="5"/>
  <c r="EL59" i="5"/>
  <c r="EI59" i="5"/>
  <c r="EF59" i="5"/>
  <c r="EE59" i="5"/>
  <c r="ED59" i="5"/>
  <c r="DR59" i="5"/>
  <c r="DM59" i="5"/>
  <c r="DK59" i="5"/>
  <c r="DI59" i="5"/>
  <c r="DG59" i="5"/>
  <c r="CT59" i="5"/>
  <c r="CP59" i="5"/>
  <c r="CO59" i="5"/>
  <c r="CI59" i="5"/>
  <c r="CG59" i="5"/>
  <c r="BR59" i="5"/>
  <c r="BO59" i="5"/>
  <c r="BN59" i="5"/>
  <c r="BF59" i="5"/>
  <c r="BE59" i="5"/>
  <c r="BD59" i="5"/>
  <c r="BA59" i="5"/>
  <c r="AD59" i="5"/>
  <c r="AA59" i="5"/>
  <c r="X59" i="5"/>
  <c r="T59" i="5"/>
  <c r="S59" i="5"/>
  <c r="O59" i="5"/>
  <c r="N59" i="5"/>
  <c r="M59" i="5"/>
  <c r="GI58" i="5"/>
  <c r="GI57" i="5"/>
  <c r="FL56" i="5"/>
  <c r="FG56" i="5"/>
  <c r="EW56" i="5"/>
  <c r="ES56" i="5"/>
  <c r="EO56" i="5"/>
  <c r="EN56" i="5"/>
  <c r="EM56" i="5"/>
  <c r="EL56" i="5"/>
  <c r="EI56" i="5"/>
  <c r="EI119" i="5" s="1"/>
  <c r="EF56" i="5"/>
  <c r="ED56" i="5"/>
  <c r="DR56" i="5"/>
  <c r="DM56" i="5"/>
  <c r="DK56" i="5"/>
  <c r="DI56" i="5"/>
  <c r="CU56" i="5"/>
  <c r="CT56" i="5"/>
  <c r="CO56" i="5"/>
  <c r="CI56" i="5"/>
  <c r="CG56" i="5"/>
  <c r="BO56" i="5"/>
  <c r="BN56" i="5"/>
  <c r="BE56" i="5"/>
  <c r="BD56" i="5"/>
  <c r="FL55" i="5"/>
  <c r="GI54" i="5"/>
  <c r="FG53" i="5"/>
  <c r="EY53" i="5"/>
  <c r="EU53" i="5"/>
  <c r="ET53" i="5"/>
  <c r="EN53" i="5"/>
  <c r="EM53" i="5"/>
  <c r="EL53" i="5"/>
  <c r="EI53" i="5"/>
  <c r="EF53" i="5"/>
  <c r="EE53" i="5"/>
  <c r="ED53" i="5"/>
  <c r="DR53" i="5"/>
  <c r="DF53" i="5"/>
  <c r="DD53" i="5"/>
  <c r="CP53" i="5"/>
  <c r="CH53" i="5"/>
  <c r="BF53" i="5"/>
  <c r="GI52" i="5"/>
  <c r="AU51" i="5"/>
  <c r="GI51" i="5" s="1"/>
  <c r="FG50" i="5"/>
  <c r="FE50" i="5"/>
  <c r="FE117" i="5" s="1"/>
  <c r="FE122" i="5" s="1"/>
  <c r="FD50" i="5"/>
  <c r="FC50" i="5"/>
  <c r="FB50" i="5"/>
  <c r="FA50" i="5"/>
  <c r="EY50" i="5"/>
  <c r="EW50" i="5"/>
  <c r="EW117" i="5" s="1"/>
  <c r="EV50" i="5"/>
  <c r="EU50" i="5"/>
  <c r="ES50" i="5"/>
  <c r="EN50" i="5"/>
  <c r="EN117" i="5" s="1"/>
  <c r="EM50" i="5"/>
  <c r="EL50" i="5"/>
  <c r="EK50" i="5"/>
  <c r="EK117" i="5" s="1"/>
  <c r="EK122" i="5" s="1"/>
  <c r="EJ50" i="5"/>
  <c r="EI50" i="5"/>
  <c r="EI117" i="5" s="1"/>
  <c r="EH50" i="5"/>
  <c r="EF50" i="5"/>
  <c r="EF117" i="5" s="1"/>
  <c r="EE50" i="5"/>
  <c r="ED50" i="5"/>
  <c r="EC50" i="5"/>
  <c r="DR50" i="5"/>
  <c r="DQ50" i="5"/>
  <c r="DP50" i="5"/>
  <c r="DK50" i="5"/>
  <c r="DI50" i="5"/>
  <c r="DD50" i="5"/>
  <c r="CW50" i="5"/>
  <c r="CU50" i="5"/>
  <c r="CT50" i="5"/>
  <c r="CP50" i="5"/>
  <c r="CO50" i="5"/>
  <c r="CN50" i="5"/>
  <c r="CL50" i="5"/>
  <c r="CL117" i="5" s="1"/>
  <c r="CL122" i="5" s="1"/>
  <c r="CK50" i="5"/>
  <c r="CK117" i="5" s="1"/>
  <c r="CI50" i="5"/>
  <c r="CH50" i="5"/>
  <c r="CG50" i="5"/>
  <c r="CE50" i="5"/>
  <c r="CA50" i="5"/>
  <c r="CA117" i="5" s="1"/>
  <c r="BY50" i="5"/>
  <c r="BY117" i="5" s="1"/>
  <c r="BY122" i="5" s="1"/>
  <c r="BT50" i="5"/>
  <c r="BT117" i="5" s="1"/>
  <c r="BR50" i="5"/>
  <c r="BO50" i="5"/>
  <c r="BN50" i="5"/>
  <c r="BF50" i="5"/>
  <c r="BE50" i="5"/>
  <c r="BE117" i="5" s="1"/>
  <c r="BD50" i="5"/>
  <c r="BA50" i="5"/>
  <c r="BA117" i="5" s="1"/>
  <c r="BA122" i="5" s="1"/>
  <c r="AY50" i="5"/>
  <c r="AX50" i="5"/>
  <c r="AU50" i="5"/>
  <c r="AT50" i="5"/>
  <c r="AS50" i="5"/>
  <c r="AM50" i="5"/>
  <c r="AL50" i="5"/>
  <c r="AK50" i="5"/>
  <c r="AD50" i="5"/>
  <c r="AD117" i="5" s="1"/>
  <c r="AA50" i="5"/>
  <c r="X50" i="5"/>
  <c r="V50" i="5"/>
  <c r="T50" i="5"/>
  <c r="S50" i="5"/>
  <c r="Q50" i="5"/>
  <c r="O50" i="5"/>
  <c r="N50" i="5"/>
  <c r="M50" i="5"/>
  <c r="L50" i="5"/>
  <c r="K50" i="5"/>
  <c r="J50" i="5"/>
  <c r="H50" i="5"/>
  <c r="GI49" i="5"/>
  <c r="GI48" i="5"/>
  <c r="EY47" i="5"/>
  <c r="EN47" i="5"/>
  <c r="EN120" i="5" s="1"/>
  <c r="EM47" i="5"/>
  <c r="EM120" i="5" s="1"/>
  <c r="EL47" i="5"/>
  <c r="ED47" i="5"/>
  <c r="DI47" i="5"/>
  <c r="CW47" i="5"/>
  <c r="CT47" i="5"/>
  <c r="CN47" i="5"/>
  <c r="BO47" i="5"/>
  <c r="GI46" i="5"/>
  <c r="GI45" i="5"/>
  <c r="BC44" i="5"/>
  <c r="GI43" i="5"/>
  <c r="GI42" i="5"/>
  <c r="FD41" i="5"/>
  <c r="FA41" i="5"/>
  <c r="EY41" i="5"/>
  <c r="EX41" i="5"/>
  <c r="EW41" i="5"/>
  <c r="EV41" i="5"/>
  <c r="EU41" i="5"/>
  <c r="ET41" i="5"/>
  <c r="ES41" i="5"/>
  <c r="EO41" i="5"/>
  <c r="EN41" i="5"/>
  <c r="EM41" i="5"/>
  <c r="EL41" i="5"/>
  <c r="EE41" i="5"/>
  <c r="EA41" i="5"/>
  <c r="DM41" i="5"/>
  <c r="DK41" i="5"/>
  <c r="DI41" i="5"/>
  <c r="CU41" i="5"/>
  <c r="CT41" i="5"/>
  <c r="CO41" i="5"/>
  <c r="CN41" i="5"/>
  <c r="CI41" i="5"/>
  <c r="CH41" i="5"/>
  <c r="CG41" i="5"/>
  <c r="BR41" i="5"/>
  <c r="BO41" i="5"/>
  <c r="BN41" i="5"/>
  <c r="BF41" i="5"/>
  <c r="BE41" i="5"/>
  <c r="BD41" i="5"/>
  <c r="BA41" i="5"/>
  <c r="AJ41" i="5"/>
  <c r="AI41" i="5"/>
  <c r="AH41" i="5"/>
  <c r="AG41" i="5"/>
  <c r="AF41" i="5"/>
  <c r="GI40" i="5"/>
  <c r="GI39" i="5"/>
  <c r="FG38" i="5"/>
  <c r="FD38" i="5"/>
  <c r="FA38" i="5"/>
  <c r="EY38" i="5"/>
  <c r="EX38" i="5"/>
  <c r="EW38" i="5"/>
  <c r="EV38" i="5"/>
  <c r="EU38" i="5"/>
  <c r="ET38" i="5"/>
  <c r="ES38" i="5"/>
  <c r="EO38" i="5"/>
  <c r="EN38" i="5"/>
  <c r="EM38" i="5"/>
  <c r="EL38" i="5"/>
  <c r="EI38" i="5"/>
  <c r="EF38" i="5"/>
  <c r="EF118" i="5" s="1"/>
  <c r="EE38" i="5"/>
  <c r="ED38" i="5"/>
  <c r="EB38" i="5"/>
  <c r="EB118" i="5" s="1"/>
  <c r="EB122" i="5" s="1"/>
  <c r="EA38" i="5"/>
  <c r="DR38" i="5"/>
  <c r="DP38" i="5"/>
  <c r="DM38" i="5"/>
  <c r="DK38" i="5"/>
  <c r="DI38" i="5"/>
  <c r="DG38" i="5"/>
  <c r="DG118" i="5" s="1"/>
  <c r="DD38" i="5"/>
  <c r="CU38" i="5"/>
  <c r="CT38" i="5"/>
  <c r="CO38" i="5"/>
  <c r="CN38" i="5"/>
  <c r="CI38" i="5"/>
  <c r="CH38" i="5"/>
  <c r="CG38" i="5"/>
  <c r="BR38" i="5"/>
  <c r="BO38" i="5"/>
  <c r="BN38" i="5"/>
  <c r="BF38" i="5"/>
  <c r="BE38" i="5"/>
  <c r="BD38" i="5"/>
  <c r="BA38" i="5"/>
  <c r="BA118" i="5" s="1"/>
  <c r="AJ38" i="5"/>
  <c r="AI38" i="5"/>
  <c r="AH38" i="5"/>
  <c r="AG38" i="5"/>
  <c r="AF38" i="5"/>
  <c r="GI37" i="5"/>
  <c r="GI36" i="5"/>
  <c r="FG35" i="5"/>
  <c r="FD35" i="5"/>
  <c r="FA35" i="5"/>
  <c r="EY35" i="5"/>
  <c r="EW35" i="5"/>
  <c r="EV35" i="5"/>
  <c r="EU35" i="5"/>
  <c r="ES35" i="5"/>
  <c r="EN35" i="5"/>
  <c r="EM35" i="5"/>
  <c r="EM118" i="5" s="1"/>
  <c r="EL35" i="5"/>
  <c r="EI35" i="5"/>
  <c r="EI118" i="5" s="1"/>
  <c r="EF35" i="5"/>
  <c r="ED35" i="5"/>
  <c r="DR35" i="5"/>
  <c r="DP35" i="5"/>
  <c r="DK35" i="5"/>
  <c r="DF35" i="5"/>
  <c r="DD35" i="5"/>
  <c r="CU35" i="5"/>
  <c r="CT35" i="5"/>
  <c r="CO35" i="5"/>
  <c r="CN35" i="5"/>
  <c r="CH35" i="5"/>
  <c r="CG35" i="5"/>
  <c r="BR35" i="5"/>
  <c r="BO35" i="5"/>
  <c r="BO118" i="5" s="1"/>
  <c r="BF35" i="5"/>
  <c r="BE35" i="5"/>
  <c r="BD35" i="5"/>
  <c r="BA35" i="5"/>
  <c r="AG35" i="5"/>
  <c r="O35" i="5"/>
  <c r="GI34" i="5"/>
  <c r="GI33" i="5"/>
  <c r="EW32" i="5"/>
  <c r="EV32" i="5"/>
  <c r="EU32" i="5"/>
  <c r="ET32" i="5"/>
  <c r="ES32" i="5"/>
  <c r="EN32" i="5"/>
  <c r="EN119" i="5" s="1"/>
  <c r="EM32" i="5"/>
  <c r="EM119" i="5" s="1"/>
  <c r="EL32" i="5"/>
  <c r="EF32" i="5"/>
  <c r="EF119" i="5" s="1"/>
  <c r="ED32" i="5"/>
  <c r="DP32" i="5"/>
  <c r="DK32" i="5"/>
  <c r="DI32" i="5"/>
  <c r="DE32" i="5"/>
  <c r="DD32" i="5"/>
  <c r="CW32" i="5"/>
  <c r="CU32" i="5"/>
  <c r="CT32" i="5"/>
  <c r="CO32" i="5"/>
  <c r="CN32" i="5"/>
  <c r="CK32" i="5"/>
  <c r="CK119" i="5" s="1"/>
  <c r="CI32" i="5"/>
  <c r="CH32" i="5"/>
  <c r="CG32" i="5"/>
  <c r="BR32" i="5"/>
  <c r="BO32" i="5"/>
  <c r="BE32" i="5"/>
  <c r="BD32" i="5"/>
  <c r="AA32" i="5"/>
  <c r="X32" i="5"/>
  <c r="X119" i="5" s="1"/>
  <c r="W32" i="5"/>
  <c r="T32" i="5"/>
  <c r="S32" i="5"/>
  <c r="Q32" i="5"/>
  <c r="N32" i="5"/>
  <c r="M32" i="5"/>
  <c r="L32" i="5"/>
  <c r="GI31" i="5"/>
  <c r="GI30" i="5"/>
  <c r="AS29" i="5"/>
  <c r="GI29" i="5" s="1"/>
  <c r="GI28" i="5"/>
  <c r="GI27" i="5"/>
  <c r="FH26" i="5"/>
  <c r="ES26" i="5"/>
  <c r="ER26" i="5"/>
  <c r="EI26" i="5"/>
  <c r="ED26" i="5"/>
  <c r="DM26" i="5"/>
  <c r="DL26" i="5"/>
  <c r="DK26" i="5"/>
  <c r="DJ26" i="5"/>
  <c r="DI26" i="5"/>
  <c r="DB26" i="5"/>
  <c r="DA26" i="5"/>
  <c r="CZ26" i="5"/>
  <c r="CY26" i="5"/>
  <c r="CX26" i="5"/>
  <c r="CU26" i="5"/>
  <c r="CT26" i="5"/>
  <c r="CS26" i="5"/>
  <c r="CR26" i="5"/>
  <c r="CQ26" i="5"/>
  <c r="CP26" i="5"/>
  <c r="CO26" i="5"/>
  <c r="CN26" i="5"/>
  <c r="CM26" i="5"/>
  <c r="CL26" i="5"/>
  <c r="CK26" i="5"/>
  <c r="CI26" i="5"/>
  <c r="CH26" i="5"/>
  <c r="CG26" i="5"/>
  <c r="CF26" i="5"/>
  <c r="CC26" i="5"/>
  <c r="CB26" i="5"/>
  <c r="CA26" i="5"/>
  <c r="BY26" i="5"/>
  <c r="BS26" i="5"/>
  <c r="BR26" i="5"/>
  <c r="BQ26" i="5"/>
  <c r="BP26" i="5"/>
  <c r="BO26" i="5"/>
  <c r="BN26" i="5"/>
  <c r="BM26" i="5"/>
  <c r="BL26" i="5"/>
  <c r="BG26" i="5"/>
  <c r="BF26" i="5"/>
  <c r="BE26" i="5"/>
  <c r="BD26" i="5"/>
  <c r="BC26" i="5"/>
  <c r="BA26" i="5"/>
  <c r="AZ26" i="5"/>
  <c r="AY26" i="5"/>
  <c r="AX26" i="5"/>
  <c r="AD26" i="5"/>
  <c r="AC26" i="5"/>
  <c r="AB26" i="5"/>
  <c r="AA26" i="5"/>
  <c r="Z26" i="5"/>
  <c r="Y26" i="5"/>
  <c r="X26" i="5"/>
  <c r="T26" i="5"/>
  <c r="S26" i="5"/>
  <c r="GI26" i="5" s="1"/>
  <c r="O26" i="5"/>
  <c r="N26" i="5"/>
  <c r="K26" i="5"/>
  <c r="J26" i="5"/>
  <c r="EI25" i="5"/>
  <c r="GI24" i="5"/>
  <c r="FN24" i="5"/>
  <c r="FN23" i="5"/>
  <c r="FJ23" i="5"/>
  <c r="FI23" i="5"/>
  <c r="FH23" i="5"/>
  <c r="FG23" i="5"/>
  <c r="FE23" i="5"/>
  <c r="FD23" i="5"/>
  <c r="FB23" i="5"/>
  <c r="FA23" i="5"/>
  <c r="EY23" i="5"/>
  <c r="EW23" i="5"/>
  <c r="EV23" i="5"/>
  <c r="EU23" i="5"/>
  <c r="ET23" i="5"/>
  <c r="ES23" i="5"/>
  <c r="ER23" i="5"/>
  <c r="EP23" i="5"/>
  <c r="EN23" i="5"/>
  <c r="EM23" i="5"/>
  <c r="EL23" i="5"/>
  <c r="EK23" i="5"/>
  <c r="EI23" i="5"/>
  <c r="EF23" i="5"/>
  <c r="EE23" i="5"/>
  <c r="ED23" i="5"/>
  <c r="DM23" i="5"/>
  <c r="DL23" i="5"/>
  <c r="DK23" i="5"/>
  <c r="DJ23" i="5"/>
  <c r="DI23" i="5"/>
  <c r="DG23" i="5"/>
  <c r="DE23" i="5"/>
  <c r="DD23" i="5"/>
  <c r="DB23" i="5"/>
  <c r="DA23" i="5"/>
  <c r="CZ23" i="5"/>
  <c r="CY23" i="5"/>
  <c r="CX23" i="5"/>
  <c r="CU23" i="5"/>
  <c r="CT23" i="5"/>
  <c r="CS23" i="5"/>
  <c r="CR23" i="5"/>
  <c r="CQ23" i="5"/>
  <c r="CK23" i="5"/>
  <c r="CI23" i="5"/>
  <c r="CH23" i="5"/>
  <c r="CG23" i="5"/>
  <c r="CF23" i="5"/>
  <c r="CC23" i="5"/>
  <c r="CB23" i="5"/>
  <c r="BY23" i="5"/>
  <c r="BS23" i="5"/>
  <c r="BR23" i="5"/>
  <c r="BQ23" i="5"/>
  <c r="BP23" i="5"/>
  <c r="BO23" i="5"/>
  <c r="BN23" i="5"/>
  <c r="BL23" i="5"/>
  <c r="BF23" i="5"/>
  <c r="BE23" i="5"/>
  <c r="BD23" i="5"/>
  <c r="BC23" i="5"/>
  <c r="BA23" i="5"/>
  <c r="AZ23" i="5"/>
  <c r="AX23" i="5"/>
  <c r="GI23" i="5" s="1"/>
  <c r="AJ23" i="5"/>
  <c r="AI23" i="5"/>
  <c r="AH23" i="5"/>
  <c r="AG23" i="5"/>
  <c r="AF23" i="5"/>
  <c r="GI22" i="5"/>
  <c r="GI21" i="5"/>
  <c r="FI20" i="5"/>
  <c r="EY20" i="5"/>
  <c r="EW20" i="5"/>
  <c r="EV20" i="5"/>
  <c r="ER20" i="5"/>
  <c r="EP20" i="5"/>
  <c r="EL20" i="5"/>
  <c r="GI19" i="5"/>
  <c r="T18" i="5"/>
  <c r="GI18" i="5" s="1"/>
  <c r="FG17" i="5"/>
  <c r="ET17" i="5"/>
  <c r="EO17" i="5"/>
  <c r="EL17" i="5"/>
  <c r="EI17" i="5"/>
  <c r="EE17" i="5"/>
  <c r="DR17" i="5"/>
  <c r="AP17" i="5"/>
  <c r="AN17" i="5"/>
  <c r="AL17" i="5"/>
  <c r="AK17" i="5"/>
  <c r="AG17" i="5"/>
  <c r="AF17" i="5"/>
  <c r="AA17" i="5"/>
  <c r="Y17" i="5"/>
  <c r="X17" i="5"/>
  <c r="T17" i="5"/>
  <c r="S17" i="5"/>
  <c r="O17" i="5"/>
  <c r="N17" i="5"/>
  <c r="M17" i="5"/>
  <c r="K17" i="5"/>
  <c r="J17" i="5"/>
  <c r="EI16" i="5"/>
  <c r="GI16" i="5"/>
  <c r="GI15" i="5"/>
  <c r="FI14" i="5"/>
  <c r="EY14" i="5"/>
  <c r="EW14" i="5"/>
  <c r="EV14" i="5"/>
  <c r="ES14" i="5"/>
  <c r="ER14" i="5"/>
  <c r="EP14" i="5"/>
  <c r="EM14" i="5"/>
  <c r="EL14" i="5"/>
  <c r="GI14" i="5" s="1"/>
  <c r="GI13" i="5"/>
  <c r="FN12" i="5"/>
  <c r="GI12" i="5"/>
  <c r="FN11" i="5"/>
  <c r="FJ11" i="5"/>
  <c r="FI11" i="5"/>
  <c r="FH11" i="5"/>
  <c r="FG11" i="5"/>
  <c r="FE11" i="5"/>
  <c r="FD11" i="5"/>
  <c r="FB11" i="5"/>
  <c r="FA11" i="5"/>
  <c r="EY11" i="5"/>
  <c r="EW11" i="5"/>
  <c r="EV11" i="5"/>
  <c r="EU11" i="5"/>
  <c r="ET11" i="5"/>
  <c r="ES11" i="5"/>
  <c r="ER11" i="5"/>
  <c r="EP11" i="5"/>
  <c r="EN11" i="5"/>
  <c r="EM11" i="5"/>
  <c r="EL11" i="5"/>
  <c r="EK11" i="5"/>
  <c r="EI11" i="5"/>
  <c r="EF11" i="5"/>
  <c r="EE11" i="5"/>
  <c r="ED11" i="5"/>
  <c r="DM11" i="5"/>
  <c r="DL11" i="5"/>
  <c r="DK11" i="5"/>
  <c r="DJ11" i="5"/>
  <c r="DI11" i="5"/>
  <c r="DG11" i="5"/>
  <c r="DE11" i="5"/>
  <c r="DD11" i="5"/>
  <c r="DB11" i="5"/>
  <c r="DA11" i="5"/>
  <c r="CZ11" i="5"/>
  <c r="CY11" i="5"/>
  <c r="CX11" i="5"/>
  <c r="CU11" i="5"/>
  <c r="CT11" i="5"/>
  <c r="CS11" i="5"/>
  <c r="CR11" i="5"/>
  <c r="CQ11" i="5"/>
  <c r="CK11" i="5"/>
  <c r="CI11" i="5"/>
  <c r="CH11" i="5"/>
  <c r="CG11" i="5"/>
  <c r="CF11" i="5"/>
  <c r="CC11" i="5"/>
  <c r="CB11" i="5"/>
  <c r="BY11" i="5"/>
  <c r="BS11" i="5"/>
  <c r="BR11" i="5"/>
  <c r="BQ11" i="5"/>
  <c r="BP11" i="5"/>
  <c r="BO11" i="5"/>
  <c r="BN11" i="5"/>
  <c r="BM11" i="5"/>
  <c r="BL11" i="5"/>
  <c r="BF11" i="5"/>
  <c r="BE11" i="5"/>
  <c r="BD11" i="5"/>
  <c r="BC11" i="5"/>
  <c r="BA11" i="5"/>
  <c r="AZ11" i="5"/>
  <c r="AX11" i="5"/>
  <c r="AJ11" i="5"/>
  <c r="AI11" i="5"/>
  <c r="AH11" i="5"/>
  <c r="AG11" i="5"/>
  <c r="AF11" i="5"/>
  <c r="EN10" i="5"/>
  <c r="EI10" i="5"/>
  <c r="GI9" i="5"/>
  <c r="FI8" i="5"/>
  <c r="EY8" i="5"/>
  <c r="EW8" i="5"/>
  <c r="EV8" i="5"/>
  <c r="ES8" i="5"/>
  <c r="ER8" i="5"/>
  <c r="EP8" i="5"/>
  <c r="EM8" i="5"/>
  <c r="EL8" i="5"/>
  <c r="GI7" i="5"/>
  <c r="FI118" i="5"/>
  <c r="FH118" i="5"/>
  <c r="ER119" i="5"/>
  <c r="EP120" i="5"/>
  <c r="EP122" i="5"/>
  <c r="EM121" i="5"/>
  <c r="DY117" i="5"/>
  <c r="DL119" i="5"/>
  <c r="DJ118" i="5"/>
  <c r="DB118" i="5"/>
  <c r="DA121" i="5"/>
  <c r="DA117" i="5"/>
  <c r="DA122" i="5" s="1"/>
  <c r="CZ118" i="5"/>
  <c r="CR118" i="5"/>
  <c r="CQ117" i="5"/>
  <c r="CL118" i="5"/>
  <c r="CC121" i="5"/>
  <c r="CB118" i="5"/>
  <c r="BS118" i="5"/>
  <c r="BQ118" i="5"/>
  <c r="BP121" i="5"/>
  <c r="GI73" i="5"/>
  <c r="GI17" i="5"/>
  <c r="GI11" i="5"/>
  <c r="GI107" i="5"/>
  <c r="GI109" i="5"/>
  <c r="GI111" i="5"/>
  <c r="GI25" i="5"/>
  <c r="GI32" i="5"/>
  <c r="EE115" i="3"/>
  <c r="EE113" i="3"/>
  <c r="EE47" i="3"/>
  <c r="GW99" i="3"/>
  <c r="GW97" i="3"/>
  <c r="GW92" i="3"/>
  <c r="GW90" i="3"/>
  <c r="GW89" i="3"/>
  <c r="GW87" i="3"/>
  <c r="GW86" i="3"/>
  <c r="GW79" i="3"/>
  <c r="GW78" i="3"/>
  <c r="GW76" i="3"/>
  <c r="GW75" i="3"/>
  <c r="GW73" i="3"/>
  <c r="GW63" i="3"/>
  <c r="GW61" i="3"/>
  <c r="GW58" i="3"/>
  <c r="GW54" i="3"/>
  <c r="GW52" i="3"/>
  <c r="GW51" i="3"/>
  <c r="GW49" i="3"/>
  <c r="GW40" i="3"/>
  <c r="GW105" i="3"/>
  <c r="GW104" i="3"/>
  <c r="BA39" i="3"/>
  <c r="BA68" i="3"/>
  <c r="BA96" i="3"/>
  <c r="BA56" i="3"/>
  <c r="BA111" i="3" s="1"/>
  <c r="BA82" i="3"/>
  <c r="FT73" i="3"/>
  <c r="FT62" i="3"/>
  <c r="FT115" i="3" s="1"/>
  <c r="FT81" i="3"/>
  <c r="FS73" i="3"/>
  <c r="FS91" i="3"/>
  <c r="FS115" i="3"/>
  <c r="FT114" i="3"/>
  <c r="FS114" i="3"/>
  <c r="FT113" i="3"/>
  <c r="FS113" i="3"/>
  <c r="FT112" i="3"/>
  <c r="FS112" i="3"/>
  <c r="FT111" i="3"/>
  <c r="FS111" i="3"/>
  <c r="FP84" i="3"/>
  <c r="FP82" i="3"/>
  <c r="FP34" i="3"/>
  <c r="FP46" i="3"/>
  <c r="FP50" i="3"/>
  <c r="FP53" i="3"/>
  <c r="FP113" i="3"/>
  <c r="FP56" i="3"/>
  <c r="FP62" i="3"/>
  <c r="FP59" i="3"/>
  <c r="FP91" i="3"/>
  <c r="FO73" i="3"/>
  <c r="FO53" i="3"/>
  <c r="FO113" i="3" s="1"/>
  <c r="FO49" i="3"/>
  <c r="FO83" i="3"/>
  <c r="FO91" i="3"/>
  <c r="FQ39" i="3"/>
  <c r="FP115" i="3"/>
  <c r="FP114" i="3"/>
  <c r="FI50" i="3"/>
  <c r="FI111" i="3" s="1"/>
  <c r="FI116" i="3" s="1"/>
  <c r="FI59" i="3"/>
  <c r="FI115" i="3" s="1"/>
  <c r="FI39" i="3"/>
  <c r="FI36" i="3"/>
  <c r="FI34" i="3"/>
  <c r="FI53" i="3"/>
  <c r="FI113" i="3" s="1"/>
  <c r="FI65" i="3"/>
  <c r="FI114" i="3" s="1"/>
  <c r="FI100" i="3"/>
  <c r="FF98" i="3"/>
  <c r="FF96" i="3"/>
  <c r="FF39" i="3"/>
  <c r="FF82" i="3"/>
  <c r="FF53" i="3"/>
  <c r="FF113" i="3"/>
  <c r="FF59" i="3"/>
  <c r="FF115" i="3"/>
  <c r="FF65" i="3"/>
  <c r="FF31" i="3"/>
  <c r="EQ59" i="3"/>
  <c r="EQ115" i="3"/>
  <c r="EQ47" i="3"/>
  <c r="EQ111" i="3" s="1"/>
  <c r="EQ116" i="3" s="1"/>
  <c r="EQ74" i="3"/>
  <c r="ER115" i="3"/>
  <c r="ER114" i="3"/>
  <c r="EQ114" i="3"/>
  <c r="ER113" i="3"/>
  <c r="EQ113" i="3"/>
  <c r="ER112" i="3"/>
  <c r="ER116" i="3" s="1"/>
  <c r="EQ112" i="3"/>
  <c r="ER111" i="3"/>
  <c r="EO65" i="3"/>
  <c r="EO96" i="3"/>
  <c r="EO82" i="3"/>
  <c r="EO80" i="3"/>
  <c r="EO68" i="3"/>
  <c r="EO114" i="3" s="1"/>
  <c r="EO53" i="3"/>
  <c r="EO113" i="3" s="1"/>
  <c r="EO39" i="3"/>
  <c r="EO31" i="3"/>
  <c r="EO115" i="3"/>
  <c r="EO112" i="3"/>
  <c r="EL68" i="3"/>
  <c r="EL114" i="3" s="1"/>
  <c r="EL65" i="3"/>
  <c r="EL96" i="3"/>
  <c r="EL44" i="3"/>
  <c r="EL39" i="3"/>
  <c r="EL36" i="3"/>
  <c r="EL82" i="3"/>
  <c r="EL112" i="3" s="1"/>
  <c r="EL80" i="3"/>
  <c r="EL77" i="3"/>
  <c r="EL71" i="3"/>
  <c r="EL59" i="3"/>
  <c r="EL115" i="3"/>
  <c r="EL41" i="3"/>
  <c r="EL31" i="3"/>
  <c r="EL88" i="3"/>
  <c r="EL113" i="3" s="1"/>
  <c r="EL116" i="3" s="1"/>
  <c r="EL53" i="3"/>
  <c r="EL47" i="3"/>
  <c r="EL50" i="3"/>
  <c r="EL56" i="3"/>
  <c r="EL74" i="3"/>
  <c r="EL84" i="3"/>
  <c r="EA96" i="3"/>
  <c r="EA114" i="3" s="1"/>
  <c r="EA116" i="3" s="1"/>
  <c r="EA39" i="3"/>
  <c r="EA112" i="3" s="1"/>
  <c r="EA50" i="3"/>
  <c r="EA82" i="3"/>
  <c r="EA115" i="3"/>
  <c r="EA113" i="3"/>
  <c r="DN47" i="3"/>
  <c r="DN111" i="3" s="1"/>
  <c r="DN82" i="3"/>
  <c r="DN50" i="3"/>
  <c r="DN68" i="3"/>
  <c r="DM36" i="3"/>
  <c r="DM34" i="3"/>
  <c r="DM31" i="3"/>
  <c r="DM113" i="3" s="1"/>
  <c r="DM39" i="3"/>
  <c r="DM41" i="3"/>
  <c r="DM47" i="3"/>
  <c r="DM53" i="3"/>
  <c r="DM56" i="3"/>
  <c r="DM111" i="3"/>
  <c r="DM65" i="3"/>
  <c r="DM68" i="3"/>
  <c r="DM71" i="3"/>
  <c r="DM74" i="3"/>
  <c r="DM84" i="3"/>
  <c r="DM82" i="3"/>
  <c r="DN91" i="3"/>
  <c r="DN93" i="3"/>
  <c r="DN115" i="3"/>
  <c r="DN116" i="3" s="1"/>
  <c r="DM115" i="3"/>
  <c r="DN114" i="3"/>
  <c r="DN113" i="3"/>
  <c r="DL59" i="3"/>
  <c r="DL34" i="3"/>
  <c r="DL36" i="3"/>
  <c r="DL39" i="3"/>
  <c r="DL44" i="3"/>
  <c r="DL115" i="3"/>
  <c r="DL80" i="3"/>
  <c r="DL82" i="3"/>
  <c r="DL53" i="3"/>
  <c r="DL31" i="3"/>
  <c r="DL113" i="3" s="1"/>
  <c r="DL56" i="3"/>
  <c r="DL74" i="3"/>
  <c r="DL47" i="3"/>
  <c r="DL111" i="3" s="1"/>
  <c r="DK34" i="3"/>
  <c r="DK82" i="3"/>
  <c r="DK80" i="3"/>
  <c r="DK68" i="3"/>
  <c r="DK65" i="3"/>
  <c r="DK114" i="3" s="1"/>
  <c r="DK44" i="3"/>
  <c r="DK112" i="3" s="1"/>
  <c r="DK41" i="3"/>
  <c r="DK39" i="3"/>
  <c r="DK36" i="3"/>
  <c r="DK31" i="3"/>
  <c r="DK53" i="3"/>
  <c r="DK96" i="3"/>
  <c r="DK91" i="3"/>
  <c r="DK100" i="3"/>
  <c r="DK93" i="3"/>
  <c r="DK59" i="3"/>
  <c r="DK71" i="3"/>
  <c r="DK84" i="3"/>
  <c r="DK74" i="3"/>
  <c r="DK56" i="3"/>
  <c r="DK50" i="3"/>
  <c r="DK47" i="3"/>
  <c r="DK113" i="3"/>
  <c r="DJ68" i="3"/>
  <c r="DJ44" i="3"/>
  <c r="DJ41" i="3"/>
  <c r="DJ114" i="3" s="1"/>
  <c r="DJ39" i="3"/>
  <c r="DJ36" i="3"/>
  <c r="DJ34" i="3"/>
  <c r="DJ53" i="3"/>
  <c r="DJ47" i="3"/>
  <c r="DJ84" i="3"/>
  <c r="DJ65" i="3"/>
  <c r="DJ82" i="3"/>
  <c r="DJ91" i="3"/>
  <c r="DJ115" i="3" s="1"/>
  <c r="DJ31" i="3"/>
  <c r="DJ113" i="3" s="1"/>
  <c r="DJ56" i="3"/>
  <c r="DJ111" i="3" s="1"/>
  <c r="DJ74" i="3"/>
  <c r="DJ96" i="3"/>
  <c r="DH113" i="3"/>
  <c r="DH112" i="3"/>
  <c r="DG82" i="3"/>
  <c r="DG115" i="3"/>
  <c r="DG113" i="3"/>
  <c r="DG111" i="3"/>
  <c r="DC65" i="3"/>
  <c r="DC31" i="3"/>
  <c r="DC113" i="3" s="1"/>
  <c r="DC36" i="3"/>
  <c r="DC39" i="3"/>
  <c r="DC44" i="3"/>
  <c r="DC56" i="3"/>
  <c r="DC68" i="3"/>
  <c r="DC80" i="3"/>
  <c r="DC114" i="3"/>
  <c r="DC82" i="3"/>
  <c r="DC93" i="3"/>
  <c r="DC115" i="3"/>
  <c r="DA82" i="3"/>
  <c r="DA71" i="3"/>
  <c r="DA115" i="3"/>
  <c r="DA84" i="3"/>
  <c r="DA111" i="3" s="1"/>
  <c r="DA116" i="3" s="1"/>
  <c r="DA31" i="3"/>
  <c r="DA113" i="3" s="1"/>
  <c r="DA36" i="3"/>
  <c r="DA44" i="3"/>
  <c r="DA47" i="3"/>
  <c r="DA56" i="3"/>
  <c r="DA50" i="3"/>
  <c r="DA65" i="3"/>
  <c r="DA114" i="3" s="1"/>
  <c r="DA68" i="3"/>
  <c r="DA80" i="3"/>
  <c r="DA112" i="3"/>
  <c r="DA93" i="3"/>
  <c r="DA96" i="3"/>
  <c r="DA74" i="3"/>
  <c r="CZ31" i="3"/>
  <c r="CZ34" i="3"/>
  <c r="CZ36" i="3"/>
  <c r="CZ39" i="3"/>
  <c r="CZ44" i="3"/>
  <c r="CZ53" i="3"/>
  <c r="CZ65" i="3"/>
  <c r="CZ114" i="3"/>
  <c r="CZ82" i="3"/>
  <c r="CZ112" i="3" s="1"/>
  <c r="CZ56" i="3"/>
  <c r="CZ84" i="3"/>
  <c r="CZ115" i="3"/>
  <c r="CY47" i="3"/>
  <c r="CY84" i="3"/>
  <c r="CY82" i="3"/>
  <c r="CY112" i="3" s="1"/>
  <c r="CY31" i="3"/>
  <c r="CY113" i="3" s="1"/>
  <c r="CY44" i="3"/>
  <c r="CY36" i="3"/>
  <c r="CY39" i="3"/>
  <c r="CY74" i="3"/>
  <c r="CY56" i="3"/>
  <c r="CY111" i="3" s="1"/>
  <c r="CY116" i="3" s="1"/>
  <c r="CU68" i="3"/>
  <c r="CU59" i="3"/>
  <c r="CU53" i="3"/>
  <c r="CU113" i="3" s="1"/>
  <c r="CU31" i="3"/>
  <c r="CU39" i="3"/>
  <c r="CY115" i="3"/>
  <c r="CY114" i="3"/>
  <c r="CU115" i="3"/>
  <c r="CU74" i="3"/>
  <c r="CS41" i="3"/>
  <c r="CS68" i="3"/>
  <c r="CS36" i="3"/>
  <c r="CS34" i="3"/>
  <c r="CS44" i="3"/>
  <c r="CS65" i="3"/>
  <c r="CS77" i="3"/>
  <c r="CS80" i="3"/>
  <c r="CS82" i="3"/>
  <c r="CS93" i="3"/>
  <c r="CS71" i="3"/>
  <c r="CS59" i="3"/>
  <c r="CS115" i="3"/>
  <c r="CS31" i="3"/>
  <c r="CS53" i="3"/>
  <c r="CS88" i="3"/>
  <c r="CS100" i="3"/>
  <c r="CS96" i="3"/>
  <c r="CS47" i="3"/>
  <c r="CS50" i="3"/>
  <c r="CS56" i="3"/>
  <c r="CS111" i="3" s="1"/>
  <c r="CS74" i="3"/>
  <c r="CS84" i="3"/>
  <c r="CR41" i="3"/>
  <c r="CR59" i="3"/>
  <c r="CR115" i="3" s="1"/>
  <c r="CR82" i="3"/>
  <c r="CR112" i="3" s="1"/>
  <c r="CR77" i="3"/>
  <c r="CR68" i="3"/>
  <c r="CR65" i="3"/>
  <c r="CR44" i="3"/>
  <c r="CR39" i="3"/>
  <c r="CR36" i="3"/>
  <c r="CR34" i="3"/>
  <c r="CR31" i="3"/>
  <c r="CR53" i="3"/>
  <c r="CR113" i="3" s="1"/>
  <c r="CR47" i="3"/>
  <c r="CR50" i="3"/>
  <c r="CR56" i="3"/>
  <c r="CR74" i="3"/>
  <c r="CR84" i="3"/>
  <c r="CQ94" i="3"/>
  <c r="GW94" i="3" s="1"/>
  <c r="CQ36" i="3"/>
  <c r="CQ112" i="3" s="1"/>
  <c r="CQ59" i="3"/>
  <c r="CQ115" i="3" s="1"/>
  <c r="CQ82" i="3"/>
  <c r="CO59" i="3"/>
  <c r="CO115" i="3"/>
  <c r="CO65" i="3"/>
  <c r="CO80" i="3"/>
  <c r="CO68" i="3"/>
  <c r="CO114" i="3" s="1"/>
  <c r="CO39" i="3"/>
  <c r="CO31" i="3"/>
  <c r="CO113" i="3" s="1"/>
  <c r="CO53" i="3"/>
  <c r="CO82" i="3"/>
  <c r="CO47" i="3"/>
  <c r="CO74" i="3"/>
  <c r="CO111" i="3" s="1"/>
  <c r="CO116" i="3" s="1"/>
  <c r="CQ114" i="3"/>
  <c r="CQ113" i="3"/>
  <c r="CN39" i="3"/>
  <c r="CN53" i="3"/>
  <c r="CN71" i="3"/>
  <c r="CN36" i="3"/>
  <c r="CN112" i="3" s="1"/>
  <c r="CN116" i="3" s="1"/>
  <c r="CN41" i="3"/>
  <c r="CN114" i="3" s="1"/>
  <c r="CN44" i="3"/>
  <c r="CN65" i="3"/>
  <c r="CN59" i="3"/>
  <c r="CN115" i="3" s="1"/>
  <c r="CN68" i="3"/>
  <c r="CN80" i="3"/>
  <c r="CN82" i="3"/>
  <c r="CN47" i="3"/>
  <c r="CN56" i="3"/>
  <c r="CN74" i="3"/>
  <c r="CN84" i="3"/>
  <c r="CN113" i="3"/>
  <c r="CK82" i="3"/>
  <c r="CK44" i="3"/>
  <c r="CK112" i="3"/>
  <c r="CK36" i="3"/>
  <c r="CK31" i="3"/>
  <c r="CK113" i="3"/>
  <c r="CK39" i="3"/>
  <c r="CK50" i="3"/>
  <c r="CK59" i="3"/>
  <c r="CK115" i="3" s="1"/>
  <c r="CK68" i="3"/>
  <c r="CK91" i="3"/>
  <c r="CL84" i="3"/>
  <c r="CL74" i="3"/>
  <c r="CL56" i="3"/>
  <c r="CL111" i="3" s="1"/>
  <c r="CL36" i="3"/>
  <c r="CL112" i="3" s="1"/>
  <c r="CL31" i="3"/>
  <c r="CL113" i="3" s="1"/>
  <c r="CL44" i="3"/>
  <c r="CL59" i="3"/>
  <c r="CL115" i="3" s="1"/>
  <c r="CL82" i="3"/>
  <c r="CL114" i="3"/>
  <c r="CK114" i="3"/>
  <c r="CH39" i="3"/>
  <c r="CH112" i="3" s="1"/>
  <c r="CH34" i="3"/>
  <c r="CH36" i="3"/>
  <c r="CH53" i="3"/>
  <c r="CH44" i="3"/>
  <c r="CH59" i="3"/>
  <c r="CH115" i="3"/>
  <c r="CH68" i="3"/>
  <c r="CH80" i="3"/>
  <c r="CH96" i="3"/>
  <c r="CH82" i="3"/>
  <c r="CH65" i="3"/>
  <c r="CH56" i="3"/>
  <c r="CH50" i="3"/>
  <c r="CH111" i="3" s="1"/>
  <c r="CH31" i="3"/>
  <c r="CH113" i="3" s="1"/>
  <c r="CH91" i="3"/>
  <c r="CG44" i="3"/>
  <c r="CG36" i="3"/>
  <c r="CG31" i="3"/>
  <c r="CG59" i="3"/>
  <c r="CG65" i="3"/>
  <c r="CG71" i="3"/>
  <c r="GW71" i="3" s="1"/>
  <c r="CG53" i="3"/>
  <c r="GW53" i="3" s="1"/>
  <c r="CG39" i="3"/>
  <c r="CG82" i="3"/>
  <c r="CG84" i="3"/>
  <c r="CG80" i="3"/>
  <c r="CG68" i="3"/>
  <c r="CG114" i="3"/>
  <c r="CG34" i="3"/>
  <c r="CG112" i="3" s="1"/>
  <c r="CG113" i="3"/>
  <c r="CG56" i="3"/>
  <c r="CG50" i="3"/>
  <c r="CG74" i="3"/>
  <c r="CC31" i="3"/>
  <c r="CC36" i="3"/>
  <c r="CC39" i="3"/>
  <c r="CC112" i="3" s="1"/>
  <c r="CC41" i="3"/>
  <c r="CC114" i="3" s="1"/>
  <c r="CC44" i="3"/>
  <c r="CC47" i="3"/>
  <c r="CC50" i="3"/>
  <c r="CC56" i="3"/>
  <c r="CC59" i="3"/>
  <c r="CC115" i="3" s="1"/>
  <c r="CC65" i="3"/>
  <c r="CC68" i="3"/>
  <c r="CC74" i="3"/>
  <c r="CC111" i="3" s="1"/>
  <c r="CC116" i="3" s="1"/>
  <c r="CC82" i="3"/>
  <c r="CC91" i="3"/>
  <c r="CC113" i="3"/>
  <c r="CB56" i="3"/>
  <c r="CB91" i="3"/>
  <c r="CB82" i="3"/>
  <c r="CB112" i="3" s="1"/>
  <c r="CB68" i="3"/>
  <c r="CB65" i="3"/>
  <c r="CB114" i="3" s="1"/>
  <c r="CB59" i="3"/>
  <c r="CB44" i="3"/>
  <c r="CB39" i="3"/>
  <c r="CB36" i="3"/>
  <c r="CB31" i="3"/>
  <c r="CB113" i="3"/>
  <c r="CB47" i="3"/>
  <c r="CB111" i="3" s="1"/>
  <c r="CB74" i="3"/>
  <c r="BY31" i="3"/>
  <c r="BY113" i="3" s="1"/>
  <c r="BY59" i="3"/>
  <c r="BY82" i="3"/>
  <c r="BY91" i="3"/>
  <c r="BY115" i="3" s="1"/>
  <c r="BS36" i="3"/>
  <c r="BS41" i="3"/>
  <c r="BS44" i="3"/>
  <c r="BS82" i="3"/>
  <c r="BS68" i="3"/>
  <c r="BY114" i="3"/>
  <c r="BY112" i="3"/>
  <c r="BY111" i="3"/>
  <c r="BY116" i="3" s="1"/>
  <c r="BS115" i="3"/>
  <c r="BS113" i="3"/>
  <c r="BS111" i="3"/>
  <c r="BQ47" i="3"/>
  <c r="BQ84" i="3"/>
  <c r="BQ82" i="3"/>
  <c r="BQ74" i="3"/>
  <c r="BQ111" i="3" s="1"/>
  <c r="BQ68" i="3"/>
  <c r="BQ114" i="3" s="1"/>
  <c r="BQ65" i="3"/>
  <c r="BQ56" i="3"/>
  <c r="BQ44" i="3"/>
  <c r="BQ41" i="3"/>
  <c r="BQ39" i="3"/>
  <c r="BQ36" i="3"/>
  <c r="BQ112" i="3" s="1"/>
  <c r="BP44" i="3"/>
  <c r="BP39" i="3"/>
  <c r="BP112" i="3" s="1"/>
  <c r="BP56" i="3"/>
  <c r="BP31" i="3"/>
  <c r="BP113" i="3"/>
  <c r="BP36" i="3"/>
  <c r="BP50" i="3"/>
  <c r="BP74" i="3"/>
  <c r="BP111" i="3" s="1"/>
  <c r="BP116" i="3" s="1"/>
  <c r="BP65" i="3"/>
  <c r="BP114" i="3" s="1"/>
  <c r="BP68" i="3"/>
  <c r="BP82" i="3"/>
  <c r="BO41" i="3"/>
  <c r="BO39" i="3"/>
  <c r="BO36" i="3"/>
  <c r="BO82" i="3"/>
  <c r="BO68" i="3"/>
  <c r="BO114" i="3" s="1"/>
  <c r="BO65" i="3"/>
  <c r="BO44" i="3"/>
  <c r="BO31" i="3"/>
  <c r="BO47" i="3"/>
  <c r="BO56" i="3"/>
  <c r="BO74" i="3"/>
  <c r="BQ115" i="3"/>
  <c r="BP115" i="3"/>
  <c r="BO115" i="3"/>
  <c r="BQ113" i="3"/>
  <c r="BO113" i="3"/>
  <c r="BG111" i="3"/>
  <c r="BC34" i="3"/>
  <c r="BC39" i="3"/>
  <c r="BC59" i="3"/>
  <c r="BC82" i="3"/>
  <c r="BC74" i="3"/>
  <c r="BC56" i="3"/>
  <c r="BC36" i="3"/>
  <c r="BC31" i="3"/>
  <c r="BC113" i="3"/>
  <c r="BC47" i="3"/>
  <c r="BC115" i="3"/>
  <c r="BC65" i="3"/>
  <c r="BC114" i="3" s="1"/>
  <c r="BC68" i="3"/>
  <c r="BC91" i="3"/>
  <c r="BB68" i="3"/>
  <c r="BB114" i="3"/>
  <c r="BB74" i="3"/>
  <c r="BB111" i="3"/>
  <c r="BB34" i="3"/>
  <c r="BB31" i="3"/>
  <c r="BB36" i="3"/>
  <c r="BB39" i="3"/>
  <c r="BB56" i="3"/>
  <c r="BB82" i="3"/>
  <c r="BA88" i="3"/>
  <c r="BA34" i="3"/>
  <c r="BA112" i="3" s="1"/>
  <c r="BA36" i="3"/>
  <c r="BA37" i="3"/>
  <c r="GW37" i="3" s="1"/>
  <c r="BA65" i="3"/>
  <c r="BG115" i="3"/>
  <c r="BE115" i="3"/>
  <c r="BG114" i="3"/>
  <c r="BE114" i="3"/>
  <c r="BE116" i="3" s="1"/>
  <c r="BG113" i="3"/>
  <c r="BE113" i="3"/>
  <c r="BG112" i="3"/>
  <c r="BE112" i="3"/>
  <c r="BE111" i="3"/>
  <c r="BB115" i="3"/>
  <c r="BA115" i="3"/>
  <c r="BB113" i="3"/>
  <c r="BA113" i="3"/>
  <c r="AY39" i="3"/>
  <c r="AY36" i="3"/>
  <c r="AY34" i="3"/>
  <c r="AY59" i="3"/>
  <c r="AY115" i="3"/>
  <c r="AY56" i="3"/>
  <c r="AY111" i="3" s="1"/>
  <c r="AY65" i="3"/>
  <c r="AY68" i="3"/>
  <c r="AY74" i="3"/>
  <c r="AY82" i="3"/>
  <c r="AY113" i="3"/>
  <c r="AF82" i="3"/>
  <c r="AF39" i="3"/>
  <c r="AF36" i="3"/>
  <c r="AF115" i="3"/>
  <c r="AF114" i="3"/>
  <c r="AF113" i="3"/>
  <c r="AE39" i="3"/>
  <c r="AE82" i="3"/>
  <c r="AA100" i="3"/>
  <c r="AA36" i="3"/>
  <c r="AA112" i="3" s="1"/>
  <c r="AA39" i="3"/>
  <c r="AA44" i="3"/>
  <c r="AA47" i="3"/>
  <c r="AA56" i="3"/>
  <c r="AA59" i="3"/>
  <c r="AA82" i="3"/>
  <c r="AA84" i="3"/>
  <c r="Z39" i="3"/>
  <c r="Z112" i="3" s="1"/>
  <c r="Z82" i="3"/>
  <c r="Z44" i="3"/>
  <c r="Z36" i="3"/>
  <c r="Z59" i="3"/>
  <c r="Z115" i="3" s="1"/>
  <c r="Z84" i="3"/>
  <c r="Z56" i="3"/>
  <c r="AA114" i="3"/>
  <c r="Z114" i="3"/>
  <c r="AA113" i="3"/>
  <c r="Z113" i="3"/>
  <c r="W44" i="3"/>
  <c r="W115" i="3"/>
  <c r="W114" i="3"/>
  <c r="W113" i="3"/>
  <c r="W82" i="3"/>
  <c r="W39" i="3"/>
  <c r="W31" i="3"/>
  <c r="W47" i="3"/>
  <c r="W50" i="3"/>
  <c r="W84" i="3"/>
  <c r="W56" i="3"/>
  <c r="V82" i="3"/>
  <c r="V112" i="3" s="1"/>
  <c r="V56" i="3"/>
  <c r="V39" i="3"/>
  <c r="V31" i="3"/>
  <c r="V113" i="3" s="1"/>
  <c r="V115" i="3"/>
  <c r="V114" i="3"/>
  <c r="O84" i="3"/>
  <c r="O44" i="3"/>
  <c r="O39" i="3"/>
  <c r="O82" i="3"/>
  <c r="O50" i="3"/>
  <c r="O47" i="3"/>
  <c r="O56" i="3"/>
  <c r="O74" i="3"/>
  <c r="O111" i="3" s="1"/>
  <c r="O115" i="3"/>
  <c r="O114" i="3"/>
  <c r="O113" i="3"/>
  <c r="K47" i="3"/>
  <c r="K59" i="3"/>
  <c r="K115" i="3" s="1"/>
  <c r="K74" i="3"/>
  <c r="K91" i="3"/>
  <c r="K114" i="3"/>
  <c r="K113" i="3"/>
  <c r="K112" i="3"/>
  <c r="H115" i="3"/>
  <c r="H114" i="3"/>
  <c r="H113" i="3"/>
  <c r="H112" i="3"/>
  <c r="KR104" i="3"/>
  <c r="KR103" i="3"/>
  <c r="GW110" i="3"/>
  <c r="GW109" i="3"/>
  <c r="GW108" i="3"/>
  <c r="GW107" i="3"/>
  <c r="FA101" i="3"/>
  <c r="EL101" i="3"/>
  <c r="EE101" i="3"/>
  <c r="GW101" i="3"/>
  <c r="CP100" i="3"/>
  <c r="FG98" i="3"/>
  <c r="FA98" i="3"/>
  <c r="EX98" i="3"/>
  <c r="EW98" i="3"/>
  <c r="GE96" i="3"/>
  <c r="FQ96" i="3"/>
  <c r="FQ114" i="3" s="1"/>
  <c r="FK96" i="3"/>
  <c r="FG96" i="3"/>
  <c r="EB96" i="3"/>
  <c r="CV96" i="3"/>
  <c r="CK96" i="3"/>
  <c r="CI96" i="3"/>
  <c r="AP96" i="3"/>
  <c r="S96" i="3"/>
  <c r="EZ95" i="3"/>
  <c r="EV95" i="3"/>
  <c r="DM93" i="3"/>
  <c r="DD93" i="3"/>
  <c r="CV93" i="3"/>
  <c r="CU93" i="3"/>
  <c r="CP93" i="3"/>
  <c r="GE91" i="3"/>
  <c r="FR91" i="3"/>
  <c r="FQ91" i="3"/>
  <c r="FN91" i="3"/>
  <c r="FJ91" i="3"/>
  <c r="FD91" i="3"/>
  <c r="EZ91" i="3"/>
  <c r="EW91" i="3"/>
  <c r="DH91" i="3"/>
  <c r="DH115" i="3" s="1"/>
  <c r="DE91" i="3"/>
  <c r="DB91" i="3"/>
  <c r="CX91" i="3"/>
  <c r="CV91" i="3"/>
  <c r="CU91" i="3"/>
  <c r="CT91" i="3"/>
  <c r="CJ91" i="3"/>
  <c r="CI91" i="3"/>
  <c r="CE91" i="3"/>
  <c r="CD91" i="3"/>
  <c r="CA91" i="3"/>
  <c r="BZ91" i="3"/>
  <c r="BD91" i="3"/>
  <c r="S91" i="3"/>
  <c r="EW88" i="3"/>
  <c r="EV88" i="3"/>
  <c r="ES88" i="3"/>
  <c r="DX88" i="3"/>
  <c r="Y88" i="3"/>
  <c r="S88" i="3"/>
  <c r="DL85" i="3"/>
  <c r="CQ85" i="3"/>
  <c r="FQ84" i="3"/>
  <c r="DB84" i="3"/>
  <c r="CV84" i="3"/>
  <c r="CP84" i="3"/>
  <c r="CM84" i="3"/>
  <c r="CI84" i="3"/>
  <c r="CH84" i="3"/>
  <c r="BR84" i="3"/>
  <c r="AB84" i="3"/>
  <c r="Y84" i="3"/>
  <c r="S84" i="3"/>
  <c r="R84" i="3"/>
  <c r="N84" i="3"/>
  <c r="M84" i="3"/>
  <c r="FA83" i="3"/>
  <c r="EZ83" i="3"/>
  <c r="EV83" i="3"/>
  <c r="GW83" i="3" s="1"/>
  <c r="FU82" i="3"/>
  <c r="FQ82" i="3"/>
  <c r="FG82" i="3"/>
  <c r="FE82" i="3"/>
  <c r="FB82" i="3"/>
  <c r="EY82" i="3"/>
  <c r="EX82" i="3"/>
  <c r="EW82" i="3"/>
  <c r="EU82" i="3"/>
  <c r="ES82" i="3"/>
  <c r="EE82" i="3"/>
  <c r="EB82" i="3"/>
  <c r="DZ82" i="3"/>
  <c r="DX82" i="3"/>
  <c r="DF82" i="3"/>
  <c r="DE82" i="3"/>
  <c r="DB82" i="3"/>
  <c r="CX82" i="3"/>
  <c r="CV82" i="3"/>
  <c r="CU82" i="3"/>
  <c r="CT82" i="3"/>
  <c r="CP82" i="3"/>
  <c r="CM82" i="3"/>
  <c r="CJ82" i="3"/>
  <c r="CI82" i="3"/>
  <c r="CE82" i="3"/>
  <c r="CD82" i="3"/>
  <c r="BR82" i="3"/>
  <c r="BN82" i="3"/>
  <c r="BM82" i="3"/>
  <c r="BL82" i="3"/>
  <c r="BD82" i="3"/>
  <c r="AZ82" i="3"/>
  <c r="AX82" i="3"/>
  <c r="AW82" i="3"/>
  <c r="AH82" i="3"/>
  <c r="AD82" i="3"/>
  <c r="AB82" i="3"/>
  <c r="Y82" i="3"/>
  <c r="S82" i="3"/>
  <c r="R82" i="3"/>
  <c r="FO81" i="3"/>
  <c r="FA81" i="3"/>
  <c r="EZ81" i="3"/>
  <c r="EV81" i="3"/>
  <c r="EN81" i="3"/>
  <c r="EG81" i="3"/>
  <c r="EE81" i="3"/>
  <c r="GW81" i="3" s="1"/>
  <c r="FO80" i="3"/>
  <c r="FO114" i="3" s="1"/>
  <c r="EV80" i="3"/>
  <c r="DX80" i="3"/>
  <c r="DG80" i="3"/>
  <c r="DG114" i="3" s="1"/>
  <c r="DF80" i="3"/>
  <c r="DB80" i="3"/>
  <c r="CP80" i="3"/>
  <c r="CJ80" i="3"/>
  <c r="CI80" i="3"/>
  <c r="EV77" i="3"/>
  <c r="CX77" i="3"/>
  <c r="FU75" i="3"/>
  <c r="CZ75" i="3"/>
  <c r="U75" i="3"/>
  <c r="Q75" i="3"/>
  <c r="L75" i="3"/>
  <c r="H75" i="3"/>
  <c r="FX74" i="3"/>
  <c r="FQ74" i="3"/>
  <c r="FN74" i="3"/>
  <c r="FL74" i="3"/>
  <c r="FK74" i="3"/>
  <c r="FJ74" i="3"/>
  <c r="FI74" i="3"/>
  <c r="FG74" i="3"/>
  <c r="FF74" i="3"/>
  <c r="FE74" i="3"/>
  <c r="FD74" i="3"/>
  <c r="FB74" i="3"/>
  <c r="FA74" i="3"/>
  <c r="EX74" i="3"/>
  <c r="EU74" i="3"/>
  <c r="ES74" i="3"/>
  <c r="EO74" i="3"/>
  <c r="EM74" i="3"/>
  <c r="EE74" i="3"/>
  <c r="EB74" i="3"/>
  <c r="EA74" i="3"/>
  <c r="DN74" i="3"/>
  <c r="DH74" i="3"/>
  <c r="DE74" i="3"/>
  <c r="DB74" i="3"/>
  <c r="CX74" i="3"/>
  <c r="CV74" i="3"/>
  <c r="CT74" i="3"/>
  <c r="CQ74" i="3"/>
  <c r="CP74" i="3"/>
  <c r="CM74" i="3"/>
  <c r="CK74" i="3"/>
  <c r="CJ74" i="3"/>
  <c r="CI74" i="3"/>
  <c r="CH74" i="3"/>
  <c r="CF74" i="3"/>
  <c r="CE74" i="3"/>
  <c r="CD74" i="3"/>
  <c r="CA74" i="3"/>
  <c r="BZ74" i="3"/>
  <c r="BY74" i="3"/>
  <c r="BR74" i="3"/>
  <c r="BN74" i="3"/>
  <c r="BM74" i="3"/>
  <c r="BL74" i="3"/>
  <c r="BD74" i="3"/>
  <c r="AZ74" i="3"/>
  <c r="AX74" i="3"/>
  <c r="AW74" i="3"/>
  <c r="AQ74" i="3"/>
  <c r="AP74" i="3"/>
  <c r="AO74" i="3"/>
  <c r="AN74" i="3"/>
  <c r="AL74" i="3"/>
  <c r="AK74" i="3"/>
  <c r="AJ74" i="3"/>
  <c r="AI74" i="3"/>
  <c r="AF74" i="3"/>
  <c r="AF111" i="3" s="1"/>
  <c r="AE74" i="3"/>
  <c r="AD74" i="3"/>
  <c r="Y74" i="3"/>
  <c r="V74" i="3"/>
  <c r="S74" i="3"/>
  <c r="R74" i="3"/>
  <c r="N74" i="3"/>
  <c r="M74" i="3"/>
  <c r="J74" i="3"/>
  <c r="FW73" i="3"/>
  <c r="FP73" i="3"/>
  <c r="FM73" i="3"/>
  <c r="EZ73" i="3"/>
  <c r="EW73" i="3"/>
  <c r="EV73" i="3"/>
  <c r="EE73" i="3"/>
  <c r="DX73" i="3"/>
  <c r="GE72" i="3"/>
  <c r="GD72" i="3"/>
  <c r="GC72" i="3"/>
  <c r="EJ72" i="3"/>
  <c r="EI72" i="3"/>
  <c r="GW72" i="3" s="1"/>
  <c r="EW71" i="3"/>
  <c r="GE70" i="3"/>
  <c r="GW70" i="3" s="1"/>
  <c r="DL69" i="3"/>
  <c r="CT69" i="3"/>
  <c r="CQ69" i="3"/>
  <c r="FE68" i="3"/>
  <c r="FB68" i="3"/>
  <c r="DH68" i="3"/>
  <c r="DH114" i="3" s="1"/>
  <c r="DB68" i="3"/>
  <c r="CX68" i="3"/>
  <c r="CV68" i="3"/>
  <c r="CP68" i="3"/>
  <c r="CM68" i="3"/>
  <c r="CJ68" i="3"/>
  <c r="CI68" i="3"/>
  <c r="CE68" i="3"/>
  <c r="CD68" i="3"/>
  <c r="BN68" i="3"/>
  <c r="AZ68" i="3"/>
  <c r="EZ67" i="3"/>
  <c r="EV67" i="3"/>
  <c r="GW67" i="3" s="1"/>
  <c r="DL66" i="3"/>
  <c r="DL114" i="3" s="1"/>
  <c r="CT66" i="3"/>
  <c r="GW66" i="3" s="1"/>
  <c r="FJ65" i="3"/>
  <c r="FG65" i="3"/>
  <c r="FE65" i="3"/>
  <c r="FD65" i="3"/>
  <c r="FB65" i="3"/>
  <c r="EX65" i="3"/>
  <c r="EW65" i="3"/>
  <c r="EU65" i="3"/>
  <c r="ES65" i="3"/>
  <c r="EE65" i="3"/>
  <c r="DB65" i="3"/>
  <c r="CX65" i="3"/>
  <c r="CU65" i="3"/>
  <c r="CP65" i="3"/>
  <c r="CM65" i="3"/>
  <c r="CJ65" i="3"/>
  <c r="CI65" i="3"/>
  <c r="CE65" i="3"/>
  <c r="CD65" i="3"/>
  <c r="BN65" i="3"/>
  <c r="AZ65" i="3"/>
  <c r="EZ64" i="3"/>
  <c r="EV64" i="3"/>
  <c r="EE64" i="3"/>
  <c r="GD62" i="3"/>
  <c r="GC62" i="3"/>
  <c r="FZ62" i="3"/>
  <c r="FU62" i="3"/>
  <c r="FR62" i="3"/>
  <c r="FQ62" i="3"/>
  <c r="FO62" i="3"/>
  <c r="FO115" i="3" s="1"/>
  <c r="FN62" i="3"/>
  <c r="FD62" i="3"/>
  <c r="FB62" i="3"/>
  <c r="FA62" i="3"/>
  <c r="EZ62" i="3"/>
  <c r="EX62" i="3"/>
  <c r="EW62" i="3"/>
  <c r="AR60" i="3"/>
  <c r="GW60" i="3" s="1"/>
  <c r="GD59" i="3"/>
  <c r="GC59" i="3"/>
  <c r="FN59" i="3"/>
  <c r="FM59" i="3"/>
  <c r="FK59" i="3"/>
  <c r="FJ59" i="3"/>
  <c r="FG59" i="3"/>
  <c r="FE59" i="3"/>
  <c r="FD59" i="3"/>
  <c r="FB59" i="3"/>
  <c r="EZ59" i="3"/>
  <c r="EV59" i="3"/>
  <c r="EP59" i="3"/>
  <c r="DB59" i="3"/>
  <c r="CX59" i="3"/>
  <c r="CV59" i="3"/>
  <c r="CT59" i="3"/>
  <c r="CP59" i="3"/>
  <c r="CM59" i="3"/>
  <c r="CJ59" i="3"/>
  <c r="CI59" i="3"/>
  <c r="CE59" i="3"/>
  <c r="CD59" i="3"/>
  <c r="CA59" i="3"/>
  <c r="BZ59" i="3"/>
  <c r="BT59" i="3"/>
  <c r="BR59" i="3"/>
  <c r="BL59" i="3"/>
  <c r="BD59" i="3"/>
  <c r="AZ59" i="3"/>
  <c r="AW59" i="3"/>
  <c r="AR59" i="3"/>
  <c r="AE59" i="3"/>
  <c r="AD59" i="3"/>
  <c r="AB59" i="3"/>
  <c r="Y59" i="3"/>
  <c r="X59" i="3"/>
  <c r="S59" i="3"/>
  <c r="R59" i="3"/>
  <c r="N59" i="3"/>
  <c r="M59" i="3"/>
  <c r="J59" i="3"/>
  <c r="GW59" i="3" s="1"/>
  <c r="CT57" i="3"/>
  <c r="CQ57" i="3"/>
  <c r="GW57" i="3" s="1"/>
  <c r="FQ56" i="3"/>
  <c r="FG56" i="3"/>
  <c r="FF56" i="3"/>
  <c r="FB56" i="3"/>
  <c r="EW56" i="3"/>
  <c r="ES56" i="3"/>
  <c r="EO56" i="3"/>
  <c r="EE56" i="3"/>
  <c r="EB56" i="3"/>
  <c r="EA56" i="3"/>
  <c r="DH56" i="3"/>
  <c r="DB56" i="3"/>
  <c r="CV56" i="3"/>
  <c r="CU56" i="3"/>
  <c r="CP56" i="3"/>
  <c r="CM56" i="3"/>
  <c r="CK56" i="3"/>
  <c r="CI56" i="3"/>
  <c r="CE56" i="3"/>
  <c r="CD56" i="3"/>
  <c r="BR56" i="3"/>
  <c r="BN56" i="3"/>
  <c r="BD56" i="3"/>
  <c r="AZ56" i="3"/>
  <c r="AB56" i="3"/>
  <c r="Y56" i="3"/>
  <c r="S56" i="3"/>
  <c r="R56" i="3"/>
  <c r="N56" i="3"/>
  <c r="M56" i="3"/>
  <c r="FO55" i="3"/>
  <c r="FA55" i="3"/>
  <c r="EZ55" i="3"/>
  <c r="EV55" i="3"/>
  <c r="EK55" i="3"/>
  <c r="EE55" i="3"/>
  <c r="GW55" i="3" s="1"/>
  <c r="FQ53" i="3"/>
  <c r="FQ113" i="3" s="1"/>
  <c r="FJ53" i="3"/>
  <c r="FG53" i="3"/>
  <c r="FE53" i="3"/>
  <c r="FD53" i="3"/>
  <c r="FB53" i="3"/>
  <c r="FA53" i="3"/>
  <c r="ES53" i="3"/>
  <c r="DB53" i="3"/>
  <c r="CV53" i="3"/>
  <c r="CT53" i="3"/>
  <c r="CP53" i="3"/>
  <c r="CJ53" i="3"/>
  <c r="CI53" i="3"/>
  <c r="DL51" i="3"/>
  <c r="BT51" i="3"/>
  <c r="FK50" i="3"/>
  <c r="EY50" i="3"/>
  <c r="EX50" i="3"/>
  <c r="EW50" i="3"/>
  <c r="EU50" i="3"/>
  <c r="EE50" i="3"/>
  <c r="EB50" i="3"/>
  <c r="DZ50" i="3"/>
  <c r="DX50" i="3"/>
  <c r="DW50" i="3"/>
  <c r="DH50" i="3"/>
  <c r="DH111" i="3" s="1"/>
  <c r="DB50" i="3"/>
  <c r="CX50" i="3"/>
  <c r="CV50" i="3"/>
  <c r="CM50" i="3"/>
  <c r="CI50" i="3"/>
  <c r="CE50" i="3"/>
  <c r="CD50" i="3"/>
  <c r="BD50" i="3"/>
  <c r="AZ50" i="3"/>
  <c r="AQ50" i="3"/>
  <c r="AP50" i="3"/>
  <c r="AB50" i="3"/>
  <c r="Y50" i="3"/>
  <c r="S50" i="3"/>
  <c r="R50" i="3"/>
  <c r="N50" i="3"/>
  <c r="FA49" i="3"/>
  <c r="EZ49" i="3"/>
  <c r="EV49" i="3"/>
  <c r="EN49" i="3"/>
  <c r="EK49" i="3"/>
  <c r="EE49" i="3"/>
  <c r="DC48" i="3"/>
  <c r="DC111" i="3" s="1"/>
  <c r="CZ48" i="3"/>
  <c r="CZ111" i="3" s="1"/>
  <c r="Z48" i="3"/>
  <c r="U48" i="3"/>
  <c r="Q48" i="3"/>
  <c r="L48" i="3"/>
  <c r="H48" i="3"/>
  <c r="GW48" i="3" s="1"/>
  <c r="H111" i="3"/>
  <c r="H116" i="3" s="1"/>
  <c r="FQ47" i="3"/>
  <c r="FN47" i="3"/>
  <c r="FL47" i="3"/>
  <c r="FK47" i="3"/>
  <c r="FJ47" i="3"/>
  <c r="FI47" i="3"/>
  <c r="FG47" i="3"/>
  <c r="FF47" i="3"/>
  <c r="FF111" i="3" s="1"/>
  <c r="FF116" i="3" s="1"/>
  <c r="FE47" i="3"/>
  <c r="FD47" i="3"/>
  <c r="FB47" i="3"/>
  <c r="FA47" i="3"/>
  <c r="EX47" i="3"/>
  <c r="EU47" i="3"/>
  <c r="ES47" i="3"/>
  <c r="EO47" i="3"/>
  <c r="EO111" i="3" s="1"/>
  <c r="EO116" i="3" s="1"/>
  <c r="EN47" i="3"/>
  <c r="EM47" i="3"/>
  <c r="EB47" i="3"/>
  <c r="EA47" i="3"/>
  <c r="EA111" i="3" s="1"/>
  <c r="DZ47" i="3"/>
  <c r="DH47" i="3"/>
  <c r="DE47" i="3"/>
  <c r="DB47" i="3"/>
  <c r="CX47" i="3"/>
  <c r="CV47" i="3"/>
  <c r="CU47" i="3"/>
  <c r="CU111" i="3" s="1"/>
  <c r="CT47" i="3"/>
  <c r="CQ47" i="3"/>
  <c r="CQ111" i="3" s="1"/>
  <c r="CP47" i="3"/>
  <c r="CM47" i="3"/>
  <c r="CK47" i="3"/>
  <c r="CK111" i="3" s="1"/>
  <c r="CK116" i="3" s="1"/>
  <c r="CJ47" i="3"/>
  <c r="CI47" i="3"/>
  <c r="CH47" i="3"/>
  <c r="CF47" i="3"/>
  <c r="CE47" i="3"/>
  <c r="CD47" i="3"/>
  <c r="BY47" i="3"/>
  <c r="BR47" i="3"/>
  <c r="BN47" i="3"/>
  <c r="BL47" i="3"/>
  <c r="BD47" i="3"/>
  <c r="AZ47" i="3"/>
  <c r="AW47" i="3"/>
  <c r="AQ47" i="3"/>
  <c r="AP47" i="3"/>
  <c r="AJ47" i="3"/>
  <c r="AI47" i="3"/>
  <c r="AB47" i="3"/>
  <c r="Y47" i="3"/>
  <c r="V47" i="3"/>
  <c r="S47" i="3"/>
  <c r="R47" i="3"/>
  <c r="N47" i="3"/>
  <c r="M47" i="3"/>
  <c r="J47" i="3"/>
  <c r="FO46" i="3"/>
  <c r="FO111" i="3" s="1"/>
  <c r="FM46" i="3"/>
  <c r="EZ46" i="3"/>
  <c r="EW46" i="3"/>
  <c r="EV46" i="3"/>
  <c r="ET46" i="3"/>
  <c r="EN46" i="3"/>
  <c r="EI46" i="3"/>
  <c r="EE46" i="3"/>
  <c r="EE111" i="3" s="1"/>
  <c r="DX46" i="3"/>
  <c r="CQ45" i="3"/>
  <c r="P45" i="3"/>
  <c r="GW45" i="3" s="1"/>
  <c r="EX44" i="3"/>
  <c r="EW44" i="3"/>
  <c r="DE44" i="3"/>
  <c r="DB44" i="3"/>
  <c r="CV44" i="3"/>
  <c r="CU44" i="3"/>
  <c r="CT44" i="3"/>
  <c r="CP44" i="3"/>
  <c r="CO44" i="3"/>
  <c r="CM44" i="3"/>
  <c r="CJ44" i="3"/>
  <c r="CI44" i="3"/>
  <c r="CF44" i="3"/>
  <c r="CE44" i="3"/>
  <c r="CD44" i="3"/>
  <c r="CA44" i="3"/>
  <c r="BZ44" i="3"/>
  <c r="BY44" i="3"/>
  <c r="BR44" i="3"/>
  <c r="BN44" i="3"/>
  <c r="BM44" i="3"/>
  <c r="BL44" i="3"/>
  <c r="T44" i="3"/>
  <c r="S44" i="3"/>
  <c r="R44" i="3"/>
  <c r="EZ43" i="3"/>
  <c r="EV43" i="3"/>
  <c r="EK43" i="3"/>
  <c r="CT42" i="3"/>
  <c r="GW42" i="3" s="1"/>
  <c r="CX41" i="3"/>
  <c r="CU41" i="3"/>
  <c r="CO41" i="3"/>
  <c r="CM41" i="3"/>
  <c r="CE41" i="3"/>
  <c r="CD41" i="3"/>
  <c r="FP39" i="3"/>
  <c r="FP112" i="3" s="1"/>
  <c r="FN39" i="3"/>
  <c r="FK39" i="3"/>
  <c r="FJ39" i="3"/>
  <c r="FG39" i="3"/>
  <c r="FE39" i="3"/>
  <c r="FD39" i="3"/>
  <c r="FB39" i="3"/>
  <c r="EY39" i="3"/>
  <c r="EX39" i="3"/>
  <c r="EW39" i="3"/>
  <c r="EU39" i="3"/>
  <c r="ES39" i="3"/>
  <c r="EH39" i="3"/>
  <c r="EE39" i="3"/>
  <c r="EB39" i="3"/>
  <c r="DX39" i="3"/>
  <c r="DE39" i="3"/>
  <c r="CS39" i="3"/>
  <c r="CP39" i="3"/>
  <c r="CM39" i="3"/>
  <c r="CJ39" i="3"/>
  <c r="CI39" i="3"/>
  <c r="CF39" i="3"/>
  <c r="CE39" i="3"/>
  <c r="CD39" i="3"/>
  <c r="BR39" i="3"/>
  <c r="BN39" i="3"/>
  <c r="AZ39" i="3"/>
  <c r="AI39" i="3"/>
  <c r="AH39" i="3"/>
  <c r="AG39" i="3"/>
  <c r="AD39" i="3"/>
  <c r="AB39" i="3"/>
  <c r="Y39" i="3"/>
  <c r="T39" i="3"/>
  <c r="S39" i="3"/>
  <c r="R39" i="3"/>
  <c r="P39" i="3"/>
  <c r="N39" i="3"/>
  <c r="GW39" i="3" s="1"/>
  <c r="FO38" i="3"/>
  <c r="FM38" i="3"/>
  <c r="FH38" i="3"/>
  <c r="FA38" i="3"/>
  <c r="EZ38" i="3"/>
  <c r="EV38" i="3"/>
  <c r="EN38" i="3"/>
  <c r="EK38" i="3"/>
  <c r="EH38" i="3"/>
  <c r="EG38" i="3"/>
  <c r="EE38" i="3"/>
  <c r="FQ36" i="3"/>
  <c r="FJ36" i="3"/>
  <c r="FG36" i="3"/>
  <c r="FF36" i="3"/>
  <c r="FF112" i="3" s="1"/>
  <c r="FE36" i="3"/>
  <c r="FD36" i="3"/>
  <c r="FC36" i="3"/>
  <c r="FB36" i="3"/>
  <c r="EY36" i="3"/>
  <c r="EX36" i="3"/>
  <c r="EW36" i="3"/>
  <c r="ES36" i="3"/>
  <c r="EE36" i="3"/>
  <c r="DN36" i="3"/>
  <c r="DN112" i="3" s="1"/>
  <c r="DH36" i="3"/>
  <c r="DG36" i="3"/>
  <c r="DG112" i="3" s="1"/>
  <c r="DE36" i="3"/>
  <c r="DB36" i="3"/>
  <c r="CV36" i="3"/>
  <c r="CU36" i="3"/>
  <c r="CT36" i="3"/>
  <c r="CP36" i="3"/>
  <c r="CO36" i="3"/>
  <c r="CO112" i="3" s="1"/>
  <c r="CM36" i="3"/>
  <c r="CJ36" i="3"/>
  <c r="CI36" i="3"/>
  <c r="CE36" i="3"/>
  <c r="CD36" i="3"/>
  <c r="BR36" i="3"/>
  <c r="BN36" i="3"/>
  <c r="BD36" i="3"/>
  <c r="AZ36" i="3"/>
  <c r="AG36" i="3"/>
  <c r="AE36" i="3"/>
  <c r="AD36" i="3"/>
  <c r="AB36" i="3"/>
  <c r="FM35" i="3"/>
  <c r="FH35" i="3"/>
  <c r="FA35" i="3"/>
  <c r="EZ35" i="3"/>
  <c r="EV35" i="3"/>
  <c r="EN35" i="3"/>
  <c r="EK35" i="3"/>
  <c r="EG35" i="3"/>
  <c r="EE35" i="3"/>
  <c r="FO34" i="3"/>
  <c r="FH34" i="3"/>
  <c r="FE34" i="3"/>
  <c r="FD34" i="3"/>
  <c r="FC34" i="3"/>
  <c r="FA34" i="3"/>
  <c r="EW34" i="3"/>
  <c r="EV34" i="3"/>
  <c r="ET34" i="3"/>
  <c r="ER34" i="3"/>
  <c r="EN34" i="3"/>
  <c r="EK34" i="3"/>
  <c r="DZ34" i="3"/>
  <c r="DW34" i="3"/>
  <c r="DF34" i="3"/>
  <c r="DB34" i="3"/>
  <c r="CU34" i="3"/>
  <c r="CU112" i="3" s="1"/>
  <c r="CT34" i="3"/>
  <c r="CI34" i="3"/>
  <c r="CF34" i="3"/>
  <c r="AZ34" i="3"/>
  <c r="AD34" i="3"/>
  <c r="FN33" i="3"/>
  <c r="FL33" i="3"/>
  <c r="EU33" i="3"/>
  <c r="EG33" i="3"/>
  <c r="ED33" i="3"/>
  <c r="FC32" i="3"/>
  <c r="U32" i="3"/>
  <c r="T32" i="3"/>
  <c r="GW32" i="3" s="1"/>
  <c r="FG31" i="3"/>
  <c r="FE31" i="3"/>
  <c r="FD31" i="3"/>
  <c r="FB31" i="3"/>
  <c r="FA31" i="3"/>
  <c r="EX31" i="3"/>
  <c r="DH31" i="3"/>
  <c r="DF31" i="3"/>
  <c r="DE31" i="3"/>
  <c r="DB31" i="3"/>
  <c r="CX31" i="3"/>
  <c r="CV31" i="3"/>
  <c r="CT31" i="3"/>
  <c r="CP31" i="3"/>
  <c r="CJ31" i="3"/>
  <c r="CI31" i="3"/>
  <c r="CE31" i="3"/>
  <c r="CD31" i="3"/>
  <c r="AZ31" i="3"/>
  <c r="Y31" i="3"/>
  <c r="S31" i="3"/>
  <c r="R31" i="3"/>
  <c r="N31" i="3"/>
  <c r="M31" i="3"/>
  <c r="EZ30" i="3"/>
  <c r="EW30" i="3"/>
  <c r="EV30" i="3"/>
  <c r="DX30" i="3"/>
  <c r="AP29" i="3"/>
  <c r="GW29" i="3" s="1"/>
  <c r="GW28" i="3"/>
  <c r="FB27" i="3"/>
  <c r="FA27" i="3"/>
  <c r="ES27" i="3"/>
  <c r="EL27" i="3"/>
  <c r="DN27" i="3"/>
  <c r="DM27" i="3"/>
  <c r="DL27" i="3"/>
  <c r="DK27" i="3"/>
  <c r="DJ27" i="3"/>
  <c r="DC27" i="3"/>
  <c r="DB27" i="3"/>
  <c r="DA27" i="3"/>
  <c r="CZ27" i="3"/>
  <c r="CY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E27" i="3"/>
  <c r="CD27" i="3"/>
  <c r="CC27" i="3"/>
  <c r="CB27" i="3"/>
  <c r="CA27" i="3"/>
  <c r="BZ27" i="3"/>
  <c r="BY27" i="3"/>
  <c r="BS27" i="3"/>
  <c r="BR27" i="3"/>
  <c r="BQ27" i="3"/>
  <c r="BP27" i="3"/>
  <c r="BO27" i="3"/>
  <c r="BN27" i="3"/>
  <c r="BM27" i="3"/>
  <c r="BL27" i="3"/>
  <c r="BE27" i="3"/>
  <c r="BD27" i="3"/>
  <c r="BC27" i="3"/>
  <c r="BB27" i="3"/>
  <c r="BA27" i="3"/>
  <c r="AZ27" i="3"/>
  <c r="AY27" i="3"/>
  <c r="AX27" i="3"/>
  <c r="AW27" i="3"/>
  <c r="AB27" i="3"/>
  <c r="AA27" i="3"/>
  <c r="Z27" i="3"/>
  <c r="Y27" i="3"/>
  <c r="X27" i="3"/>
  <c r="W27" i="3"/>
  <c r="V27" i="3"/>
  <c r="S27" i="3"/>
  <c r="R27" i="3"/>
  <c r="O27" i="3"/>
  <c r="N27" i="3"/>
  <c r="K27" i="3"/>
  <c r="J27" i="3"/>
  <c r="GW26" i="3"/>
  <c r="FR25" i="3"/>
  <c r="FQ25" i="3"/>
  <c r="FP25" i="3"/>
  <c r="FO25" i="3"/>
  <c r="FN25" i="3"/>
  <c r="FM25" i="3"/>
  <c r="FK25" i="3"/>
  <c r="FJ25" i="3"/>
  <c r="FI25" i="3"/>
  <c r="FG25" i="3"/>
  <c r="FF25" i="3"/>
  <c r="FE25" i="3"/>
  <c r="FD25" i="3"/>
  <c r="FC25" i="3"/>
  <c r="FB25" i="3"/>
  <c r="FA25" i="3"/>
  <c r="EZ25" i="3"/>
  <c r="EY25" i="3"/>
  <c r="EX25" i="3"/>
  <c r="EW25" i="3"/>
  <c r="EV25" i="3"/>
  <c r="EU25" i="3"/>
  <c r="ES25" i="3"/>
  <c r="EO25" i="3"/>
  <c r="EN25" i="3"/>
  <c r="EL25" i="3"/>
  <c r="EK25" i="3"/>
  <c r="EE25" i="3"/>
  <c r="DX25" i="3"/>
  <c r="DW25" i="3"/>
  <c r="DN25" i="3"/>
  <c r="DM25" i="3"/>
  <c r="DL25" i="3"/>
  <c r="DK25" i="3"/>
  <c r="DJ25" i="3"/>
  <c r="DH25" i="3"/>
  <c r="DF25" i="3"/>
  <c r="DE25" i="3"/>
  <c r="DC25" i="3"/>
  <c r="DB25" i="3"/>
  <c r="DA25" i="3"/>
  <c r="CZ25" i="3"/>
  <c r="CY25" i="3"/>
  <c r="CV25" i="3"/>
  <c r="CU25" i="3"/>
  <c r="CT25" i="3"/>
  <c r="CS25" i="3"/>
  <c r="CR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S25" i="3"/>
  <c r="BR25" i="3"/>
  <c r="BQ25" i="3"/>
  <c r="BP25" i="3"/>
  <c r="BO25" i="3"/>
  <c r="BN25" i="3"/>
  <c r="BM25" i="3"/>
  <c r="BL25" i="3"/>
  <c r="BD25" i="3"/>
  <c r="BC25" i="3"/>
  <c r="BB25" i="3"/>
  <c r="BA25" i="3"/>
  <c r="AZ25" i="3"/>
  <c r="AY25" i="3"/>
  <c r="AX25" i="3"/>
  <c r="AW25" i="3"/>
  <c r="FQ24" i="3"/>
  <c r="FI24" i="3"/>
  <c r="FG24" i="3"/>
  <c r="FF24" i="3"/>
  <c r="FE24" i="3"/>
  <c r="FA24" i="3"/>
  <c r="EZ24" i="3"/>
  <c r="EV24" i="3"/>
  <c r="GW23" i="3"/>
  <c r="FA22" i="3"/>
  <c r="EY22" i="3"/>
  <c r="ES22" i="3"/>
  <c r="EN22" i="3"/>
  <c r="EB22" i="3"/>
  <c r="EA22" i="3"/>
  <c r="AM22" i="3"/>
  <c r="AK22" i="3"/>
  <c r="AJ22" i="3"/>
  <c r="AI22" i="3"/>
  <c r="AE22" i="3"/>
  <c r="AD22" i="3"/>
  <c r="Y22" i="3"/>
  <c r="W22" i="3"/>
  <c r="V22" i="3"/>
  <c r="S22" i="3"/>
  <c r="R22" i="3"/>
  <c r="O22" i="3"/>
  <c r="N22" i="3"/>
  <c r="M22" i="3"/>
  <c r="K22" i="3"/>
  <c r="J22" i="3"/>
  <c r="FO21" i="3"/>
  <c r="EV21" i="3"/>
  <c r="EK21" i="3"/>
  <c r="EA21" i="3"/>
  <c r="FQ20" i="3"/>
  <c r="FI20" i="3"/>
  <c r="FG20" i="3"/>
  <c r="FF20" i="3"/>
  <c r="FE20" i="3"/>
  <c r="FB20" i="3"/>
  <c r="FA20" i="3"/>
  <c r="EZ20" i="3"/>
  <c r="EW20" i="3"/>
  <c r="EV20" i="3"/>
  <c r="GW19" i="3"/>
  <c r="GW18" i="3"/>
  <c r="FR17" i="3"/>
  <c r="FQ17" i="3"/>
  <c r="FP17" i="3"/>
  <c r="FO17" i="3"/>
  <c r="FN17" i="3"/>
  <c r="FM17" i="3"/>
  <c r="FK17" i="3"/>
  <c r="FJ17" i="3"/>
  <c r="FI17" i="3"/>
  <c r="FG17" i="3"/>
  <c r="FF17" i="3"/>
  <c r="FE17" i="3"/>
  <c r="FD17" i="3"/>
  <c r="FC17" i="3"/>
  <c r="FB17" i="3"/>
  <c r="FA17" i="3"/>
  <c r="EZ17" i="3"/>
  <c r="EY17" i="3"/>
  <c r="EX17" i="3"/>
  <c r="EW17" i="3"/>
  <c r="EV17" i="3"/>
  <c r="EU17" i="3"/>
  <c r="ES17" i="3"/>
  <c r="EO17" i="3"/>
  <c r="EN17" i="3"/>
  <c r="EL17" i="3"/>
  <c r="EK17" i="3"/>
  <c r="EE17" i="3"/>
  <c r="DX17" i="3"/>
  <c r="DW17" i="3"/>
  <c r="DN17" i="3"/>
  <c r="DM17" i="3"/>
  <c r="DL17" i="3"/>
  <c r="DK17" i="3"/>
  <c r="DJ17" i="3"/>
  <c r="DH17" i="3"/>
  <c r="DF17" i="3"/>
  <c r="DE17" i="3"/>
  <c r="DC17" i="3"/>
  <c r="DB17" i="3"/>
  <c r="DA17" i="3"/>
  <c r="CZ17" i="3"/>
  <c r="CY17" i="3"/>
  <c r="CV17" i="3"/>
  <c r="CU17" i="3"/>
  <c r="CT17" i="3"/>
  <c r="CS17" i="3"/>
  <c r="CR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S17" i="3"/>
  <c r="BR17" i="3"/>
  <c r="BQ17" i="3"/>
  <c r="BP17" i="3"/>
  <c r="BO17" i="3"/>
  <c r="BN17" i="3"/>
  <c r="BM17" i="3"/>
  <c r="BL17" i="3"/>
  <c r="BD17" i="3"/>
  <c r="BC17" i="3"/>
  <c r="BB17" i="3"/>
  <c r="BA17" i="3"/>
  <c r="AZ17" i="3"/>
  <c r="GW17" i="3" s="1"/>
  <c r="AY17" i="3"/>
  <c r="AX17" i="3"/>
  <c r="AW17" i="3"/>
  <c r="GW16" i="3"/>
  <c r="GW15" i="3"/>
  <c r="FI14" i="3"/>
  <c r="FG14" i="3"/>
  <c r="FF14" i="3"/>
  <c r="GW14" i="3" s="1"/>
  <c r="FB14" i="3"/>
  <c r="FA14" i="3"/>
  <c r="EZ14" i="3"/>
  <c r="EW14" i="3"/>
  <c r="EV14" i="3"/>
  <c r="GW13" i="3"/>
  <c r="GW12" i="3"/>
  <c r="FZ11" i="3"/>
  <c r="FU11" i="3"/>
  <c r="FT11" i="3"/>
  <c r="FS11" i="3"/>
  <c r="FR11" i="3"/>
  <c r="FQ11" i="3"/>
  <c r="FP11" i="3"/>
  <c r="AP11" i="3"/>
  <c r="GE10" i="3"/>
  <c r="GD10" i="3"/>
  <c r="GC10" i="3"/>
  <c r="GB10" i="3"/>
  <c r="GA10" i="3"/>
  <c r="FX10" i="3"/>
  <c r="FW10" i="3"/>
  <c r="FV10" i="3"/>
  <c r="FO10" i="3"/>
  <c r="GW10" i="3" s="1"/>
  <c r="DL9" i="3"/>
  <c r="GW9" i="3" s="1"/>
  <c r="CT9" i="3"/>
  <c r="AR9" i="3"/>
  <c r="GF8" i="3"/>
  <c r="FN8" i="3"/>
  <c r="FM8" i="3"/>
  <c r="FL8" i="3"/>
  <c r="FK8" i="3"/>
  <c r="FJ8" i="3"/>
  <c r="FI8" i="3"/>
  <c r="FG8" i="3"/>
  <c r="FF8" i="3"/>
  <c r="FE8" i="3"/>
  <c r="FD8" i="3"/>
  <c r="FC8" i="3"/>
  <c r="FB8" i="3"/>
  <c r="EZ8" i="3"/>
  <c r="EY8" i="3"/>
  <c r="EX8" i="3"/>
  <c r="EW8" i="3"/>
  <c r="EU8" i="3"/>
  <c r="ES8" i="3"/>
  <c r="ER8" i="3"/>
  <c r="EQ8" i="3"/>
  <c r="EO8" i="3"/>
  <c r="EM8" i="3"/>
  <c r="EL8" i="3"/>
  <c r="EH8" i="3"/>
  <c r="EE8" i="3"/>
  <c r="EB8" i="3"/>
  <c r="EA8" i="3"/>
  <c r="DZ8" i="3"/>
  <c r="DY8" i="3"/>
  <c r="DX8" i="3"/>
  <c r="DW8" i="3"/>
  <c r="DN8" i="3"/>
  <c r="DM8" i="3"/>
  <c r="DK8" i="3"/>
  <c r="DJ8" i="3"/>
  <c r="DG8" i="3"/>
  <c r="DF8" i="3"/>
  <c r="DE8" i="3"/>
  <c r="DC8" i="3"/>
  <c r="DB8" i="3"/>
  <c r="DA8" i="3"/>
  <c r="CZ8" i="3"/>
  <c r="CY8" i="3"/>
  <c r="CX8" i="3"/>
  <c r="CV8" i="3"/>
  <c r="CU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T8" i="3"/>
  <c r="BS8" i="3"/>
  <c r="BR8" i="3"/>
  <c r="BQ8" i="3"/>
  <c r="BP8" i="3"/>
  <c r="BO8" i="3"/>
  <c r="BN8" i="3"/>
  <c r="BM8" i="3"/>
  <c r="BL8" i="3"/>
  <c r="BG8" i="3"/>
  <c r="BE8" i="3"/>
  <c r="BD8" i="3"/>
  <c r="BC8" i="3"/>
  <c r="BB8" i="3"/>
  <c r="BA8" i="3"/>
  <c r="AZ8" i="3"/>
  <c r="AY8" i="3"/>
  <c r="AX8" i="3"/>
  <c r="AW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T8" i="3"/>
  <c r="S8" i="3"/>
  <c r="R8" i="3"/>
  <c r="O8" i="3"/>
  <c r="N8" i="3"/>
  <c r="M8" i="3"/>
  <c r="K8" i="3"/>
  <c r="J8" i="3"/>
  <c r="FH7" i="3"/>
  <c r="FA7" i="3"/>
  <c r="EV7" i="3"/>
  <c r="ET7" i="3"/>
  <c r="ER7" i="3"/>
  <c r="EN7" i="3"/>
  <c r="EK7" i="3"/>
  <c r="EJ7" i="3"/>
  <c r="EI7" i="3"/>
  <c r="GW7" i="3" s="1"/>
  <c r="EG7" i="3"/>
  <c r="EF7" i="3"/>
  <c r="ED7" i="3"/>
  <c r="DH7" i="3"/>
  <c r="FT116" i="3"/>
  <c r="FS116" i="3"/>
  <c r="FI112" i="3"/>
  <c r="FF114" i="3"/>
  <c r="EL111" i="3"/>
  <c r="DM112" i="3"/>
  <c r="DK115" i="3"/>
  <c r="DK111" i="3"/>
  <c r="DK116" i="3" s="1"/>
  <c r="DC112" i="3"/>
  <c r="CZ113" i="3"/>
  <c r="CS114" i="3"/>
  <c r="CS113" i="3"/>
  <c r="CR111" i="3"/>
  <c r="CN111" i="3"/>
  <c r="CH114" i="3"/>
  <c r="CG115" i="3"/>
  <c r="CG111" i="3"/>
  <c r="CB115" i="3"/>
  <c r="BS112" i="3"/>
  <c r="BS116" i="3" s="1"/>
  <c r="BS114" i="3"/>
  <c r="BO112" i="3"/>
  <c r="W112" i="3"/>
  <c r="BC112" i="3"/>
  <c r="BC111" i="3"/>
  <c r="BC116" i="3" s="1"/>
  <c r="BB112" i="3"/>
  <c r="AY112" i="3"/>
  <c r="K111" i="3"/>
  <c r="V111" i="3"/>
  <c r="GW8" i="3"/>
  <c r="GW22" i="3"/>
  <c r="GU80" i="1"/>
  <c r="FQ88" i="1"/>
  <c r="FK46" i="1"/>
  <c r="FK86" i="1" s="1"/>
  <c r="FK66" i="1"/>
  <c r="FK52" i="1"/>
  <c r="FL52" i="1"/>
  <c r="FK39" i="1"/>
  <c r="FK85" i="1"/>
  <c r="FK60" i="1"/>
  <c r="FG46" i="1"/>
  <c r="FG32" i="1"/>
  <c r="FG30" i="1"/>
  <c r="FG87" i="1" s="1"/>
  <c r="FG36" i="1"/>
  <c r="FG88" i="1"/>
  <c r="FG42" i="1"/>
  <c r="FG52" i="1"/>
  <c r="FG66" i="1"/>
  <c r="FG39" i="1"/>
  <c r="FG60" i="1"/>
  <c r="FE30" i="1"/>
  <c r="FE87" i="1"/>
  <c r="FE32" i="1"/>
  <c r="FE86" i="1" s="1"/>
  <c r="FE36" i="1"/>
  <c r="FE88" i="1" s="1"/>
  <c r="FK89" i="1"/>
  <c r="FK88" i="1"/>
  <c r="FK90" i="1" s="1"/>
  <c r="FK87" i="1"/>
  <c r="FH88" i="1"/>
  <c r="FG85" i="1"/>
  <c r="FA71" i="1"/>
  <c r="EX32" i="1"/>
  <c r="EX30" i="1"/>
  <c r="EX46" i="1"/>
  <c r="EW33" i="1"/>
  <c r="EW65" i="1"/>
  <c r="EW72" i="1"/>
  <c r="EW89" i="1" s="1"/>
  <c r="EW78" i="1"/>
  <c r="GU78" i="1" s="1"/>
  <c r="EW47" i="1"/>
  <c r="GU47" i="1" s="1"/>
  <c r="EW48" i="1"/>
  <c r="EW41" i="1"/>
  <c r="EW87" i="1" s="1"/>
  <c r="EW29" i="1"/>
  <c r="EW35" i="1"/>
  <c r="EW51" i="1"/>
  <c r="EW56" i="1"/>
  <c r="EW59" i="1"/>
  <c r="EW43" i="1"/>
  <c r="EW85" i="1" s="1"/>
  <c r="EW38" i="1"/>
  <c r="EV38" i="1"/>
  <c r="EV43" i="1"/>
  <c r="EV59" i="1"/>
  <c r="EV67" i="1"/>
  <c r="GU67" i="1" s="1"/>
  <c r="FA89" i="1"/>
  <c r="EX88" i="1"/>
  <c r="EO54" i="1"/>
  <c r="EO66" i="1"/>
  <c r="EH52" i="1"/>
  <c r="EH89" i="1"/>
  <c r="EH32" i="1"/>
  <c r="EG47" i="1"/>
  <c r="EG89" i="1"/>
  <c r="EH88" i="1"/>
  <c r="EG88" i="1"/>
  <c r="EH87" i="1"/>
  <c r="EG87" i="1"/>
  <c r="EH85" i="1"/>
  <c r="EG85" i="1"/>
  <c r="EE41" i="1"/>
  <c r="EE87" i="1" s="1"/>
  <c r="EE47" i="1"/>
  <c r="EE59" i="1"/>
  <c r="EE65" i="1"/>
  <c r="EE86" i="1"/>
  <c r="EE89" i="1"/>
  <c r="EE88" i="1"/>
  <c r="DU54" i="1"/>
  <c r="DU49" i="1"/>
  <c r="DU89" i="1" s="1"/>
  <c r="DU62" i="1"/>
  <c r="DU77" i="1"/>
  <c r="DU36" i="1"/>
  <c r="DU88" i="1" s="1"/>
  <c r="DU32" i="1"/>
  <c r="DU83" i="1" s="1"/>
  <c r="DU39" i="1"/>
  <c r="DU85" i="1" s="1"/>
  <c r="DU90" i="1" s="1"/>
  <c r="DS32" i="1"/>
  <c r="DS42" i="1"/>
  <c r="DS87" i="1" s="1"/>
  <c r="DS46" i="1"/>
  <c r="DS86" i="1" s="1"/>
  <c r="DS49" i="1"/>
  <c r="DS89" i="1"/>
  <c r="DS54" i="1"/>
  <c r="DS83" i="1" s="1"/>
  <c r="DS66" i="1"/>
  <c r="DS73" i="1"/>
  <c r="DS68" i="1"/>
  <c r="DS60" i="1"/>
  <c r="DS44" i="1"/>
  <c r="DS39" i="1"/>
  <c r="DQ57" i="1"/>
  <c r="DQ30" i="1"/>
  <c r="DQ32" i="1"/>
  <c r="DQ86" i="1" s="1"/>
  <c r="DQ36" i="1"/>
  <c r="DQ42" i="1"/>
  <c r="DQ46" i="1"/>
  <c r="DQ49" i="1"/>
  <c r="DQ89" i="1" s="1"/>
  <c r="DQ54" i="1"/>
  <c r="DQ64" i="1"/>
  <c r="DQ79" i="1"/>
  <c r="DQ73" i="1"/>
  <c r="DQ39" i="1"/>
  <c r="DQ44" i="1"/>
  <c r="DQ60" i="1"/>
  <c r="DQ68" i="1"/>
  <c r="DP42" i="1"/>
  <c r="DP87" i="1"/>
  <c r="DP49" i="1"/>
  <c r="DP89" i="1" s="1"/>
  <c r="DP54" i="1"/>
  <c r="DP36" i="1"/>
  <c r="DP88" i="1"/>
  <c r="DP46" i="1"/>
  <c r="DP86" i="1" s="1"/>
  <c r="DP64" i="1"/>
  <c r="DP66" i="1"/>
  <c r="DP39" i="1"/>
  <c r="DP44" i="1"/>
  <c r="DP85" i="1" s="1"/>
  <c r="DP90" i="1" s="1"/>
  <c r="DP60" i="1"/>
  <c r="DP68" i="1"/>
  <c r="DU87" i="1"/>
  <c r="DM60" i="1"/>
  <c r="DM32" i="1"/>
  <c r="DM36" i="1"/>
  <c r="DM54" i="1"/>
  <c r="DM62" i="1"/>
  <c r="DM66" i="1"/>
  <c r="DM86" i="1"/>
  <c r="DG79" i="1"/>
  <c r="DG55" i="1"/>
  <c r="DG58" i="1"/>
  <c r="DM89" i="1"/>
  <c r="DM87" i="1"/>
  <c r="DM39" i="1"/>
  <c r="DF68" i="1"/>
  <c r="DF32" i="1"/>
  <c r="DF42" i="1"/>
  <c r="DF87" i="1" s="1"/>
  <c r="DF49" i="1"/>
  <c r="DF89" i="1" s="1"/>
  <c r="DF54" i="1"/>
  <c r="DF88" i="1"/>
  <c r="DF66" i="1"/>
  <c r="DF39" i="1"/>
  <c r="DF60" i="1"/>
  <c r="DF44" i="1"/>
  <c r="DE32" i="1"/>
  <c r="DE73" i="1"/>
  <c r="DE66" i="1"/>
  <c r="DE57" i="1"/>
  <c r="DE79" i="1"/>
  <c r="DE44" i="1"/>
  <c r="DE42" i="1"/>
  <c r="DE87" i="1"/>
  <c r="DE36" i="1"/>
  <c r="DE49" i="1"/>
  <c r="DE54" i="1"/>
  <c r="DE88" i="1"/>
  <c r="DE60" i="1"/>
  <c r="DE68" i="1"/>
  <c r="DG71" i="1"/>
  <c r="DE30" i="1"/>
  <c r="DE39" i="1"/>
  <c r="DC32" i="1"/>
  <c r="DC50" i="1"/>
  <c r="DB39" i="1"/>
  <c r="DB44" i="1"/>
  <c r="DB60" i="1"/>
  <c r="DB68" i="1"/>
  <c r="DB66" i="1"/>
  <c r="DB86" i="1"/>
  <c r="DB30" i="1"/>
  <c r="DB87" i="1" s="1"/>
  <c r="CY36" i="1"/>
  <c r="CY32" i="1"/>
  <c r="CY46" i="1"/>
  <c r="CY66" i="1"/>
  <c r="CY54" i="1"/>
  <c r="CY30" i="1"/>
  <c r="CY87" i="1"/>
  <c r="CY39" i="1"/>
  <c r="CY77" i="1"/>
  <c r="DG86" i="1"/>
  <c r="DB89" i="1"/>
  <c r="DB88" i="1"/>
  <c r="DC86" i="1"/>
  <c r="CY89" i="1"/>
  <c r="CV68" i="1"/>
  <c r="CV73" i="1"/>
  <c r="CV30" i="1"/>
  <c r="CV54" i="1"/>
  <c r="CV57" i="1"/>
  <c r="CV66" i="1"/>
  <c r="CV71" i="1"/>
  <c r="CV79" i="1"/>
  <c r="CV32" i="1"/>
  <c r="CV36" i="1"/>
  <c r="CV46" i="1"/>
  <c r="CV86" i="1" s="1"/>
  <c r="CV49" i="1"/>
  <c r="CV39" i="1"/>
  <c r="CV44" i="1"/>
  <c r="CV60" i="1"/>
  <c r="CU73" i="1"/>
  <c r="CU32" i="1"/>
  <c r="CU30" i="1"/>
  <c r="CU42" i="1"/>
  <c r="CU54" i="1"/>
  <c r="CU88" i="1" s="1"/>
  <c r="CU66" i="1"/>
  <c r="CU49" i="1"/>
  <c r="CU39" i="1"/>
  <c r="CU85" i="1" s="1"/>
  <c r="CU44" i="1"/>
  <c r="CU60" i="1"/>
  <c r="CU68" i="1"/>
  <c r="CQ64" i="1"/>
  <c r="CQ57" i="1"/>
  <c r="CQ73" i="1"/>
  <c r="CQ32" i="1"/>
  <c r="CQ36" i="1"/>
  <c r="CQ49" i="1"/>
  <c r="CQ89" i="1"/>
  <c r="CQ66" i="1"/>
  <c r="CQ71" i="1"/>
  <c r="CQ87" i="1" s="1"/>
  <c r="CQ75" i="1"/>
  <c r="CQ39" i="1"/>
  <c r="CQ44" i="1"/>
  <c r="CQ60" i="1"/>
  <c r="CQ68" i="1"/>
  <c r="CP32" i="1"/>
  <c r="CP86" i="1"/>
  <c r="CP54" i="1"/>
  <c r="CP75" i="1"/>
  <c r="CP66" i="1"/>
  <c r="CP36" i="1"/>
  <c r="CP39" i="1"/>
  <c r="CP44" i="1"/>
  <c r="CP60" i="1"/>
  <c r="CP68" i="1"/>
  <c r="CO68" i="1"/>
  <c r="CO66" i="1"/>
  <c r="CO86" i="1" s="1"/>
  <c r="CP89" i="1"/>
  <c r="CO89" i="1"/>
  <c r="CO88" i="1"/>
  <c r="CP87" i="1"/>
  <c r="CO87" i="1"/>
  <c r="CK30" i="1"/>
  <c r="CK39" i="1"/>
  <c r="CK85" i="1" s="1"/>
  <c r="CK90" i="1" s="1"/>
  <c r="CK49" i="1"/>
  <c r="CK54" i="1"/>
  <c r="CK73" i="1"/>
  <c r="CK42" i="1"/>
  <c r="CK36" i="1"/>
  <c r="CK88" i="1"/>
  <c r="CJ66" i="1"/>
  <c r="CJ86" i="1" s="1"/>
  <c r="CJ68" i="1"/>
  <c r="CJ30" i="1"/>
  <c r="CJ36" i="1"/>
  <c r="CJ42" i="1"/>
  <c r="CJ49" i="1"/>
  <c r="CJ54" i="1"/>
  <c r="CJ57" i="1"/>
  <c r="CJ60" i="1"/>
  <c r="CJ71" i="1"/>
  <c r="CJ73" i="1"/>
  <c r="CJ79" i="1"/>
  <c r="CE30" i="1"/>
  <c r="CE39" i="1"/>
  <c r="CE54" i="1"/>
  <c r="CE60" i="1"/>
  <c r="CC60" i="1"/>
  <c r="CC39" i="1"/>
  <c r="CA42" i="1"/>
  <c r="CA39" i="1"/>
  <c r="CA60" i="1"/>
  <c r="CA85" i="1" s="1"/>
  <c r="CA66" i="1"/>
  <c r="CA86" i="1" s="1"/>
  <c r="CK89" i="1"/>
  <c r="CK86" i="1"/>
  <c r="CF89" i="1"/>
  <c r="CE89" i="1"/>
  <c r="CF88" i="1"/>
  <c r="CE88" i="1"/>
  <c r="CG87" i="1"/>
  <c r="CE87" i="1"/>
  <c r="CG86" i="1"/>
  <c r="CF86" i="1"/>
  <c r="CE86" i="1"/>
  <c r="CF85" i="1"/>
  <c r="CF90" i="1" s="1"/>
  <c r="CC89" i="1"/>
  <c r="CC88" i="1"/>
  <c r="CC87" i="1"/>
  <c r="CC86" i="1"/>
  <c r="CC85" i="1"/>
  <c r="CC90" i="1"/>
  <c r="CA89" i="1"/>
  <c r="CA88" i="1"/>
  <c r="BT39" i="1"/>
  <c r="BT85" i="1" s="1"/>
  <c r="BT90" i="1" s="1"/>
  <c r="BT54" i="1"/>
  <c r="BT88" i="1"/>
  <c r="BT66" i="1"/>
  <c r="BT86" i="1" s="1"/>
  <c r="BR68" i="1"/>
  <c r="BR85" i="1" s="1"/>
  <c r="BR39" i="1"/>
  <c r="BR54" i="1"/>
  <c r="BR60" i="1"/>
  <c r="BR66" i="1"/>
  <c r="BQ60" i="1"/>
  <c r="BQ32" i="1"/>
  <c r="BQ86" i="1" s="1"/>
  <c r="BQ36" i="1"/>
  <c r="BQ44" i="1"/>
  <c r="BQ49" i="1"/>
  <c r="BQ54" i="1"/>
  <c r="BQ75" i="1"/>
  <c r="BQ66" i="1"/>
  <c r="BQ72" i="1"/>
  <c r="BQ89" i="1" s="1"/>
  <c r="BQ71" i="1"/>
  <c r="BQ87" i="1" s="1"/>
  <c r="BO44" i="1"/>
  <c r="BO75" i="1"/>
  <c r="BO66" i="1"/>
  <c r="BO86" i="1" s="1"/>
  <c r="BO90" i="1" s="1"/>
  <c r="BO54" i="1"/>
  <c r="BO36" i="1"/>
  <c r="BT89" i="1"/>
  <c r="BT87" i="1"/>
  <c r="BR89" i="1"/>
  <c r="BR88" i="1"/>
  <c r="BR87" i="1"/>
  <c r="BR86" i="1"/>
  <c r="BQ85" i="1"/>
  <c r="BO89" i="1"/>
  <c r="BO87" i="1"/>
  <c r="BE44" i="1"/>
  <c r="BD32" i="1"/>
  <c r="BD44" i="1"/>
  <c r="BD30" i="1"/>
  <c r="BD87" i="1"/>
  <c r="BD54" i="1"/>
  <c r="BD88" i="1"/>
  <c r="BD60" i="1"/>
  <c r="BD75" i="1"/>
  <c r="BB71" i="1"/>
  <c r="BB73" i="1"/>
  <c r="BB89" i="1" s="1"/>
  <c r="BB79" i="1"/>
  <c r="BB54" i="1"/>
  <c r="GU54" i="1" s="1"/>
  <c r="BB49" i="1"/>
  <c r="BB44" i="1"/>
  <c r="BB85" i="1" s="1"/>
  <c r="BB42" i="1"/>
  <c r="BB36" i="1"/>
  <c r="BB32" i="1"/>
  <c r="BB75" i="1"/>
  <c r="BD89" i="1"/>
  <c r="BF89" i="1"/>
  <c r="BF88" i="1"/>
  <c r="BF87" i="1"/>
  <c r="BF86" i="1"/>
  <c r="BF85" i="1"/>
  <c r="BF90" i="1"/>
  <c r="BE89" i="1"/>
  <c r="BE88" i="1"/>
  <c r="BE87" i="1"/>
  <c r="BE86" i="1"/>
  <c r="BB87" i="1"/>
  <c r="AX60" i="1"/>
  <c r="AX39" i="1"/>
  <c r="AW60" i="1"/>
  <c r="AW75" i="1"/>
  <c r="AW39" i="1"/>
  <c r="AW85" i="1" s="1"/>
  <c r="AW90" i="1" s="1"/>
  <c r="AX89" i="1"/>
  <c r="AX88" i="1"/>
  <c r="AX87" i="1"/>
  <c r="AX86" i="1"/>
  <c r="AW89" i="1"/>
  <c r="AW88" i="1"/>
  <c r="AW87" i="1"/>
  <c r="AW86" i="1"/>
  <c r="AB39" i="1"/>
  <c r="AB85" i="1"/>
  <c r="AB68" i="1"/>
  <c r="AB49" i="1"/>
  <c r="AB32" i="1"/>
  <c r="AB86" i="1" s="1"/>
  <c r="AB73" i="1"/>
  <c r="AB89" i="1"/>
  <c r="Z32" i="1"/>
  <c r="AB88" i="1"/>
  <c r="AB87" i="1"/>
  <c r="Z89" i="1"/>
  <c r="Z88" i="1"/>
  <c r="Z87" i="1"/>
  <c r="W39" i="1"/>
  <c r="W68" i="1"/>
  <c r="W79" i="1"/>
  <c r="W60" i="1"/>
  <c r="W49" i="1"/>
  <c r="W89" i="1" s="1"/>
  <c r="W44" i="1"/>
  <c r="W42" i="1"/>
  <c r="W30" i="1"/>
  <c r="W87" i="1" s="1"/>
  <c r="T31" i="1"/>
  <c r="V89" i="1"/>
  <c r="W88" i="1"/>
  <c r="V88" i="1"/>
  <c r="W86" i="1"/>
  <c r="V86" i="1"/>
  <c r="V90" i="1"/>
  <c r="V85" i="1"/>
  <c r="T89" i="1"/>
  <c r="T88" i="1"/>
  <c r="T86" i="1"/>
  <c r="T85" i="1"/>
  <c r="GO83" i="1"/>
  <c r="GN83" i="1"/>
  <c r="GM83" i="1"/>
  <c r="GL83" i="1"/>
  <c r="GK83" i="1"/>
  <c r="GJ83" i="1"/>
  <c r="GI83" i="1"/>
  <c r="GH83" i="1"/>
  <c r="GG83" i="1"/>
  <c r="EQ83" i="1"/>
  <c r="EP83" i="1"/>
  <c r="DY83" i="1"/>
  <c r="DX83" i="1"/>
  <c r="DO83" i="1"/>
  <c r="CZ83" i="1"/>
  <c r="BZ83" i="1"/>
  <c r="BY83" i="1"/>
  <c r="BX83" i="1"/>
  <c r="BW83" i="1"/>
  <c r="BL83" i="1"/>
  <c r="BK83" i="1"/>
  <c r="BJ83" i="1"/>
  <c r="BI83" i="1"/>
  <c r="BG83" i="1"/>
  <c r="AV83" i="1"/>
  <c r="AU83" i="1"/>
  <c r="AT83" i="1"/>
  <c r="AS83" i="1"/>
  <c r="P83" i="1"/>
  <c r="I83" i="1"/>
  <c r="GU82" i="1"/>
  <c r="GU81" i="1"/>
  <c r="FJ79" i="1"/>
  <c r="FH79" i="1"/>
  <c r="FG79" i="1"/>
  <c r="FB79" i="1"/>
  <c r="FA79" i="1"/>
  <c r="EX79" i="1"/>
  <c r="ES79" i="1"/>
  <c r="EL79" i="1"/>
  <c r="ED79" i="1"/>
  <c r="EC79" i="1"/>
  <c r="CS79" i="1"/>
  <c r="O79" i="1"/>
  <c r="EA78" i="1"/>
  <c r="EV77" i="1"/>
  <c r="GU77" i="1" s="1"/>
  <c r="DV77" i="1"/>
  <c r="CS77" i="1"/>
  <c r="GU76" i="1"/>
  <c r="FE75" i="1"/>
  <c r="CS75" i="1"/>
  <c r="BS75" i="1"/>
  <c r="BM75" i="1"/>
  <c r="BC75" i="1"/>
  <c r="DG74" i="1"/>
  <c r="GU74" i="1" s="1"/>
  <c r="FJ73" i="1"/>
  <c r="FH73" i="1"/>
  <c r="FG73" i="1"/>
  <c r="FB73" i="1"/>
  <c r="FA73" i="1"/>
  <c r="EX73" i="1"/>
  <c r="EU73" i="1"/>
  <c r="ES73" i="1"/>
  <c r="EL73" i="1"/>
  <c r="EH73" i="1"/>
  <c r="ED73" i="1"/>
  <c r="GU73" i="1" s="1"/>
  <c r="EC73" i="1"/>
  <c r="DT73" i="1"/>
  <c r="CX73" i="1"/>
  <c r="CL73" i="1"/>
  <c r="AA73" i="1"/>
  <c r="EA72" i="1"/>
  <c r="FB71" i="1"/>
  <c r="EV71" i="1"/>
  <c r="GU71" i="1" s="1"/>
  <c r="ES71" i="1"/>
  <c r="EL71" i="1"/>
  <c r="EA71" i="1"/>
  <c r="Y71" i="1"/>
  <c r="S71" i="1"/>
  <c r="DD69" i="1"/>
  <c r="DC69" i="1"/>
  <c r="Z69" i="1"/>
  <c r="FR68" i="1"/>
  <c r="FB68" i="1"/>
  <c r="FA68" i="1"/>
  <c r="EL68" i="1"/>
  <c r="DT68" i="1"/>
  <c r="DR68" i="1"/>
  <c r="CY68" i="1"/>
  <c r="CT68" i="1"/>
  <c r="CS68" i="1"/>
  <c r="CK68" i="1"/>
  <c r="BS68" i="1"/>
  <c r="AA68" i="1"/>
  <c r="Y68" i="1"/>
  <c r="S68" i="1"/>
  <c r="R68" i="1"/>
  <c r="O68" i="1"/>
  <c r="GU68" i="1" s="1"/>
  <c r="N68" i="1"/>
  <c r="M68" i="1"/>
  <c r="FQ67" i="1"/>
  <c r="FQ83" i="1" s="1"/>
  <c r="FP67" i="1"/>
  <c r="EZ67" i="1"/>
  <c r="FR66" i="1"/>
  <c r="FM66" i="1"/>
  <c r="FJ66" i="1"/>
  <c r="FH66" i="1"/>
  <c r="FF66" i="1"/>
  <c r="FD66" i="1"/>
  <c r="FC66" i="1"/>
  <c r="FB66" i="1"/>
  <c r="FA66" i="1"/>
  <c r="EZ66" i="1"/>
  <c r="EX66" i="1"/>
  <c r="EU66" i="1"/>
  <c r="ES66" i="1"/>
  <c r="ER66" i="1"/>
  <c r="EN66" i="1"/>
  <c r="EM66" i="1"/>
  <c r="EL66" i="1"/>
  <c r="ED66" i="1"/>
  <c r="EC66" i="1"/>
  <c r="DW66" i="1"/>
  <c r="DW83" i="1" s="1"/>
  <c r="DT66" i="1"/>
  <c r="DR66" i="1"/>
  <c r="DN66" i="1"/>
  <c r="DK66" i="1"/>
  <c r="DJ66" i="1"/>
  <c r="DI66" i="1"/>
  <c r="DI83" i="1" s="1"/>
  <c r="DH66" i="1"/>
  <c r="DD66" i="1"/>
  <c r="DC66" i="1"/>
  <c r="DA66" i="1"/>
  <c r="CX66" i="1"/>
  <c r="CW66" i="1"/>
  <c r="CT66" i="1"/>
  <c r="CS66" i="1"/>
  <c r="CR66" i="1"/>
  <c r="CN66" i="1"/>
  <c r="CM66" i="1"/>
  <c r="CL66" i="1"/>
  <c r="CB66" i="1"/>
  <c r="BS66" i="1"/>
  <c r="BP66" i="1"/>
  <c r="BM66" i="1"/>
  <c r="FQ65" i="1"/>
  <c r="FP65" i="1"/>
  <c r="FI65" i="1"/>
  <c r="EV65" i="1"/>
  <c r="EA65" i="1"/>
  <c r="EV64" i="1"/>
  <c r="EL64" i="1"/>
  <c r="GU63" i="1"/>
  <c r="FJ62" i="1"/>
  <c r="EU62" i="1"/>
  <c r="DV62" i="1"/>
  <c r="DN62" i="1"/>
  <c r="AH62" i="1"/>
  <c r="FV61" i="1"/>
  <c r="DG61" i="1"/>
  <c r="DD61" i="1"/>
  <c r="GU61" i="1" s="1"/>
  <c r="DC61" i="1"/>
  <c r="Z61" i="1"/>
  <c r="U61" i="1"/>
  <c r="Q61" i="1"/>
  <c r="Q83" i="1" s="1"/>
  <c r="L61" i="1"/>
  <c r="H61" i="1"/>
  <c r="GA60" i="1"/>
  <c r="FR60" i="1"/>
  <c r="FO60" i="1"/>
  <c r="FM60" i="1"/>
  <c r="FL60" i="1"/>
  <c r="FJ60" i="1"/>
  <c r="FH60" i="1"/>
  <c r="FF60" i="1"/>
  <c r="FE60" i="1"/>
  <c r="FC60" i="1"/>
  <c r="FB60" i="1"/>
  <c r="FA60" i="1"/>
  <c r="EX60" i="1"/>
  <c r="EU60" i="1"/>
  <c r="ES60" i="1"/>
  <c r="ER60" i="1"/>
  <c r="EO60" i="1"/>
  <c r="EL60" i="1"/>
  <c r="ED60" i="1"/>
  <c r="EC60" i="1"/>
  <c r="DV60" i="1"/>
  <c r="DU60" i="1"/>
  <c r="DT60" i="1"/>
  <c r="DR60" i="1"/>
  <c r="DN60" i="1"/>
  <c r="DJ60" i="1"/>
  <c r="DI60" i="1"/>
  <c r="DA60" i="1"/>
  <c r="CY60" i="1"/>
  <c r="CX60" i="1"/>
  <c r="CW60" i="1"/>
  <c r="CT60" i="1"/>
  <c r="CS60" i="1"/>
  <c r="CR60" i="1"/>
  <c r="CO60" i="1"/>
  <c r="CO85" i="1" s="1"/>
  <c r="CO90" i="1" s="1"/>
  <c r="CN60" i="1"/>
  <c r="CM60" i="1"/>
  <c r="CL60" i="1"/>
  <c r="CK60" i="1"/>
  <c r="CI60" i="1"/>
  <c r="CH60" i="1"/>
  <c r="CG60" i="1"/>
  <c r="CF60" i="1"/>
  <c r="CD60" i="1"/>
  <c r="CB60" i="1"/>
  <c r="BS60" i="1"/>
  <c r="BP60" i="1"/>
  <c r="BO60" i="1"/>
  <c r="BO85" i="1" s="1"/>
  <c r="BN60" i="1"/>
  <c r="BM60" i="1"/>
  <c r="BE60" i="1"/>
  <c r="BC60" i="1"/>
  <c r="BA60" i="1"/>
  <c r="AZ60" i="1"/>
  <c r="AY60" i="1"/>
  <c r="AQ60" i="1"/>
  <c r="AP60" i="1"/>
  <c r="AA60" i="1"/>
  <c r="Y60" i="1"/>
  <c r="V60" i="1"/>
  <c r="S60" i="1"/>
  <c r="R60" i="1"/>
  <c r="O60" i="1"/>
  <c r="N60" i="1"/>
  <c r="M60" i="1"/>
  <c r="K60" i="1"/>
  <c r="GU60" i="1" s="1"/>
  <c r="J60" i="1"/>
  <c r="GE59" i="1"/>
  <c r="GD59" i="1"/>
  <c r="FX59" i="1"/>
  <c r="FU59" i="1"/>
  <c r="FT59" i="1"/>
  <c r="FQ59" i="1"/>
  <c r="FP59" i="1"/>
  <c r="GU59" i="1" s="1"/>
  <c r="FN59" i="1"/>
  <c r="EZ59" i="1"/>
  <c r="EA59" i="1"/>
  <c r="FJ57" i="1"/>
  <c r="ES57" i="1"/>
  <c r="EL57" i="1"/>
  <c r="DT57" i="1"/>
  <c r="DS57" i="1"/>
  <c r="CX57" i="1"/>
  <c r="CS57" i="1"/>
  <c r="FP56" i="1"/>
  <c r="GU55" i="1"/>
  <c r="FF54" i="1"/>
  <c r="FC54" i="1"/>
  <c r="EL54" i="1"/>
  <c r="DV54" i="1"/>
  <c r="DT54" i="1"/>
  <c r="DR54" i="1"/>
  <c r="DN54" i="1"/>
  <c r="DA54" i="1"/>
  <c r="CX54" i="1"/>
  <c r="CW54" i="1"/>
  <c r="CT54" i="1"/>
  <c r="CS54" i="1"/>
  <c r="CR54" i="1"/>
  <c r="CQ54" i="1"/>
  <c r="CN54" i="1"/>
  <c r="CM54" i="1"/>
  <c r="CL54" i="1"/>
  <c r="CH54" i="1"/>
  <c r="CG54" i="1"/>
  <c r="CF54" i="1"/>
  <c r="BP54" i="1"/>
  <c r="BC54" i="1"/>
  <c r="BA54" i="1"/>
  <c r="AZ54" i="1"/>
  <c r="AY54" i="1"/>
  <c r="EZ53" i="1"/>
  <c r="EV53" i="1"/>
  <c r="GU53" i="1" s="1"/>
  <c r="FS52" i="1"/>
  <c r="FO52" i="1"/>
  <c r="FJ52" i="1"/>
  <c r="FH52" i="1"/>
  <c r="FF52" i="1"/>
  <c r="FE52" i="1"/>
  <c r="FC52" i="1"/>
  <c r="FB52" i="1"/>
  <c r="FA52" i="1"/>
  <c r="EX52" i="1"/>
  <c r="EU52" i="1"/>
  <c r="ER52" i="1"/>
  <c r="EO52" i="1"/>
  <c r="EO89" i="1" s="1"/>
  <c r="EL52" i="1"/>
  <c r="ED52" i="1"/>
  <c r="EC52" i="1"/>
  <c r="GU52" i="1" s="1"/>
  <c r="EB52" i="1"/>
  <c r="EA52" i="1"/>
  <c r="GD51" i="1"/>
  <c r="GC51" i="1"/>
  <c r="FV51" i="1"/>
  <c r="FV83" i="1" s="1"/>
  <c r="FU51" i="1"/>
  <c r="FQ51" i="1"/>
  <c r="FP51" i="1"/>
  <c r="FP83" i="1" s="1"/>
  <c r="FN51" i="1"/>
  <c r="EZ51" i="1"/>
  <c r="DG50" i="1"/>
  <c r="DG89" i="1" s="1"/>
  <c r="DD50" i="1"/>
  <c r="FS49" i="1"/>
  <c r="FR49" i="1"/>
  <c r="FL49" i="1"/>
  <c r="FJ49" i="1"/>
  <c r="FH49" i="1"/>
  <c r="FG49" i="1"/>
  <c r="FG89" i="1" s="1"/>
  <c r="FF49" i="1"/>
  <c r="FE49" i="1"/>
  <c r="FE89" i="1" s="1"/>
  <c r="FC49" i="1"/>
  <c r="FB49" i="1"/>
  <c r="FA49" i="1"/>
  <c r="EX49" i="1"/>
  <c r="EX89" i="1" s="1"/>
  <c r="EU49" i="1"/>
  <c r="ES49" i="1"/>
  <c r="EL49" i="1"/>
  <c r="ED49" i="1"/>
  <c r="EC49" i="1"/>
  <c r="DV49" i="1"/>
  <c r="DT49" i="1"/>
  <c r="DR49" i="1"/>
  <c r="DR89" i="1" s="1"/>
  <c r="DA49" i="1"/>
  <c r="CX49" i="1"/>
  <c r="CW49" i="1"/>
  <c r="CL49" i="1"/>
  <c r="CH49" i="1"/>
  <c r="CG49" i="1"/>
  <c r="CG89" i="1" s="1"/>
  <c r="AJ49" i="1"/>
  <c r="AI49" i="1"/>
  <c r="GU49" i="1" s="1"/>
  <c r="AE49" i="1"/>
  <c r="AD49" i="1"/>
  <c r="AA49" i="1"/>
  <c r="S49" i="1"/>
  <c r="S83" i="1" s="1"/>
  <c r="O49" i="1"/>
  <c r="GE48" i="1"/>
  <c r="GD48" i="1"/>
  <c r="FY48" i="1"/>
  <c r="FX48" i="1"/>
  <c r="FV48" i="1"/>
  <c r="FQ48" i="1"/>
  <c r="FQ89" i="1" s="1"/>
  <c r="FN48" i="1"/>
  <c r="EZ48" i="1"/>
  <c r="EV48" i="1"/>
  <c r="EE48" i="1"/>
  <c r="EA48" i="1"/>
  <c r="EV47" i="1"/>
  <c r="EH47" i="1"/>
  <c r="EH86" i="1" s="1"/>
  <c r="EH90" i="1" s="1"/>
  <c r="FN46" i="1"/>
  <c r="FJ46" i="1"/>
  <c r="FH46" i="1"/>
  <c r="DT46" i="1"/>
  <c r="DR46" i="1"/>
  <c r="CX46" i="1"/>
  <c r="CW46" i="1"/>
  <c r="DG45" i="1"/>
  <c r="GU45" i="1"/>
  <c r="FR44" i="1"/>
  <c r="FC44" i="1"/>
  <c r="FB44" i="1"/>
  <c r="FA44" i="1"/>
  <c r="ES44" i="1"/>
  <c r="EE44" i="1"/>
  <c r="ED44" i="1"/>
  <c r="EC44" i="1"/>
  <c r="DT44" i="1"/>
  <c r="DR44" i="1"/>
  <c r="DN44" i="1"/>
  <c r="DM44" i="1"/>
  <c r="DM85" i="1" s="1"/>
  <c r="CY44" i="1"/>
  <c r="CX44" i="1"/>
  <c r="CW44" i="1"/>
  <c r="CT44" i="1"/>
  <c r="CS44" i="1"/>
  <c r="BS44" i="1"/>
  <c r="BP44" i="1"/>
  <c r="BC44" i="1"/>
  <c r="BA44" i="1"/>
  <c r="AZ44" i="1"/>
  <c r="AY44" i="1"/>
  <c r="Y44" i="1"/>
  <c r="V44" i="1"/>
  <c r="S44" i="1"/>
  <c r="R44" i="1"/>
  <c r="O44" i="1"/>
  <c r="N44" i="1"/>
  <c r="M44" i="1"/>
  <c r="FQ43" i="1"/>
  <c r="FP43" i="1"/>
  <c r="EZ43" i="1"/>
  <c r="FR42" i="1"/>
  <c r="FH42" i="1"/>
  <c r="FC42" i="1"/>
  <c r="FB42" i="1"/>
  <c r="FA42" i="1"/>
  <c r="EZ42" i="1"/>
  <c r="EX42" i="1"/>
  <c r="EX87" i="1" s="1"/>
  <c r="EO42" i="1"/>
  <c r="EO87" i="1" s="1"/>
  <c r="EL42" i="1"/>
  <c r="EA42" i="1"/>
  <c r="DT42" i="1"/>
  <c r="DR42" i="1"/>
  <c r="DK42" i="1"/>
  <c r="DA42" i="1"/>
  <c r="CV42" i="1"/>
  <c r="CV87" i="1" s="1"/>
  <c r="CL42" i="1"/>
  <c r="CH42" i="1"/>
  <c r="CG42" i="1"/>
  <c r="CB42" i="1"/>
  <c r="S42" i="1"/>
  <c r="FQ41" i="1"/>
  <c r="FQ87" i="1" s="1"/>
  <c r="FP41" i="1"/>
  <c r="EZ41" i="1"/>
  <c r="GU41" i="1" s="1"/>
  <c r="EV41" i="1"/>
  <c r="DG40" i="1"/>
  <c r="DD40" i="1"/>
  <c r="DC40" i="1"/>
  <c r="DC85" i="1" s="1"/>
  <c r="Z40" i="1"/>
  <c r="U40" i="1"/>
  <c r="Q40" i="1"/>
  <c r="L40" i="1"/>
  <c r="H40" i="1"/>
  <c r="FR39" i="1"/>
  <c r="FO39" i="1"/>
  <c r="FM39" i="1"/>
  <c r="FM83" i="1" s="1"/>
  <c r="FL39" i="1"/>
  <c r="FJ39" i="1"/>
  <c r="FH39" i="1"/>
  <c r="FF39" i="1"/>
  <c r="FE39" i="1"/>
  <c r="FE85" i="1" s="1"/>
  <c r="FC39" i="1"/>
  <c r="FB39" i="1"/>
  <c r="FA39" i="1"/>
  <c r="FA85" i="1" s="1"/>
  <c r="EX39" i="1"/>
  <c r="EX85" i="1" s="1"/>
  <c r="EU39" i="1"/>
  <c r="ES39" i="1"/>
  <c r="ER39" i="1"/>
  <c r="EO39" i="1"/>
  <c r="EO85" i="1" s="1"/>
  <c r="EN39" i="1"/>
  <c r="EM39" i="1"/>
  <c r="EL39" i="1"/>
  <c r="ED39" i="1"/>
  <c r="EC39" i="1"/>
  <c r="EB39" i="1"/>
  <c r="DV39" i="1"/>
  <c r="DT39" i="1"/>
  <c r="DR39" i="1"/>
  <c r="DR85" i="1" s="1"/>
  <c r="DN39" i="1"/>
  <c r="DJ39" i="1"/>
  <c r="DI39" i="1"/>
  <c r="DA39" i="1"/>
  <c r="CX39" i="1"/>
  <c r="CW39" i="1"/>
  <c r="CT39" i="1"/>
  <c r="CS39" i="1"/>
  <c r="CR39" i="1"/>
  <c r="CN39" i="1"/>
  <c r="CM39" i="1"/>
  <c r="CL39" i="1"/>
  <c r="CH39" i="1"/>
  <c r="CG39" i="1"/>
  <c r="CF39" i="1"/>
  <c r="CD39" i="1"/>
  <c r="CB39" i="1"/>
  <c r="BS39" i="1"/>
  <c r="BP39" i="1"/>
  <c r="BO39" i="1"/>
  <c r="BM39" i="1"/>
  <c r="BE39" i="1"/>
  <c r="BE85" i="1" s="1"/>
  <c r="BD39" i="1"/>
  <c r="BA39" i="1"/>
  <c r="AZ39" i="1"/>
  <c r="AQ39" i="1"/>
  <c r="AQ83" i="1" s="1"/>
  <c r="AP39" i="1"/>
  <c r="AJ39" i="1"/>
  <c r="AI39" i="1"/>
  <c r="AA39" i="1"/>
  <c r="Y39" i="1"/>
  <c r="V39" i="1"/>
  <c r="S39" i="1"/>
  <c r="R39" i="1"/>
  <c r="O39" i="1"/>
  <c r="N39" i="1"/>
  <c r="M39" i="1"/>
  <c r="K39" i="1"/>
  <c r="J39" i="1"/>
  <c r="FQ38" i="1"/>
  <c r="FP38" i="1"/>
  <c r="FN38" i="1"/>
  <c r="FN83" i="1" s="1"/>
  <c r="EZ38" i="1"/>
  <c r="ET38" i="1"/>
  <c r="ET83" i="1" s="1"/>
  <c r="EI38" i="1"/>
  <c r="EE38" i="1"/>
  <c r="EE85" i="1" s="1"/>
  <c r="EA38" i="1"/>
  <c r="DG37" i="1"/>
  <c r="DG88" i="1" s="1"/>
  <c r="DD37" i="1"/>
  <c r="DC37" i="1"/>
  <c r="FR36" i="1"/>
  <c r="FH36" i="1"/>
  <c r="FF36" i="1"/>
  <c r="FC36" i="1"/>
  <c r="FB36" i="1"/>
  <c r="FA36" i="1"/>
  <c r="FA88" i="1" s="1"/>
  <c r="EO36" i="1"/>
  <c r="EO88" i="1" s="1"/>
  <c r="EL36" i="1"/>
  <c r="DV36" i="1"/>
  <c r="DT36" i="1"/>
  <c r="DS36" i="1"/>
  <c r="DR36" i="1"/>
  <c r="DR88" i="1" s="1"/>
  <c r="DN36" i="1"/>
  <c r="CX36" i="1"/>
  <c r="CW36" i="1"/>
  <c r="CT36" i="1"/>
  <c r="CR36" i="1"/>
  <c r="GU36" i="1" s="1"/>
  <c r="BP36" i="1"/>
  <c r="BA36" i="1"/>
  <c r="AZ36" i="1"/>
  <c r="AP36" i="1"/>
  <c r="AE36" i="1"/>
  <c r="AD36" i="1"/>
  <c r="O36" i="1"/>
  <c r="EZ35" i="1"/>
  <c r="EV35" i="1"/>
  <c r="FR34" i="1"/>
  <c r="GU34" i="1" s="1"/>
  <c r="FQ33" i="1"/>
  <c r="FQ86" i="1" s="1"/>
  <c r="FP33" i="1"/>
  <c r="FI33" i="1"/>
  <c r="EZ33" i="1"/>
  <c r="FJ32" i="1"/>
  <c r="FH32" i="1"/>
  <c r="FH86" i="1" s="1"/>
  <c r="FD32" i="1"/>
  <c r="FB32" i="1"/>
  <c r="FA32" i="1"/>
  <c r="EY32" i="1"/>
  <c r="EU32" i="1"/>
  <c r="ES32" i="1"/>
  <c r="EO32" i="1"/>
  <c r="EO86" i="1" s="1"/>
  <c r="EN32" i="1"/>
  <c r="EL32" i="1"/>
  <c r="EK32" i="1"/>
  <c r="EG32" i="1"/>
  <c r="EG86" i="1" s="1"/>
  <c r="ED32" i="1"/>
  <c r="EC32" i="1"/>
  <c r="EA32" i="1"/>
  <c r="DV32" i="1"/>
  <c r="DT32" i="1"/>
  <c r="DT83" i="1" s="1"/>
  <c r="DN32" i="1"/>
  <c r="DL32" i="1"/>
  <c r="DH32" i="1"/>
  <c r="DH83" i="1"/>
  <c r="DD32" i="1"/>
  <c r="CX32" i="1"/>
  <c r="CW32" i="1"/>
  <c r="CT32" i="1"/>
  <c r="CT83" i="1" s="1"/>
  <c r="CS32" i="1"/>
  <c r="CR32" i="1"/>
  <c r="BS32" i="1"/>
  <c r="AJ32" i="1"/>
  <c r="AI32" i="1"/>
  <c r="AH32" i="1"/>
  <c r="AG32" i="1"/>
  <c r="AG83" i="1" s="1"/>
  <c r="AF32" i="1"/>
  <c r="GU32" i="1" s="1"/>
  <c r="AE32" i="1"/>
  <c r="AD32" i="1"/>
  <c r="AA32" i="1"/>
  <c r="FD31" i="1"/>
  <c r="DG31" i="1"/>
  <c r="DG87" i="1" s="1"/>
  <c r="DD31" i="1"/>
  <c r="DC31" i="1"/>
  <c r="DC83" i="1" s="1"/>
  <c r="U31" i="1"/>
  <c r="U83" i="1" s="1"/>
  <c r="FH30" i="1"/>
  <c r="FH87" i="1" s="1"/>
  <c r="FF30" i="1"/>
  <c r="FC30" i="1"/>
  <c r="FB30" i="1"/>
  <c r="FA30" i="1"/>
  <c r="FA87" i="1" s="1"/>
  <c r="EO30" i="1"/>
  <c r="EL30" i="1"/>
  <c r="DR30" i="1"/>
  <c r="DK30" i="1"/>
  <c r="DJ30" i="1"/>
  <c r="DJ83" i="1" s="1"/>
  <c r="DI30" i="1"/>
  <c r="DA30" i="1"/>
  <c r="CX30" i="1"/>
  <c r="CW30" i="1"/>
  <c r="CS30" i="1"/>
  <c r="CR30" i="1"/>
  <c r="CR83" i="1" s="1"/>
  <c r="CN30" i="1"/>
  <c r="CM30" i="1"/>
  <c r="CL30" i="1"/>
  <c r="CH30" i="1"/>
  <c r="CG30" i="1"/>
  <c r="CF30" i="1"/>
  <c r="CF87" i="1" s="1"/>
  <c r="CB30" i="1"/>
  <c r="CA30" i="1"/>
  <c r="CA87" i="1" s="1"/>
  <c r="CA90" i="1" s="1"/>
  <c r="BC30" i="1"/>
  <c r="BA30" i="1"/>
  <c r="BA83" i="1" s="1"/>
  <c r="AZ30" i="1"/>
  <c r="Y30" i="1"/>
  <c r="V30" i="1"/>
  <c r="V87" i="1" s="1"/>
  <c r="S30" i="1"/>
  <c r="R30" i="1"/>
  <c r="N30" i="1"/>
  <c r="N83" i="1" s="1"/>
  <c r="M30" i="1"/>
  <c r="EZ29" i="1"/>
  <c r="EV29" i="1"/>
  <c r="EA29" i="1"/>
  <c r="AP28" i="1"/>
  <c r="FR27" i="1"/>
  <c r="FB27" i="1"/>
  <c r="FA27" i="1"/>
  <c r="ES27" i="1"/>
  <c r="EL27" i="1"/>
  <c r="FU26" i="1"/>
  <c r="FQ26" i="1"/>
  <c r="GU26" i="1"/>
  <c r="EA26" i="1"/>
  <c r="FR25" i="1"/>
  <c r="FL25" i="1"/>
  <c r="FK25" i="1"/>
  <c r="FJ25" i="1"/>
  <c r="FF25" i="1"/>
  <c r="FE25" i="1"/>
  <c r="FC25" i="1"/>
  <c r="EY25" i="1"/>
  <c r="EX25" i="1"/>
  <c r="EU25" i="1"/>
  <c r="GU25" i="1" s="1"/>
  <c r="ES25" i="1"/>
  <c r="EO25" i="1"/>
  <c r="EN25" i="1"/>
  <c r="EL25" i="1"/>
  <c r="ED25" i="1"/>
  <c r="EC25" i="1"/>
  <c r="BB25" i="1"/>
  <c r="GU24" i="1"/>
  <c r="FQ24" i="1"/>
  <c r="FP24" i="1"/>
  <c r="EZ24" i="1"/>
  <c r="EV24" i="1"/>
  <c r="EK24" i="1"/>
  <c r="EA24" i="1"/>
  <c r="FR23" i="1"/>
  <c r="FJ23" i="1"/>
  <c r="FH23" i="1"/>
  <c r="FG23" i="1"/>
  <c r="FF23" i="1"/>
  <c r="FB23" i="1"/>
  <c r="FA23" i="1"/>
  <c r="EZ23" i="1"/>
  <c r="EV23" i="1"/>
  <c r="GU23" i="1"/>
  <c r="GU22" i="1"/>
  <c r="FB21" i="1"/>
  <c r="FA21" i="1"/>
  <c r="EY21" i="1"/>
  <c r="ES21" i="1"/>
  <c r="EN21" i="1"/>
  <c r="ED21" i="1"/>
  <c r="EC21" i="1"/>
  <c r="AM21" i="1"/>
  <c r="AM83" i="1"/>
  <c r="AK21" i="1"/>
  <c r="AJ21" i="1"/>
  <c r="AI21" i="1"/>
  <c r="AE21" i="1"/>
  <c r="AD21" i="1"/>
  <c r="AD83" i="1" s="1"/>
  <c r="Y21" i="1"/>
  <c r="W21" i="1"/>
  <c r="V21" i="1"/>
  <c r="S21" i="1"/>
  <c r="R21" i="1"/>
  <c r="O21" i="1"/>
  <c r="N21" i="1"/>
  <c r="M21" i="1"/>
  <c r="K21" i="1"/>
  <c r="J21" i="1"/>
  <c r="FP20" i="1"/>
  <c r="EV20" i="1"/>
  <c r="EK20" i="1"/>
  <c r="FR19" i="1"/>
  <c r="FJ19" i="1"/>
  <c r="FH19" i="1"/>
  <c r="FG19" i="1"/>
  <c r="FF19" i="1"/>
  <c r="FC19" i="1"/>
  <c r="FB19" i="1"/>
  <c r="FA19" i="1"/>
  <c r="EZ19" i="1"/>
  <c r="EW19" i="1"/>
  <c r="EV19" i="1"/>
  <c r="GU18" i="1"/>
  <c r="U17" i="1"/>
  <c r="Q17" i="1"/>
  <c r="L17" i="1"/>
  <c r="H17" i="1"/>
  <c r="FR16" i="1"/>
  <c r="FL16" i="1"/>
  <c r="FK16" i="1"/>
  <c r="FJ16" i="1"/>
  <c r="FJ83" i="1" s="1"/>
  <c r="FF16" i="1"/>
  <c r="FE16" i="1"/>
  <c r="FC16" i="1"/>
  <c r="FB16" i="1"/>
  <c r="FA16" i="1"/>
  <c r="EY16" i="1"/>
  <c r="EY83" i="1" s="1"/>
  <c r="EX16" i="1"/>
  <c r="EU16" i="1"/>
  <c r="ES16" i="1"/>
  <c r="ER16" i="1"/>
  <c r="EO16" i="1"/>
  <c r="EN16" i="1"/>
  <c r="EM16" i="1"/>
  <c r="EM83" i="1"/>
  <c r="EL16" i="1"/>
  <c r="AO16" i="1"/>
  <c r="AO83" i="1" s="1"/>
  <c r="AN16" i="1"/>
  <c r="AN83" i="1"/>
  <c r="AL16" i="1"/>
  <c r="AL83" i="1"/>
  <c r="AK16" i="1"/>
  <c r="AK83" i="1"/>
  <c r="AJ16" i="1"/>
  <c r="AJ83" i="1" s="1"/>
  <c r="AH16" i="1"/>
  <c r="AG16" i="1"/>
  <c r="AF16" i="1"/>
  <c r="AE16" i="1"/>
  <c r="AD16" i="1"/>
  <c r="Y16" i="1"/>
  <c r="W16" i="1"/>
  <c r="V16" i="1"/>
  <c r="S16" i="1"/>
  <c r="R16" i="1"/>
  <c r="O16" i="1"/>
  <c r="N16" i="1"/>
  <c r="M16" i="1"/>
  <c r="K16" i="1"/>
  <c r="J16" i="1"/>
  <c r="FQ15" i="1"/>
  <c r="FP15" i="1"/>
  <c r="EZ15" i="1"/>
  <c r="EW15" i="1"/>
  <c r="EV15" i="1"/>
  <c r="ET15" i="1"/>
  <c r="EK15" i="1"/>
  <c r="FJ14" i="1"/>
  <c r="FH14" i="1"/>
  <c r="FG14" i="1"/>
  <c r="FC14" i="1"/>
  <c r="FB14" i="1"/>
  <c r="FA14" i="1"/>
  <c r="EZ14" i="1"/>
  <c r="EW14" i="1"/>
  <c r="EV14" i="1"/>
  <c r="GU13" i="1"/>
  <c r="GU12" i="1"/>
  <c r="FV12" i="1"/>
  <c r="GF11" i="1"/>
  <c r="GF83" i="1"/>
  <c r="GA11" i="1"/>
  <c r="GA83" i="1" s="1"/>
  <c r="FW11" i="1"/>
  <c r="FW83" i="1" s="1"/>
  <c r="FS11" i="1"/>
  <c r="FS83" i="1"/>
  <c r="FR11" i="1"/>
  <c r="FQ11" i="1"/>
  <c r="AP11" i="1"/>
  <c r="GE10" i="1"/>
  <c r="GE83" i="1"/>
  <c r="GD10" i="1"/>
  <c r="GC10" i="1"/>
  <c r="GB10" i="1"/>
  <c r="GB83" i="1" s="1"/>
  <c r="FZ10" i="1"/>
  <c r="FZ83" i="1"/>
  <c r="FY10" i="1"/>
  <c r="FX10" i="1"/>
  <c r="FX83" i="1" s="1"/>
  <c r="FU10" i="1"/>
  <c r="FU83" i="1" s="1"/>
  <c r="FT10" i="1"/>
  <c r="FT83" i="1"/>
  <c r="FP10" i="1"/>
  <c r="FD9" i="1"/>
  <c r="DR9" i="1"/>
  <c r="CW9" i="1"/>
  <c r="CT9" i="1"/>
  <c r="BU9" i="1"/>
  <c r="BU83" i="1"/>
  <c r="AZ9" i="1"/>
  <c r="V9" i="1"/>
  <c r="FO8" i="1"/>
  <c r="FM8" i="1"/>
  <c r="FL8" i="1"/>
  <c r="FK8" i="1"/>
  <c r="FJ8" i="1"/>
  <c r="FG8" i="1"/>
  <c r="FF8" i="1"/>
  <c r="FC8" i="1"/>
  <c r="FB8" i="1"/>
  <c r="FB83" i="1" s="1"/>
  <c r="EY8" i="1"/>
  <c r="EU8" i="1"/>
  <c r="ER8" i="1"/>
  <c r="EO8" i="1"/>
  <c r="EL8" i="1"/>
  <c r="ED8" i="1"/>
  <c r="EC8" i="1"/>
  <c r="EB8" i="1"/>
  <c r="DZ8" i="1"/>
  <c r="DZ83" i="1" s="1"/>
  <c r="DV8" i="1"/>
  <c r="DU8" i="1"/>
  <c r="DT8" i="1"/>
  <c r="DS8" i="1"/>
  <c r="DQ8" i="1"/>
  <c r="DQ83" i="1" s="1"/>
  <c r="DP8" i="1"/>
  <c r="DM8" i="1"/>
  <c r="DM83" i="1" s="1"/>
  <c r="DL8" i="1"/>
  <c r="DL83" i="1"/>
  <c r="DK8" i="1"/>
  <c r="DK83" i="1" s="1"/>
  <c r="DJ8" i="1"/>
  <c r="DI8" i="1"/>
  <c r="DG8" i="1"/>
  <c r="DG83" i="1" s="1"/>
  <c r="DF8" i="1"/>
  <c r="DF83" i="1" s="1"/>
  <c r="DE8" i="1"/>
  <c r="DD8" i="1"/>
  <c r="DC8" i="1"/>
  <c r="DB8" i="1"/>
  <c r="DA8" i="1"/>
  <c r="CY8" i="1"/>
  <c r="CX8" i="1"/>
  <c r="CX83" i="1" s="1"/>
  <c r="CV8" i="1"/>
  <c r="CV83" i="1" s="1"/>
  <c r="CU8" i="1"/>
  <c r="CS8" i="1"/>
  <c r="CR8" i="1"/>
  <c r="CQ8" i="1"/>
  <c r="CP8" i="1"/>
  <c r="CO8" i="1"/>
  <c r="CO83" i="1"/>
  <c r="CN8" i="1"/>
  <c r="CM8" i="1"/>
  <c r="CM83" i="1" s="1"/>
  <c r="CL8" i="1"/>
  <c r="CK8" i="1"/>
  <c r="CJ8" i="1"/>
  <c r="CI8" i="1"/>
  <c r="CI83" i="1"/>
  <c r="CH8" i="1"/>
  <c r="CH83" i="1" s="1"/>
  <c r="CG8" i="1"/>
  <c r="CF8" i="1"/>
  <c r="CF83" i="1" s="1"/>
  <c r="CE8" i="1"/>
  <c r="CE83" i="1" s="1"/>
  <c r="CD8" i="1"/>
  <c r="CD83" i="1" s="1"/>
  <c r="CC8" i="1"/>
  <c r="CC83" i="1"/>
  <c r="CB8" i="1"/>
  <c r="CB83" i="1" s="1"/>
  <c r="CA8" i="1"/>
  <c r="CA83" i="1" s="1"/>
  <c r="BV8" i="1"/>
  <c r="BV83" i="1"/>
  <c r="BT8" i="1"/>
  <c r="BT83" i="1" s="1"/>
  <c r="BS8" i="1"/>
  <c r="BR8" i="1"/>
  <c r="BQ8" i="1"/>
  <c r="BQ83" i="1" s="1"/>
  <c r="BP8" i="1"/>
  <c r="BP83" i="1" s="1"/>
  <c r="BO8" i="1"/>
  <c r="BO83" i="1" s="1"/>
  <c r="BN8" i="1"/>
  <c r="BM8" i="1"/>
  <c r="BM83" i="1" s="1"/>
  <c r="BH8" i="1"/>
  <c r="BH83" i="1"/>
  <c r="BF8" i="1"/>
  <c r="BF83" i="1" s="1"/>
  <c r="BE8" i="1"/>
  <c r="BE83" i="1" s="1"/>
  <c r="BD8" i="1"/>
  <c r="BC8" i="1"/>
  <c r="BB8" i="1"/>
  <c r="BA8" i="1"/>
  <c r="AY8" i="1"/>
  <c r="AY83" i="1" s="1"/>
  <c r="AX8" i="1"/>
  <c r="AX83" i="1" s="1"/>
  <c r="AW8" i="1"/>
  <c r="AW83" i="1" s="1"/>
  <c r="AR8" i="1"/>
  <c r="AR83" i="1"/>
  <c r="AH8" i="1"/>
  <c r="AH83" i="1" s="1"/>
  <c r="AG8" i="1"/>
  <c r="AF8" i="1"/>
  <c r="AE8" i="1"/>
  <c r="AE83" i="1" s="1"/>
  <c r="AD8" i="1"/>
  <c r="AC8" i="1"/>
  <c r="AC83" i="1"/>
  <c r="AB8" i="1"/>
  <c r="AA8" i="1"/>
  <c r="Z8" i="1"/>
  <c r="Y8" i="1"/>
  <c r="X8" i="1"/>
  <c r="X83" i="1"/>
  <c r="W8" i="1"/>
  <c r="T8" i="1"/>
  <c r="T83" i="1" s="1"/>
  <c r="S8" i="1"/>
  <c r="R8" i="1"/>
  <c r="O8" i="1"/>
  <c r="O83" i="1" s="1"/>
  <c r="N8" i="1"/>
  <c r="M8" i="1"/>
  <c r="K8" i="1"/>
  <c r="J8" i="1"/>
  <c r="J83" i="1" s="1"/>
  <c r="FN7" i="1"/>
  <c r="FI7" i="1"/>
  <c r="FI83" i="1" s="1"/>
  <c r="FH7" i="1"/>
  <c r="FH83" i="1"/>
  <c r="FE7" i="1"/>
  <c r="FA7" i="1"/>
  <c r="EZ7" i="1"/>
  <c r="EX7" i="1"/>
  <c r="EW7" i="1"/>
  <c r="EV7" i="1"/>
  <c r="ES7" i="1"/>
  <c r="ES83" i="1" s="1"/>
  <c r="EK7" i="1"/>
  <c r="EK83" i="1" s="1"/>
  <c r="EJ7" i="1"/>
  <c r="EJ83" i="1"/>
  <c r="EI7" i="1"/>
  <c r="EI83" i="1"/>
  <c r="EH7" i="1"/>
  <c r="EH83" i="1" s="1"/>
  <c r="EG7" i="1"/>
  <c r="EG83" i="1"/>
  <c r="EF7" i="1"/>
  <c r="EF83" i="1" s="1"/>
  <c r="EE7" i="1"/>
  <c r="EE83" i="1" s="1"/>
  <c r="EA7" i="1"/>
  <c r="FG86" i="1"/>
  <c r="FG90" i="1" s="1"/>
  <c r="FE90" i="1"/>
  <c r="EW86" i="1"/>
  <c r="DU86" i="1"/>
  <c r="DQ87" i="1"/>
  <c r="DQ88" i="1"/>
  <c r="DQ85" i="1"/>
  <c r="DM88" i="1"/>
  <c r="DM90" i="1"/>
  <c r="GU58" i="1"/>
  <c r="DF86" i="1"/>
  <c r="DF85" i="1"/>
  <c r="DE86" i="1"/>
  <c r="DE89" i="1"/>
  <c r="DE83" i="1"/>
  <c r="DB85" i="1"/>
  <c r="DB90" i="1" s="1"/>
  <c r="CY86" i="1"/>
  <c r="CV89" i="1"/>
  <c r="CV88" i="1"/>
  <c r="CV85" i="1"/>
  <c r="CU87" i="1"/>
  <c r="CU86" i="1"/>
  <c r="CU90" i="1" s="1"/>
  <c r="CU89" i="1"/>
  <c r="CQ88" i="1"/>
  <c r="CQ86" i="1"/>
  <c r="CP88" i="1"/>
  <c r="CP83" i="1"/>
  <c r="CP85" i="1"/>
  <c r="CP90" i="1" s="1"/>
  <c r="CK87" i="1"/>
  <c r="CK83" i="1"/>
  <c r="CJ88" i="1"/>
  <c r="CJ87" i="1"/>
  <c r="CJ89" i="1"/>
  <c r="BR90" i="1"/>
  <c r="BQ88" i="1"/>
  <c r="BO88" i="1"/>
  <c r="BR83" i="1"/>
  <c r="BD86" i="1"/>
  <c r="AX85" i="1"/>
  <c r="AX90" i="1" s="1"/>
  <c r="AB90" i="1"/>
  <c r="AB83" i="1"/>
  <c r="W85" i="1"/>
  <c r="BS83" i="1"/>
  <c r="EL83" i="1"/>
  <c r="CJ83" i="1"/>
  <c r="CY83" i="1"/>
  <c r="FO83" i="1"/>
  <c r="DA83" i="1"/>
  <c r="GU9" i="1"/>
  <c r="AZ83" i="1"/>
  <c r="GU29" i="1"/>
  <c r="AF83" i="1"/>
  <c r="GC83" i="1"/>
  <c r="GU35" i="1"/>
  <c r="GU43" i="1"/>
  <c r="GD83" i="1"/>
  <c r="GU14" i="1"/>
  <c r="FE83" i="1"/>
  <c r="W83" i="1"/>
  <c r="BN83" i="1"/>
  <c r="CQ83" i="1"/>
  <c r="FF83" i="1"/>
  <c r="GU42" i="1"/>
  <c r="GU57" i="1"/>
  <c r="EB83" i="1"/>
  <c r="GU15" i="1"/>
  <c r="GU33" i="1"/>
  <c r="GU64" i="1"/>
  <c r="GU79" i="1"/>
  <c r="GU10" i="1"/>
  <c r="H83" i="1"/>
  <c r="GU28" i="1"/>
  <c r="V83" i="1"/>
  <c r="CV90" i="1"/>
  <c r="GB97" i="2"/>
  <c r="GA97" i="2"/>
  <c r="FZ97" i="2"/>
  <c r="FY97" i="2"/>
  <c r="FX97" i="2"/>
  <c r="FW97" i="2"/>
  <c r="FV97" i="2"/>
  <c r="FU97" i="2"/>
  <c r="FS97" i="2"/>
  <c r="FQ97" i="2"/>
  <c r="FP97" i="2"/>
  <c r="FN97" i="2"/>
  <c r="FK97" i="2"/>
  <c r="FI97" i="2"/>
  <c r="FH97" i="2"/>
  <c r="FC97" i="2"/>
  <c r="FA97" i="2"/>
  <c r="EW97" i="2"/>
  <c r="EV97" i="2"/>
  <c r="ER97" i="2"/>
  <c r="EP97" i="2"/>
  <c r="EN97" i="2"/>
  <c r="EI97" i="2"/>
  <c r="EG97" i="2"/>
  <c r="EF97" i="2"/>
  <c r="EE97" i="2"/>
  <c r="ED97" i="2"/>
  <c r="EB97" i="2"/>
  <c r="EA97" i="2"/>
  <c r="DY97" i="2"/>
  <c r="DV97" i="2"/>
  <c r="DT97" i="2"/>
  <c r="DS97" i="2"/>
  <c r="DR97" i="2"/>
  <c r="DN97" i="2"/>
  <c r="DK97" i="2"/>
  <c r="DJ97" i="2"/>
  <c r="DI97" i="2"/>
  <c r="DH97" i="2"/>
  <c r="DF97" i="2"/>
  <c r="DC97" i="2"/>
  <c r="CZ97" i="2"/>
  <c r="CX97" i="2"/>
  <c r="CW97" i="2"/>
  <c r="CT97" i="2"/>
  <c r="CR97" i="2"/>
  <c r="CP97" i="2"/>
  <c r="CK97" i="2"/>
  <c r="CI97" i="2"/>
  <c r="CD97" i="2"/>
  <c r="CC97" i="2"/>
  <c r="CB97" i="2"/>
  <c r="BZ97" i="2"/>
  <c r="BY97" i="2"/>
  <c r="BX97" i="2"/>
  <c r="BW97" i="2"/>
  <c r="BV97" i="2"/>
  <c r="BU97" i="2"/>
  <c r="BT97" i="2"/>
  <c r="BS97" i="2"/>
  <c r="BR97" i="2"/>
  <c r="BQ97" i="2"/>
  <c r="BP97" i="2"/>
  <c r="BL97" i="2"/>
  <c r="BK97" i="2"/>
  <c r="BJ97" i="2"/>
  <c r="BI97" i="2"/>
  <c r="BH97" i="2"/>
  <c r="BG97" i="2"/>
  <c r="BF97" i="2"/>
  <c r="BE97" i="2"/>
  <c r="BD97" i="2"/>
  <c r="BC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G97" i="2"/>
  <c r="AF97" i="2"/>
  <c r="AE97" i="2"/>
  <c r="AB97" i="2"/>
  <c r="X97" i="2"/>
  <c r="V97" i="2"/>
  <c r="U97" i="2"/>
  <c r="T97" i="2"/>
  <c r="R97" i="2"/>
  <c r="Q97" i="2"/>
  <c r="P97" i="2"/>
  <c r="N97" i="2"/>
  <c r="M97" i="2"/>
  <c r="L97" i="2"/>
  <c r="J97" i="2"/>
  <c r="I97" i="2"/>
  <c r="H97" i="2"/>
  <c r="GB96" i="2"/>
  <c r="GA96" i="2"/>
  <c r="FZ96" i="2"/>
  <c r="FY96" i="2"/>
  <c r="FX96" i="2"/>
  <c r="FW96" i="2"/>
  <c r="FV96" i="2"/>
  <c r="FU96" i="2"/>
  <c r="FT96" i="2"/>
  <c r="FS96" i="2"/>
  <c r="FR96" i="2"/>
  <c r="FQ96" i="2"/>
  <c r="FP96" i="2"/>
  <c r="FO96" i="2"/>
  <c r="FN96" i="2"/>
  <c r="FM96" i="2"/>
  <c r="FL96" i="2"/>
  <c r="FK96" i="2"/>
  <c r="FJ96" i="2"/>
  <c r="FI96" i="2"/>
  <c r="FH96" i="2"/>
  <c r="FG96" i="2"/>
  <c r="FF96" i="2"/>
  <c r="FE96" i="2"/>
  <c r="FD96" i="2"/>
  <c r="FC96" i="2"/>
  <c r="FB96" i="2"/>
  <c r="FA96" i="2"/>
  <c r="EZ96" i="2"/>
  <c r="EY96" i="2"/>
  <c r="EX96" i="2"/>
  <c r="EW96" i="2"/>
  <c r="EV96" i="2"/>
  <c r="EU96" i="2"/>
  <c r="ET96" i="2"/>
  <c r="ES96" i="2"/>
  <c r="ER96" i="2"/>
  <c r="EQ96" i="2"/>
  <c r="EP96" i="2"/>
  <c r="EO96" i="2"/>
  <c r="EN96" i="2"/>
  <c r="EM96" i="2"/>
  <c r="EL96" i="2"/>
  <c r="EJ96" i="2"/>
  <c r="EI96" i="2"/>
  <c r="EH96" i="2"/>
  <c r="EG96" i="2"/>
  <c r="EE96" i="2"/>
  <c r="ED96" i="2"/>
  <c r="EB96" i="2"/>
  <c r="EA96" i="2"/>
  <c r="DZ96" i="2"/>
  <c r="DY96" i="2"/>
  <c r="DX96" i="2"/>
  <c r="DW96" i="2"/>
  <c r="DV96" i="2"/>
  <c r="DU96" i="2"/>
  <c r="DT96" i="2"/>
  <c r="DS96" i="2"/>
  <c r="DR96" i="2"/>
  <c r="DO96" i="2"/>
  <c r="DN96" i="2"/>
  <c r="DK96" i="2"/>
  <c r="DJ96" i="2"/>
  <c r="DI96" i="2"/>
  <c r="DH96" i="2"/>
  <c r="DF96" i="2"/>
  <c r="DD96" i="2"/>
  <c r="DC96" i="2"/>
  <c r="DA96" i="2"/>
  <c r="CZ96" i="2"/>
  <c r="CX96" i="2"/>
  <c r="CW96" i="2"/>
  <c r="CT96" i="2"/>
  <c r="CR96" i="2"/>
  <c r="CP96" i="2"/>
  <c r="CK96" i="2"/>
  <c r="CJ96" i="2"/>
  <c r="CI96" i="2"/>
  <c r="CH96" i="2"/>
  <c r="CF96" i="2"/>
  <c r="CD96" i="2"/>
  <c r="CC96" i="2"/>
  <c r="CB96" i="2"/>
  <c r="BZ96" i="2"/>
  <c r="BY96" i="2"/>
  <c r="BX96" i="2"/>
  <c r="BW96" i="2"/>
  <c r="BV96" i="2"/>
  <c r="BU96" i="2"/>
  <c r="BT96" i="2"/>
  <c r="BS96" i="2"/>
  <c r="BR96" i="2"/>
  <c r="BQ96" i="2"/>
  <c r="BO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B95" i="2"/>
  <c r="GA95" i="2"/>
  <c r="FZ95" i="2"/>
  <c r="FY95" i="2"/>
  <c r="FX95" i="2"/>
  <c r="FW95" i="2"/>
  <c r="FV95" i="2"/>
  <c r="FU95" i="2"/>
  <c r="FT95" i="2"/>
  <c r="FS95" i="2"/>
  <c r="FR95" i="2"/>
  <c r="FQ95" i="2"/>
  <c r="FP95" i="2"/>
  <c r="FO95" i="2"/>
  <c r="FN95" i="2"/>
  <c r="FM95" i="2"/>
  <c r="FL95" i="2"/>
  <c r="FK95" i="2"/>
  <c r="FJ95" i="2"/>
  <c r="FI95" i="2"/>
  <c r="FH95" i="2"/>
  <c r="FG95" i="2"/>
  <c r="FC95" i="2"/>
  <c r="FB95" i="2"/>
  <c r="FA95" i="2"/>
  <c r="EZ95" i="2"/>
  <c r="EY95" i="2"/>
  <c r="EX95" i="2"/>
  <c r="EW95" i="2"/>
  <c r="EV95" i="2"/>
  <c r="EN95" i="2"/>
  <c r="EJ95" i="2"/>
  <c r="EI95" i="2"/>
  <c r="EH95" i="2"/>
  <c r="EG95" i="2"/>
  <c r="EE95" i="2"/>
  <c r="ED95" i="2"/>
  <c r="EB95" i="2"/>
  <c r="EA95" i="2"/>
  <c r="DZ95" i="2"/>
  <c r="DY95" i="2"/>
  <c r="DW95" i="2"/>
  <c r="DV95" i="2"/>
  <c r="DT95" i="2"/>
  <c r="DS95" i="2"/>
  <c r="DR95" i="2"/>
  <c r="DQ95" i="2"/>
  <c r="DN95" i="2"/>
  <c r="DK95" i="2"/>
  <c r="DJ95" i="2"/>
  <c r="DI95" i="2"/>
  <c r="DH95" i="2"/>
  <c r="DH98" i="2" s="1"/>
  <c r="DF95" i="2"/>
  <c r="DC95" i="2"/>
  <c r="CX95" i="2"/>
  <c r="CT95" i="2"/>
  <c r="CR95" i="2"/>
  <c r="CP95" i="2"/>
  <c r="CM95" i="2"/>
  <c r="CL95" i="2"/>
  <c r="CK95" i="2"/>
  <c r="CJ95" i="2"/>
  <c r="CI95" i="2"/>
  <c r="CD95" i="2"/>
  <c r="CC95" i="2"/>
  <c r="CB95" i="2"/>
  <c r="BZ95" i="2"/>
  <c r="BX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AY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Q95" i="2"/>
  <c r="P95" i="2"/>
  <c r="O95" i="2"/>
  <c r="L95" i="2"/>
  <c r="K95" i="2"/>
  <c r="J95" i="2"/>
  <c r="I95" i="2"/>
  <c r="H95" i="2"/>
  <c r="GB94" i="2"/>
  <c r="GA94" i="2"/>
  <c r="FZ94" i="2"/>
  <c r="FY94" i="2"/>
  <c r="FX94" i="2"/>
  <c r="FW94" i="2"/>
  <c r="FV94" i="2"/>
  <c r="FU94" i="2"/>
  <c r="FT94" i="2"/>
  <c r="FS94" i="2"/>
  <c r="FR94" i="2"/>
  <c r="FN94" i="2"/>
  <c r="FL94" i="2"/>
  <c r="FK94" i="2"/>
  <c r="FJ94" i="2"/>
  <c r="FI94" i="2"/>
  <c r="FH94" i="2"/>
  <c r="FG94" i="2"/>
  <c r="FD94" i="2"/>
  <c r="FC94" i="2"/>
  <c r="FA94" i="2"/>
  <c r="EV94" i="2"/>
  <c r="EP94" i="2"/>
  <c r="EI94" i="2"/>
  <c r="EF94" i="2"/>
  <c r="EA94" i="2"/>
  <c r="DZ94" i="2"/>
  <c r="DV94" i="2"/>
  <c r="DT94" i="2"/>
  <c r="DS94" i="2"/>
  <c r="DR94" i="2"/>
  <c r="DN94" i="2"/>
  <c r="DK94" i="2"/>
  <c r="DF94" i="2"/>
  <c r="DC94" i="2"/>
  <c r="CZ94" i="2"/>
  <c r="CY94" i="2"/>
  <c r="CX94" i="2"/>
  <c r="CT94" i="2"/>
  <c r="CR94" i="2"/>
  <c r="CK94" i="2"/>
  <c r="CI94" i="2"/>
  <c r="CD94" i="2"/>
  <c r="CC94" i="2"/>
  <c r="CB94" i="2"/>
  <c r="BZ94" i="2"/>
  <c r="BX94" i="2"/>
  <c r="BV94" i="2"/>
  <c r="BU94" i="2"/>
  <c r="BT94" i="2"/>
  <c r="BS94" i="2"/>
  <c r="BR94" i="2"/>
  <c r="BQ94" i="2"/>
  <c r="BJ94" i="2"/>
  <c r="BI94" i="2"/>
  <c r="BH94" i="2"/>
  <c r="BG94" i="2"/>
  <c r="BF94" i="2"/>
  <c r="BE94" i="2"/>
  <c r="BD94" i="2"/>
  <c r="AY94" i="2"/>
  <c r="AV94" i="2"/>
  <c r="AU94" i="2"/>
  <c r="AT94" i="2"/>
  <c r="AS94" i="2"/>
  <c r="AR94" i="2"/>
  <c r="AM94" i="2"/>
  <c r="AK94" i="2"/>
  <c r="AF94" i="2"/>
  <c r="AB94" i="2"/>
  <c r="Z94" i="2"/>
  <c r="U94" i="2"/>
  <c r="T94" i="2"/>
  <c r="Q94" i="2"/>
  <c r="P94" i="2"/>
  <c r="O94" i="2"/>
  <c r="N94" i="2"/>
  <c r="M94" i="2"/>
  <c r="L94" i="2"/>
  <c r="K94" i="2"/>
  <c r="J94" i="2"/>
  <c r="I94" i="2"/>
  <c r="H94" i="2"/>
  <c r="GB93" i="2"/>
  <c r="GA93" i="2"/>
  <c r="FZ93" i="2"/>
  <c r="FY93" i="2"/>
  <c r="FX93" i="2"/>
  <c r="FW93" i="2"/>
  <c r="FV93" i="2"/>
  <c r="FU93" i="2"/>
  <c r="FT93" i="2"/>
  <c r="FS93" i="2"/>
  <c r="FR93" i="2"/>
  <c r="FQ93" i="2"/>
  <c r="FQ98" i="2" s="1"/>
  <c r="FP93" i="2"/>
  <c r="FN93" i="2"/>
  <c r="FM93" i="2"/>
  <c r="FK93" i="2"/>
  <c r="FG93" i="2"/>
  <c r="FF93" i="2"/>
  <c r="EW93" i="2"/>
  <c r="EV93" i="2"/>
  <c r="ER93" i="2"/>
  <c r="EH93" i="2"/>
  <c r="EB93" i="2"/>
  <c r="DZ93" i="2"/>
  <c r="DY93" i="2"/>
  <c r="DV93" i="2"/>
  <c r="DT93" i="2"/>
  <c r="DS93" i="2"/>
  <c r="DR93" i="2"/>
  <c r="DN93" i="2"/>
  <c r="DN98" i="2" s="1"/>
  <c r="DK93" i="2"/>
  <c r="DI93" i="2"/>
  <c r="DH93" i="2"/>
  <c r="DF93" i="2"/>
  <c r="DC93" i="2"/>
  <c r="CX93" i="2"/>
  <c r="CT93" i="2"/>
  <c r="CR93" i="2"/>
  <c r="CK93" i="2"/>
  <c r="CI93" i="2"/>
  <c r="CC93" i="2"/>
  <c r="CB93" i="2"/>
  <c r="BZ93" i="2"/>
  <c r="BV93" i="2"/>
  <c r="BU93" i="2"/>
  <c r="BT93" i="2"/>
  <c r="BS93" i="2"/>
  <c r="BR93" i="2"/>
  <c r="BQ93" i="2"/>
  <c r="BH93" i="2"/>
  <c r="BG93" i="2"/>
  <c r="BF93" i="2"/>
  <c r="BE93" i="2"/>
  <c r="BD93" i="2"/>
  <c r="BD98" i="2" s="1"/>
  <c r="AY93" i="2"/>
  <c r="AT93" i="2"/>
  <c r="AS93" i="2"/>
  <c r="AR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T93" i="2"/>
  <c r="P93" i="2"/>
  <c r="I93" i="2"/>
  <c r="GB91" i="2"/>
  <c r="GA91" i="2"/>
  <c r="FZ91" i="2"/>
  <c r="FY91" i="2"/>
  <c r="FX91" i="2"/>
  <c r="FW91" i="2"/>
  <c r="FV91" i="2"/>
  <c r="FS91" i="2"/>
  <c r="FQ91" i="2"/>
  <c r="FN91" i="2"/>
  <c r="FK91" i="2"/>
  <c r="DV91" i="2"/>
  <c r="DT91" i="2"/>
  <c r="DR91" i="2"/>
  <c r="DK91" i="2"/>
  <c r="DF91" i="2"/>
  <c r="DC91" i="2"/>
  <c r="CX91" i="2"/>
  <c r="CT91" i="2"/>
  <c r="CR91" i="2"/>
  <c r="CK91" i="2"/>
  <c r="CI91" i="2"/>
  <c r="CC91" i="2"/>
  <c r="CB91" i="2"/>
  <c r="BZ91" i="2"/>
  <c r="BV91" i="2"/>
  <c r="BU91" i="2"/>
  <c r="BT91" i="2"/>
  <c r="BS91" i="2"/>
  <c r="BR91" i="2"/>
  <c r="BH91" i="2"/>
  <c r="BG91" i="2"/>
  <c r="BE91" i="2"/>
  <c r="AY91" i="2"/>
  <c r="AT91" i="2"/>
  <c r="AS91" i="2"/>
  <c r="P91" i="2"/>
  <c r="I91" i="2"/>
  <c r="GH90" i="2"/>
  <c r="GD90" i="2"/>
  <c r="GH89" i="2"/>
  <c r="GD89" i="2"/>
  <c r="GH88" i="2"/>
  <c r="GD88" i="2"/>
  <c r="EX87" i="2"/>
  <c r="EU87" i="2"/>
  <c r="EP87" i="2"/>
  <c r="EM87" i="2"/>
  <c r="EH87" i="2"/>
  <c r="EC87" i="2"/>
  <c r="DW87" i="2"/>
  <c r="DM87" i="2"/>
  <c r="DB87" i="2"/>
  <c r="CS87" i="2"/>
  <c r="CO87" i="2"/>
  <c r="CE87" i="2"/>
  <c r="AZ87" i="2"/>
  <c r="W87" i="2"/>
  <c r="O87" i="2"/>
  <c r="GH87" i="2" s="1"/>
  <c r="EL86" i="2"/>
  <c r="DU86" i="2"/>
  <c r="GH86" i="2" s="1"/>
  <c r="EF85" i="2"/>
  <c r="GH85" i="2" s="1"/>
  <c r="DQ85" i="2"/>
  <c r="DQ96" i="2"/>
  <c r="EK84" i="2"/>
  <c r="EK96" i="2" s="1"/>
  <c r="GH83" i="2"/>
  <c r="DE83" i="2"/>
  <c r="EX82" i="2"/>
  <c r="EU82" i="2"/>
  <c r="EP82" i="2"/>
  <c r="EM82" i="2"/>
  <c r="EJ82" i="2"/>
  <c r="EH82" i="2"/>
  <c r="EC82" i="2"/>
  <c r="DZ82" i="2"/>
  <c r="DZ97" i="2"/>
  <c r="DW82" i="2"/>
  <c r="DP82" i="2"/>
  <c r="DM82" i="2"/>
  <c r="DB82" i="2"/>
  <c r="DB97" i="2" s="1"/>
  <c r="CV82" i="2"/>
  <c r="CS82" i="2"/>
  <c r="CS97" i="2" s="1"/>
  <c r="CM82" i="2"/>
  <c r="CH82" i="2"/>
  <c r="CE82" i="2"/>
  <c r="AZ82" i="2"/>
  <c r="AA82" i="2"/>
  <c r="Z82" i="2"/>
  <c r="FD81" i="2"/>
  <c r="EL81" i="2"/>
  <c r="DX81" i="2"/>
  <c r="DU81" i="2"/>
  <c r="FF79" i="2"/>
  <c r="EP79" i="2"/>
  <c r="EC79" i="2"/>
  <c r="GH79" i="2" s="1"/>
  <c r="X79" i="2"/>
  <c r="W79" i="2"/>
  <c r="FE78" i="2"/>
  <c r="FD78" i="2"/>
  <c r="EO78" i="2"/>
  <c r="EK78" i="2"/>
  <c r="GH78" i="2" s="1"/>
  <c r="FO77" i="2"/>
  <c r="FO94" i="2"/>
  <c r="FF77" i="2"/>
  <c r="EZ77" i="2"/>
  <c r="EZ94" i="2"/>
  <c r="EU77" i="2"/>
  <c r="ES77" i="2"/>
  <c r="EQ77" i="2"/>
  <c r="EP77" i="2"/>
  <c r="EM77" i="2"/>
  <c r="EJ77" i="2"/>
  <c r="EH77" i="2"/>
  <c r="EG77" i="2"/>
  <c r="ED77" i="2"/>
  <c r="ED94" i="2" s="1"/>
  <c r="EC77" i="2"/>
  <c r="DP77" i="2"/>
  <c r="DO77" i="2"/>
  <c r="DM77" i="2"/>
  <c r="DL77" i="2"/>
  <c r="DJ77" i="2"/>
  <c r="DH77" i="2"/>
  <c r="DH94" i="2"/>
  <c r="DG77" i="2"/>
  <c r="DG94" i="2"/>
  <c r="DD77" i="2"/>
  <c r="DB77" i="2"/>
  <c r="CW77" i="2"/>
  <c r="CV77" i="2"/>
  <c r="CU77" i="2"/>
  <c r="CS77" i="2"/>
  <c r="CQ77" i="2"/>
  <c r="CP77" i="2"/>
  <c r="CO77" i="2"/>
  <c r="CN77" i="2"/>
  <c r="CM77" i="2"/>
  <c r="CL77" i="2"/>
  <c r="CJ77" i="2"/>
  <c r="CE77" i="2"/>
  <c r="CA77" i="2"/>
  <c r="BY77" i="2"/>
  <c r="BY94" i="2" s="1"/>
  <c r="BW77" i="2"/>
  <c r="BW94" i="2" s="1"/>
  <c r="BP77" i="2"/>
  <c r="BO77" i="2"/>
  <c r="BO94" i="2" s="1"/>
  <c r="BM77" i="2"/>
  <c r="BK77" i="2"/>
  <c r="BC77" i="2"/>
  <c r="BB77" i="2"/>
  <c r="AZ77" i="2"/>
  <c r="AX77" i="2"/>
  <c r="AQ77" i="2"/>
  <c r="AQ94" i="2"/>
  <c r="AP77" i="2"/>
  <c r="AP94" i="2"/>
  <c r="AO77" i="2"/>
  <c r="AO94" i="2"/>
  <c r="AN77" i="2"/>
  <c r="AN94" i="2" s="1"/>
  <c r="AL77" i="2"/>
  <c r="AL94" i="2" s="1"/>
  <c r="AJ77" i="2"/>
  <c r="AJ94" i="2"/>
  <c r="AI77" i="2"/>
  <c r="AH77" i="2"/>
  <c r="AE77" i="2"/>
  <c r="AD77" i="2"/>
  <c r="AC77" i="2"/>
  <c r="X77" i="2"/>
  <c r="X94" i="2"/>
  <c r="W77" i="2"/>
  <c r="V77" i="2"/>
  <c r="V94" i="2" s="1"/>
  <c r="S77" i="2"/>
  <c r="FQ76" i="2"/>
  <c r="FQ94" i="2"/>
  <c r="FP76" i="2"/>
  <c r="FP91" i="2" s="1"/>
  <c r="FP94" i="2"/>
  <c r="FM76" i="2"/>
  <c r="FM94" i="2" s="1"/>
  <c r="EL76" i="2"/>
  <c r="EL94" i="2" s="1"/>
  <c r="EK76" i="2"/>
  <c r="EB76" i="2"/>
  <c r="DY76" i="2"/>
  <c r="DX76" i="2"/>
  <c r="DU76" i="2"/>
  <c r="GH76" i="2" s="1"/>
  <c r="DP75" i="2"/>
  <c r="DM75" i="2"/>
  <c r="CS75" i="2"/>
  <c r="EK74" i="2"/>
  <c r="GH74" i="2" s="1"/>
  <c r="DE73" i="2"/>
  <c r="DE93" i="2" s="1"/>
  <c r="DA73" i="2"/>
  <c r="U73" i="2"/>
  <c r="GH73" i="2" s="1"/>
  <c r="Q73" i="2"/>
  <c r="L73" i="2"/>
  <c r="H73" i="2"/>
  <c r="FC72" i="2"/>
  <c r="EZ72" i="2"/>
  <c r="EY72" i="2"/>
  <c r="EX72" i="2"/>
  <c r="EU72" i="2"/>
  <c r="ET72" i="2"/>
  <c r="ES72" i="2"/>
  <c r="EQ72" i="2"/>
  <c r="EP72" i="2"/>
  <c r="EN72" i="2"/>
  <c r="EN93" i="2" s="1"/>
  <c r="EM72" i="2"/>
  <c r="EJ72" i="2"/>
  <c r="EF72" i="2"/>
  <c r="EC72" i="2"/>
  <c r="DQ72" i="2"/>
  <c r="DP72" i="2"/>
  <c r="DO72" i="2"/>
  <c r="DM72" i="2"/>
  <c r="DJ72" i="2"/>
  <c r="DD72" i="2"/>
  <c r="DB72" i="2"/>
  <c r="CY72" i="2"/>
  <c r="CW72" i="2"/>
  <c r="CV72" i="2"/>
  <c r="CU72" i="2"/>
  <c r="CS72" i="2"/>
  <c r="CS93" i="2" s="1"/>
  <c r="CQ72" i="2"/>
  <c r="CH72" i="2"/>
  <c r="CG72" i="2"/>
  <c r="CF72" i="2"/>
  <c r="CE72" i="2"/>
  <c r="CA72" i="2"/>
  <c r="BY72" i="2"/>
  <c r="BC72" i="2"/>
  <c r="BB72" i="2"/>
  <c r="BB93" i="2"/>
  <c r="BA72" i="2"/>
  <c r="AZ72" i="2"/>
  <c r="AX72" i="2"/>
  <c r="X72" i="2"/>
  <c r="W72" i="2"/>
  <c r="V72" i="2"/>
  <c r="S72" i="2"/>
  <c r="R72" i="2"/>
  <c r="GH72" i="2" s="1"/>
  <c r="O72" i="2"/>
  <c r="N72" i="2"/>
  <c r="M72" i="2"/>
  <c r="K72" i="2"/>
  <c r="J72" i="2"/>
  <c r="FE71" i="2"/>
  <c r="FD71" i="2"/>
  <c r="FB71" i="2"/>
  <c r="EO71" i="2"/>
  <c r="EL71" i="2"/>
  <c r="EL93" i="2" s="1"/>
  <c r="EK71" i="2"/>
  <c r="FJ70" i="2"/>
  <c r="FJ93" i="2" s="1"/>
  <c r="DA70" i="2"/>
  <c r="U70" i="2"/>
  <c r="Q70" i="2"/>
  <c r="L70" i="2"/>
  <c r="H70" i="2"/>
  <c r="GH70" i="2"/>
  <c r="FO69" i="2"/>
  <c r="FO93" i="2" s="1"/>
  <c r="FC69" i="2"/>
  <c r="FA69" i="2"/>
  <c r="EZ69" i="2"/>
  <c r="EY69" i="2"/>
  <c r="EX69" i="2"/>
  <c r="EU69" i="2"/>
  <c r="ET69" i="2"/>
  <c r="ES69" i="2"/>
  <c r="EQ69" i="2"/>
  <c r="EP69" i="2"/>
  <c r="EM69" i="2"/>
  <c r="EJ69" i="2"/>
  <c r="EF69" i="2"/>
  <c r="EC69" i="2"/>
  <c r="DQ69" i="2"/>
  <c r="DP69" i="2"/>
  <c r="DO69" i="2"/>
  <c r="DL69" i="2"/>
  <c r="DJ69" i="2"/>
  <c r="DJ93" i="2"/>
  <c r="DJ98" i="2" s="1"/>
  <c r="DG69" i="2"/>
  <c r="DD69" i="2"/>
  <c r="DD93" i="2" s="1"/>
  <c r="DB69" i="2"/>
  <c r="CZ69" i="2"/>
  <c r="CY69" i="2"/>
  <c r="CW69" i="2"/>
  <c r="CV69" i="2"/>
  <c r="CU69" i="2"/>
  <c r="CU91" i="2" s="1"/>
  <c r="CP69" i="2"/>
  <c r="CO69" i="2"/>
  <c r="CO93" i="2" s="1"/>
  <c r="CN69" i="2"/>
  <c r="CM69" i="2"/>
  <c r="CL69" i="2"/>
  <c r="CJ69" i="2"/>
  <c r="CJ93" i="2"/>
  <c r="CH69" i="2"/>
  <c r="CG69" i="2"/>
  <c r="CF69" i="2"/>
  <c r="CE69" i="2"/>
  <c r="CE93" i="2"/>
  <c r="CD69" i="2"/>
  <c r="CA69" i="2"/>
  <c r="BY69" i="2"/>
  <c r="BX69" i="2"/>
  <c r="BW69" i="2"/>
  <c r="BO69" i="2"/>
  <c r="BN69" i="2"/>
  <c r="BL69" i="2"/>
  <c r="BK69" i="2"/>
  <c r="BJ69" i="2"/>
  <c r="BJ93" i="2"/>
  <c r="BI69" i="2"/>
  <c r="BC69" i="2"/>
  <c r="BB69" i="2"/>
  <c r="BA69" i="2"/>
  <c r="BA93" i="2"/>
  <c r="AZ69" i="2"/>
  <c r="AZ93" i="2"/>
  <c r="AX69" i="2"/>
  <c r="AX93" i="2" s="1"/>
  <c r="AW69" i="2"/>
  <c r="AW91" i="2" s="1"/>
  <c r="AV69" i="2"/>
  <c r="AV93" i="2"/>
  <c r="AU69" i="2"/>
  <c r="AQ69" i="2"/>
  <c r="AP69" i="2"/>
  <c r="Z69" i="2"/>
  <c r="X69" i="2"/>
  <c r="W69" i="2"/>
  <c r="W93" i="2" s="1"/>
  <c r="S69" i="2"/>
  <c r="R69" i="2"/>
  <c r="R91" i="2" s="1"/>
  <c r="O69" i="2"/>
  <c r="N69" i="2"/>
  <c r="M69" i="2"/>
  <c r="K69" i="2"/>
  <c r="J69" i="2"/>
  <c r="J93" i="2" s="1"/>
  <c r="FR68" i="2"/>
  <c r="FL68" i="2"/>
  <c r="FL93" i="2" s="1"/>
  <c r="FL98" i="2" s="1"/>
  <c r="FI68" i="2"/>
  <c r="FI93" i="2" s="1"/>
  <c r="FH68" i="2"/>
  <c r="FH93" i="2"/>
  <c r="FE68" i="2"/>
  <c r="FD68" i="2"/>
  <c r="FD93" i="2" s="1"/>
  <c r="FD98" i="2" s="1"/>
  <c r="FB68" i="2"/>
  <c r="EO68" i="2"/>
  <c r="EL68" i="2"/>
  <c r="EK68" i="2"/>
  <c r="DU68" i="2"/>
  <c r="DE67" i="2"/>
  <c r="GH67" i="2" s="1"/>
  <c r="EC66" i="2"/>
  <c r="DP66" i="2"/>
  <c r="DP97" i="2" s="1"/>
  <c r="DM66" i="2"/>
  <c r="DB66" i="2"/>
  <c r="CV66" i="2"/>
  <c r="CS66" i="2"/>
  <c r="CM66" i="2"/>
  <c r="CM97" i="2" s="1"/>
  <c r="CH66" i="2"/>
  <c r="CE66" i="2"/>
  <c r="AZ66" i="2"/>
  <c r="Z66" i="2"/>
  <c r="FD65" i="2"/>
  <c r="EL65" i="2"/>
  <c r="DX65" i="2"/>
  <c r="GH65" i="2" s="1"/>
  <c r="DE64" i="2"/>
  <c r="DE96" i="2"/>
  <c r="DP63" i="2"/>
  <c r="DM63" i="2"/>
  <c r="DB63" i="2"/>
  <c r="DB96" i="2"/>
  <c r="CO63" i="2"/>
  <c r="CO96" i="2"/>
  <c r="CM63" i="2"/>
  <c r="CG63" i="2"/>
  <c r="CG96" i="2" s="1"/>
  <c r="CF63" i="2"/>
  <c r="CE63" i="2"/>
  <c r="CE96" i="2"/>
  <c r="BM63" i="2"/>
  <c r="BM96" i="2" s="1"/>
  <c r="FO61" i="2"/>
  <c r="EX61" i="2"/>
  <c r="EQ61" i="2"/>
  <c r="GH61" i="2" s="1"/>
  <c r="FR60" i="2"/>
  <c r="FR91" i="2" s="1"/>
  <c r="FD60" i="2"/>
  <c r="EL60" i="2"/>
  <c r="FJ59" i="2"/>
  <c r="FJ97" i="2"/>
  <c r="DE59" i="2"/>
  <c r="DA59" i="2"/>
  <c r="DA97" i="2"/>
  <c r="Y59" i="2"/>
  <c r="GH59" i="2" s="1"/>
  <c r="FO58" i="2"/>
  <c r="FO97" i="2"/>
  <c r="FG58" i="2"/>
  <c r="FG91" i="2" s="1"/>
  <c r="FF58" i="2"/>
  <c r="FF97" i="2"/>
  <c r="EZ58" i="2"/>
  <c r="EZ97" i="2"/>
  <c r="EY58" i="2"/>
  <c r="EY97" i="2"/>
  <c r="EX58" i="2"/>
  <c r="EU58" i="2"/>
  <c r="EU97" i="2"/>
  <c r="ET58" i="2"/>
  <c r="ET97" i="2"/>
  <c r="ES58" i="2"/>
  <c r="ES97" i="2"/>
  <c r="EQ58" i="2"/>
  <c r="EQ97" i="2" s="1"/>
  <c r="EP58" i="2"/>
  <c r="EM58" i="2"/>
  <c r="EM97" i="2"/>
  <c r="EJ58" i="2"/>
  <c r="EH58" i="2"/>
  <c r="EH97" i="2"/>
  <c r="EC58" i="2"/>
  <c r="DW58" i="2"/>
  <c r="DW97" i="2"/>
  <c r="DQ58" i="2"/>
  <c r="DQ97" i="2"/>
  <c r="DP58" i="2"/>
  <c r="DO58" i="2"/>
  <c r="DO97" i="2" s="1"/>
  <c r="DM58" i="2"/>
  <c r="DM97" i="2"/>
  <c r="DL58" i="2"/>
  <c r="DL97" i="2" s="1"/>
  <c r="DG58" i="2"/>
  <c r="DG97" i="2"/>
  <c r="DD58" i="2"/>
  <c r="DD97" i="2" s="1"/>
  <c r="DB58" i="2"/>
  <c r="CY58" i="2"/>
  <c r="CY97" i="2" s="1"/>
  <c r="CV58" i="2"/>
  <c r="CV97" i="2"/>
  <c r="CU58" i="2"/>
  <c r="CU97" i="2" s="1"/>
  <c r="CS58" i="2"/>
  <c r="CQ58" i="2"/>
  <c r="CQ97" i="2"/>
  <c r="CO58" i="2"/>
  <c r="CO97" i="2"/>
  <c r="CN58" i="2"/>
  <c r="CN97" i="2" s="1"/>
  <c r="CM58" i="2"/>
  <c r="CL58" i="2"/>
  <c r="CL97" i="2"/>
  <c r="CJ58" i="2"/>
  <c r="CJ97" i="2" s="1"/>
  <c r="CG58" i="2"/>
  <c r="CG97" i="2" s="1"/>
  <c r="CF58" i="2"/>
  <c r="CF97" i="2"/>
  <c r="CE58" i="2"/>
  <c r="CE97" i="2" s="1"/>
  <c r="CA58" i="2"/>
  <c r="CA97" i="2" s="1"/>
  <c r="BO58" i="2"/>
  <c r="BO97" i="2" s="1"/>
  <c r="BN58" i="2"/>
  <c r="BN97" i="2"/>
  <c r="BM58" i="2"/>
  <c r="BM97" i="2" s="1"/>
  <c r="BB58" i="2"/>
  <c r="BB97" i="2" s="1"/>
  <c r="BA58" i="2"/>
  <c r="BA97" i="2" s="1"/>
  <c r="AZ58" i="2"/>
  <c r="AZ97" i="2"/>
  <c r="AJ58" i="2"/>
  <c r="AJ97" i="2"/>
  <c r="AI58" i="2"/>
  <c r="AI97" i="2" s="1"/>
  <c r="AH58" i="2"/>
  <c r="AH97" i="2" s="1"/>
  <c r="AD58" i="2"/>
  <c r="AD97" i="2"/>
  <c r="AC58" i="2"/>
  <c r="AC97" i="2"/>
  <c r="AA58" i="2"/>
  <c r="Z58" i="2"/>
  <c r="Z97" i="2" s="1"/>
  <c r="W58" i="2"/>
  <c r="W97" i="2"/>
  <c r="S58" i="2"/>
  <c r="S97" i="2" s="1"/>
  <c r="O58" i="2"/>
  <c r="K58" i="2"/>
  <c r="K97" i="2" s="1"/>
  <c r="FT57" i="2"/>
  <c r="FT97" i="2"/>
  <c r="FR57" i="2"/>
  <c r="FR97" i="2" s="1"/>
  <c r="FM57" i="2"/>
  <c r="FM97" i="2" s="1"/>
  <c r="FL57" i="2"/>
  <c r="FL97" i="2" s="1"/>
  <c r="FE57" i="2"/>
  <c r="FE97" i="2"/>
  <c r="FD57" i="2"/>
  <c r="FD97" i="2"/>
  <c r="FB57" i="2"/>
  <c r="FB97" i="2" s="1"/>
  <c r="EO57" i="2"/>
  <c r="EO97" i="2" s="1"/>
  <c r="EL57" i="2"/>
  <c r="EK57" i="2"/>
  <c r="EK97" i="2"/>
  <c r="DX57" i="2"/>
  <c r="DX97" i="2" s="1"/>
  <c r="DU57" i="2"/>
  <c r="DU97" i="2"/>
  <c r="GH56" i="2"/>
  <c r="Y56" i="2"/>
  <c r="FF55" i="2"/>
  <c r="EQ55" i="2"/>
  <c r="EP55" i="2"/>
  <c r="AA55" i="2"/>
  <c r="AA91" i="2" s="1"/>
  <c r="Z55" i="2"/>
  <c r="X55" i="2"/>
  <c r="GH55" i="2" s="1"/>
  <c r="W55" i="2"/>
  <c r="V55" i="2"/>
  <c r="FE54" i="2"/>
  <c r="FE93" i="2" s="1"/>
  <c r="FE98" i="2" s="1"/>
  <c r="FD54" i="2"/>
  <c r="EO54" i="2"/>
  <c r="EL54" i="2"/>
  <c r="EK54" i="2"/>
  <c r="FF53" i="2"/>
  <c r="FF95" i="2"/>
  <c r="EQ53" i="2"/>
  <c r="EP53" i="2"/>
  <c r="EM53" i="2"/>
  <c r="DP53" i="2"/>
  <c r="DP95" i="2"/>
  <c r="DO53" i="2"/>
  <c r="DM53" i="2"/>
  <c r="DL53" i="2"/>
  <c r="DL95" i="2"/>
  <c r="DH53" i="2"/>
  <c r="DD53" i="2"/>
  <c r="DD95" i="2" s="1"/>
  <c r="DB53" i="2"/>
  <c r="CY53" i="2"/>
  <c r="CS53" i="2"/>
  <c r="CQ53" i="2"/>
  <c r="CF53" i="2"/>
  <c r="CE53" i="2"/>
  <c r="CA53" i="2"/>
  <c r="BW53" i="2"/>
  <c r="BA53" i="2"/>
  <c r="GH53" i="2" s="1"/>
  <c r="AZ53" i="2"/>
  <c r="AZ95" i="2" s="1"/>
  <c r="FE52" i="2"/>
  <c r="FE95" i="2"/>
  <c r="FD52" i="2"/>
  <c r="FD95" i="2" s="1"/>
  <c r="EO52" i="2"/>
  <c r="EL52" i="2"/>
  <c r="EK52" i="2"/>
  <c r="DX52" i="2"/>
  <c r="DX95" i="2"/>
  <c r="EX51" i="2"/>
  <c r="ET51" i="2"/>
  <c r="ES51" i="2"/>
  <c r="EP51" i="2"/>
  <c r="EN51" i="2"/>
  <c r="EH51" i="2"/>
  <c r="EC51" i="2"/>
  <c r="W51" i="2"/>
  <c r="GH50" i="2"/>
  <c r="FE50" i="2"/>
  <c r="EL50" i="2"/>
  <c r="EK50" i="2"/>
  <c r="EB50" i="2"/>
  <c r="DE49" i="2"/>
  <c r="DA49" i="2"/>
  <c r="DA91" i="2" s="1"/>
  <c r="Y49" i="2"/>
  <c r="Y93" i="2" s="1"/>
  <c r="U49" i="2"/>
  <c r="Q49" i="2"/>
  <c r="Q93" i="2"/>
  <c r="L49" i="2"/>
  <c r="L93" i="2" s="1"/>
  <c r="H49" i="2"/>
  <c r="GH49" i="2" s="1"/>
  <c r="H93" i="2"/>
  <c r="FF48" i="2"/>
  <c r="FC48" i="2"/>
  <c r="FC93" i="2" s="1"/>
  <c r="FC98" i="2" s="1"/>
  <c r="FA48" i="2"/>
  <c r="FA91" i="2"/>
  <c r="EZ48" i="2"/>
  <c r="EZ93" i="2" s="1"/>
  <c r="EY48" i="2"/>
  <c r="EX48" i="2"/>
  <c r="EU48" i="2"/>
  <c r="ET48" i="2"/>
  <c r="ES48" i="2"/>
  <c r="ES93" i="2" s="1"/>
  <c r="EQ48" i="2"/>
  <c r="EQ93" i="2"/>
  <c r="EP48" i="2"/>
  <c r="EM48" i="2"/>
  <c r="EM93" i="2"/>
  <c r="EJ48" i="2"/>
  <c r="EJ93" i="2" s="1"/>
  <c r="EH48" i="2"/>
  <c r="EG48" i="2"/>
  <c r="EG93" i="2"/>
  <c r="EF48" i="2"/>
  <c r="EF93" i="2"/>
  <c r="EE48" i="2"/>
  <c r="EE93" i="2" s="1"/>
  <c r="ED48" i="2"/>
  <c r="ED93" i="2" s="1"/>
  <c r="EC48" i="2"/>
  <c r="DW48" i="2"/>
  <c r="DW93" i="2"/>
  <c r="DQ48" i="2"/>
  <c r="DQ93" i="2" s="1"/>
  <c r="DP48" i="2"/>
  <c r="DP93" i="2" s="1"/>
  <c r="DO48" i="2"/>
  <c r="DM48" i="2"/>
  <c r="DM93" i="2"/>
  <c r="DL48" i="2"/>
  <c r="DL93" i="2" s="1"/>
  <c r="DL98" i="2" s="1"/>
  <c r="DJ48" i="2"/>
  <c r="DG48" i="2"/>
  <c r="DD48" i="2"/>
  <c r="DB48" i="2"/>
  <c r="DB93" i="2" s="1"/>
  <c r="CZ48" i="2"/>
  <c r="CZ93" i="2" s="1"/>
  <c r="CY48" i="2"/>
  <c r="CY93" i="2"/>
  <c r="CW48" i="2"/>
  <c r="CW93" i="2" s="1"/>
  <c r="CV48" i="2"/>
  <c r="CV93" i="2"/>
  <c r="CV98" i="2" s="1"/>
  <c r="CU48" i="2"/>
  <c r="CU93" i="2"/>
  <c r="CS48" i="2"/>
  <c r="CQ48" i="2"/>
  <c r="CQ93" i="2" s="1"/>
  <c r="CP48" i="2"/>
  <c r="CP93" i="2"/>
  <c r="CP98" i="2" s="1"/>
  <c r="CO48" i="2"/>
  <c r="CN48" i="2"/>
  <c r="CN93" i="2" s="1"/>
  <c r="CM48" i="2"/>
  <c r="CM93" i="2" s="1"/>
  <c r="CL48" i="2"/>
  <c r="CL93" i="2"/>
  <c r="CH48" i="2"/>
  <c r="CH93" i="2"/>
  <c r="CG48" i="2"/>
  <c r="CF48" i="2"/>
  <c r="CD48" i="2"/>
  <c r="CD93" i="2" s="1"/>
  <c r="CD98" i="2" s="1"/>
  <c r="CA48" i="2"/>
  <c r="CA93" i="2"/>
  <c r="BY48" i="2"/>
  <c r="BY93" i="2" s="1"/>
  <c r="BX48" i="2"/>
  <c r="BX93" i="2" s="1"/>
  <c r="BW48" i="2"/>
  <c r="BW93" i="2" s="1"/>
  <c r="BP48" i="2"/>
  <c r="BP93" i="2"/>
  <c r="BP98" i="2" s="1"/>
  <c r="BO48" i="2"/>
  <c r="BO93" i="2" s="1"/>
  <c r="BN48" i="2"/>
  <c r="BN93" i="2" s="1"/>
  <c r="BM48" i="2"/>
  <c r="BM93" i="2" s="1"/>
  <c r="BM98" i="2" s="1"/>
  <c r="BL48" i="2"/>
  <c r="BL93" i="2" s="1"/>
  <c r="BK48" i="2"/>
  <c r="BK93" i="2" s="1"/>
  <c r="BI48" i="2"/>
  <c r="BI93" i="2"/>
  <c r="BC48" i="2"/>
  <c r="BC93" i="2"/>
  <c r="BB48" i="2"/>
  <c r="AX48" i="2"/>
  <c r="AW48" i="2"/>
  <c r="AV48" i="2"/>
  <c r="AV91" i="2" s="1"/>
  <c r="AU48" i="2"/>
  <c r="AU93" i="2"/>
  <c r="AQ48" i="2"/>
  <c r="AQ91" i="2"/>
  <c r="AP48" i="2"/>
  <c r="AP93" i="2" s="1"/>
  <c r="AA48" i="2"/>
  <c r="Z48" i="2"/>
  <c r="Z93" i="2" s="1"/>
  <c r="X48" i="2"/>
  <c r="X93" i="2" s="1"/>
  <c r="W48" i="2"/>
  <c r="V48" i="2"/>
  <c r="V93" i="2" s="1"/>
  <c r="V98" i="2" s="1"/>
  <c r="S48" i="2"/>
  <c r="S93" i="2"/>
  <c r="S98" i="2" s="1"/>
  <c r="R48" i="2"/>
  <c r="O48" i="2"/>
  <c r="O93" i="2" s="1"/>
  <c r="N48" i="2"/>
  <c r="N93" i="2"/>
  <c r="M48" i="2"/>
  <c r="M93" i="2" s="1"/>
  <c r="K48" i="2"/>
  <c r="K93" i="2" s="1"/>
  <c r="J48" i="2"/>
  <c r="GH47" i="2"/>
  <c r="FE47" i="2"/>
  <c r="FD47" i="2"/>
  <c r="FB47" i="2"/>
  <c r="FB93" i="2"/>
  <c r="EO47" i="2"/>
  <c r="EO93" i="2"/>
  <c r="EO98" i="2" s="1"/>
  <c r="EL47" i="2"/>
  <c r="EK47" i="2"/>
  <c r="EI47" i="2"/>
  <c r="EI93" i="2"/>
  <c r="EA47" i="2"/>
  <c r="EA93" i="2"/>
  <c r="EA98" i="2" s="1"/>
  <c r="DX47" i="2"/>
  <c r="DX93" i="2" s="1"/>
  <c r="DU47" i="2"/>
  <c r="DU93" i="2"/>
  <c r="EC46" i="2"/>
  <c r="DM46" i="2"/>
  <c r="DM96" i="2" s="1"/>
  <c r="DL46" i="2"/>
  <c r="DL91" i="2" s="1"/>
  <c r="DJ46" i="2"/>
  <c r="DG46" i="2"/>
  <c r="DG96" i="2" s="1"/>
  <c r="EK45" i="2"/>
  <c r="EC44" i="2"/>
  <c r="EC96" i="2" s="1"/>
  <c r="DP44" i="2"/>
  <c r="DP96" i="2" s="1"/>
  <c r="DM44" i="2"/>
  <c r="DL44" i="2"/>
  <c r="DL96" i="2" s="1"/>
  <c r="CY44" i="2"/>
  <c r="CY96" i="2"/>
  <c r="CV44" i="2"/>
  <c r="CV96" i="2" s="1"/>
  <c r="CU44" i="2"/>
  <c r="CU96" i="2"/>
  <c r="CS44" i="2"/>
  <c r="CS96" i="2" s="1"/>
  <c r="CQ44" i="2"/>
  <c r="CQ96" i="2" s="1"/>
  <c r="CN44" i="2"/>
  <c r="CN96" i="2"/>
  <c r="CM44" i="2"/>
  <c r="CM96" i="2"/>
  <c r="CL44" i="2"/>
  <c r="CL96" i="2" s="1"/>
  <c r="CA44" i="2"/>
  <c r="CA96" i="2"/>
  <c r="BP44" i="2"/>
  <c r="BP96" i="2"/>
  <c r="BN44" i="2"/>
  <c r="BN96" i="2" s="1"/>
  <c r="BL44" i="2"/>
  <c r="EX42" i="2"/>
  <c r="ES42" i="2"/>
  <c r="ES94" i="2" s="1"/>
  <c r="EP42" i="2"/>
  <c r="EN42" i="2"/>
  <c r="EN94" i="2" s="1"/>
  <c r="EM42" i="2"/>
  <c r="EC42" i="2"/>
  <c r="EC94" i="2"/>
  <c r="DW42" i="2"/>
  <c r="DW94" i="2" s="1"/>
  <c r="CO42" i="2"/>
  <c r="CO91" i="2" s="1"/>
  <c r="CN42" i="2"/>
  <c r="CN91" i="2" s="1"/>
  <c r="CM42" i="2"/>
  <c r="CL42" i="2"/>
  <c r="CL91" i="2" s="1"/>
  <c r="AI42" i="2"/>
  <c r="AI94" i="2"/>
  <c r="AH42" i="2"/>
  <c r="AH94" i="2" s="1"/>
  <c r="AD42" i="2"/>
  <c r="AC42" i="2"/>
  <c r="W42" i="2"/>
  <c r="GH42" i="2" s="1"/>
  <c r="S42" i="2"/>
  <c r="S94" i="2"/>
  <c r="R42" i="2"/>
  <c r="R94" i="2" s="1"/>
  <c r="N42" i="2"/>
  <c r="EL41" i="2"/>
  <c r="EK41" i="2"/>
  <c r="EB41" i="2"/>
  <c r="EB94" i="2" s="1"/>
  <c r="DY41" i="2"/>
  <c r="GH41" i="2"/>
  <c r="DX41" i="2"/>
  <c r="DU41" i="2"/>
  <c r="EQ39" i="2"/>
  <c r="EJ39" i="2"/>
  <c r="EJ94" i="2" s="1"/>
  <c r="DQ39" i="2"/>
  <c r="DI39" i="2"/>
  <c r="CW39" i="2"/>
  <c r="CW94" i="2" s="1"/>
  <c r="CH39" i="2"/>
  <c r="CA39" i="2"/>
  <c r="BP39" i="2"/>
  <c r="ER38" i="2"/>
  <c r="ER94" i="2" s="1"/>
  <c r="DE38" i="2"/>
  <c r="DE94" i="2" s="1"/>
  <c r="DA38" i="2"/>
  <c r="DA94" i="2"/>
  <c r="Y38" i="2"/>
  <c r="Y94" i="2"/>
  <c r="FF37" i="2"/>
  <c r="EY37" i="2"/>
  <c r="EX37" i="2"/>
  <c r="EU37" i="2"/>
  <c r="ET37" i="2"/>
  <c r="ES37" i="2"/>
  <c r="EQ37" i="2"/>
  <c r="EQ94" i="2"/>
  <c r="EP37" i="2"/>
  <c r="EN37" i="2"/>
  <c r="EM37" i="2"/>
  <c r="EE37" i="2"/>
  <c r="EE94" i="2"/>
  <c r="DQ37" i="2"/>
  <c r="DP37" i="2"/>
  <c r="DP94" i="2" s="1"/>
  <c r="DO37" i="2"/>
  <c r="DO94" i="2"/>
  <c r="DO98" i="2" s="1"/>
  <c r="DM37" i="2"/>
  <c r="DL37" i="2"/>
  <c r="DJ37" i="2"/>
  <c r="DJ94" i="2"/>
  <c r="DI37" i="2"/>
  <c r="DI94" i="2" s="1"/>
  <c r="DI98" i="2" s="1"/>
  <c r="DD37" i="2"/>
  <c r="DD94" i="2"/>
  <c r="DB37" i="2"/>
  <c r="CZ37" i="2"/>
  <c r="CW37" i="2"/>
  <c r="CV37" i="2"/>
  <c r="CU37" i="2"/>
  <c r="CU94" i="2" s="1"/>
  <c r="CS37" i="2"/>
  <c r="CQ37" i="2"/>
  <c r="CQ94" i="2" s="1"/>
  <c r="CP37" i="2"/>
  <c r="CP94" i="2"/>
  <c r="CO37" i="2"/>
  <c r="CN37" i="2"/>
  <c r="CM37" i="2"/>
  <c r="CL37" i="2"/>
  <c r="CJ37" i="2"/>
  <c r="CJ94" i="2"/>
  <c r="CJ98" i="2" s="1"/>
  <c r="CH37" i="2"/>
  <c r="CH94" i="2" s="1"/>
  <c r="CG37" i="2"/>
  <c r="CG94" i="2"/>
  <c r="CF37" i="2"/>
  <c r="CF94" i="2" s="1"/>
  <c r="CE37" i="2"/>
  <c r="CE94" i="2"/>
  <c r="CA37" i="2"/>
  <c r="CA94" i="2"/>
  <c r="BY37" i="2"/>
  <c r="BP37" i="2"/>
  <c r="BP94" i="2" s="1"/>
  <c r="BO37" i="2"/>
  <c r="BN37" i="2"/>
  <c r="BN94" i="2" s="1"/>
  <c r="BM37" i="2"/>
  <c r="BM94" i="2" s="1"/>
  <c r="BL37" i="2"/>
  <c r="BL94" i="2" s="1"/>
  <c r="BK37" i="2"/>
  <c r="BK94" i="2"/>
  <c r="BK98" i="2" s="1"/>
  <c r="BC37" i="2"/>
  <c r="BB37" i="2"/>
  <c r="BB94" i="2" s="1"/>
  <c r="BA37" i="2"/>
  <c r="AZ37" i="2"/>
  <c r="AX37" i="2"/>
  <c r="AW37" i="2"/>
  <c r="AG37" i="2"/>
  <c r="AG94" i="2"/>
  <c r="AF37" i="2"/>
  <c r="AE37" i="2"/>
  <c r="AE94" i="2" s="1"/>
  <c r="AD37" i="2"/>
  <c r="AC37" i="2"/>
  <c r="AA37" i="2"/>
  <c r="AA94" i="2"/>
  <c r="Z37" i="2"/>
  <c r="FB36" i="2"/>
  <c r="FB94" i="2" s="1"/>
  <c r="FB91" i="2"/>
  <c r="EW36" i="2"/>
  <c r="EW94" i="2" s="1"/>
  <c r="EO36" i="2"/>
  <c r="EO94" i="2"/>
  <c r="EL36" i="2"/>
  <c r="EK36" i="2"/>
  <c r="EB36" i="2"/>
  <c r="DY36" i="2"/>
  <c r="DY94" i="2" s="1"/>
  <c r="DX36" i="2"/>
  <c r="DX94" i="2" s="1"/>
  <c r="FF35" i="2"/>
  <c r="FF94" i="2" s="1"/>
  <c r="EY35" i="2"/>
  <c r="EY94" i="2"/>
  <c r="EX35" i="2"/>
  <c r="EU35" i="2"/>
  <c r="EU94" i="2"/>
  <c r="ET35" i="2"/>
  <c r="ET94" i="2"/>
  <c r="ES35" i="2"/>
  <c r="EM35" i="2"/>
  <c r="EH35" i="2"/>
  <c r="EH94" i="2"/>
  <c r="EH98" i="2" s="1"/>
  <c r="DQ35" i="2"/>
  <c r="DQ91" i="2" s="1"/>
  <c r="DM35" i="2"/>
  <c r="DM94" i="2"/>
  <c r="DL35" i="2"/>
  <c r="DL94" i="2" s="1"/>
  <c r="DB35" i="2"/>
  <c r="DB94" i="2"/>
  <c r="CV35" i="2"/>
  <c r="CV94" i="2"/>
  <c r="CS35" i="2"/>
  <c r="BC35" i="2"/>
  <c r="BC94" i="2" s="1"/>
  <c r="BB35" i="2"/>
  <c r="BA35" i="2"/>
  <c r="BA94" i="2" s="1"/>
  <c r="AZ35" i="2"/>
  <c r="AZ94" i="2" s="1"/>
  <c r="AZ98" i="2" s="1"/>
  <c r="AX35" i="2"/>
  <c r="AW35" i="2"/>
  <c r="AW94" i="2" s="1"/>
  <c r="AD35" i="2"/>
  <c r="AD94" i="2" s="1"/>
  <c r="FE34" i="2"/>
  <c r="FE94" i="2"/>
  <c r="EL34" i="2"/>
  <c r="EK34" i="2"/>
  <c r="EK94" i="2" s="1"/>
  <c r="ER33" i="2"/>
  <c r="ER95" i="2" s="1"/>
  <c r="DE33" i="2"/>
  <c r="DE95" i="2" s="1"/>
  <c r="DE98" i="2" s="1"/>
  <c r="DA33" i="2"/>
  <c r="DA95" i="2" s="1"/>
  <c r="U33" i="2"/>
  <c r="U95" i="2" s="1"/>
  <c r="T33" i="2"/>
  <c r="T91" i="2"/>
  <c r="EU32" i="2"/>
  <c r="EU95" i="2" s="1"/>
  <c r="ET32" i="2"/>
  <c r="ET95" i="2" s="1"/>
  <c r="ES32" i="2"/>
  <c r="ES95" i="2" s="1"/>
  <c r="EQ32" i="2"/>
  <c r="EQ95" i="2"/>
  <c r="EP32" i="2"/>
  <c r="EP95" i="2"/>
  <c r="EM32" i="2"/>
  <c r="EM95" i="2" s="1"/>
  <c r="EF32" i="2"/>
  <c r="EF95" i="2" s="1"/>
  <c r="EC32" i="2"/>
  <c r="EC95" i="2" s="1"/>
  <c r="DO32" i="2"/>
  <c r="DO95" i="2"/>
  <c r="DM32" i="2"/>
  <c r="DM95" i="2" s="1"/>
  <c r="DH32" i="2"/>
  <c r="DG32" i="2"/>
  <c r="DG95" i="2" s="1"/>
  <c r="DB32" i="2"/>
  <c r="CZ32" i="2"/>
  <c r="CZ95" i="2" s="1"/>
  <c r="CY32" i="2"/>
  <c r="CY95" i="2"/>
  <c r="CW32" i="2"/>
  <c r="CV32" i="2"/>
  <c r="CV95" i="2" s="1"/>
  <c r="CU32" i="2"/>
  <c r="CU95" i="2"/>
  <c r="CS32" i="2"/>
  <c r="CS95" i="2"/>
  <c r="CQ32" i="2"/>
  <c r="CQ95" i="2" s="1"/>
  <c r="CO32" i="2"/>
  <c r="CO95" i="2" s="1"/>
  <c r="CN32" i="2"/>
  <c r="CN95" i="2"/>
  <c r="CH32" i="2"/>
  <c r="CH91" i="2" s="1"/>
  <c r="CH95" i="2"/>
  <c r="CG32" i="2"/>
  <c r="CG95" i="2" s="1"/>
  <c r="CF32" i="2"/>
  <c r="CF95" i="2" s="1"/>
  <c r="CE32" i="2"/>
  <c r="CE95" i="2"/>
  <c r="CA32" i="2"/>
  <c r="CA95" i="2"/>
  <c r="BY32" i="2"/>
  <c r="BW32" i="2"/>
  <c r="BW95" i="2" s="1"/>
  <c r="BB32" i="2"/>
  <c r="BB95" i="2"/>
  <c r="BA32" i="2"/>
  <c r="BA95" i="2" s="1"/>
  <c r="AX32" i="2"/>
  <c r="AX95" i="2" s="1"/>
  <c r="X32" i="2"/>
  <c r="X95" i="2" s="1"/>
  <c r="W32" i="2"/>
  <c r="W95" i="2"/>
  <c r="V32" i="2"/>
  <c r="V95" i="2" s="1"/>
  <c r="S32" i="2"/>
  <c r="S95" i="2"/>
  <c r="R32" i="2"/>
  <c r="R95" i="2"/>
  <c r="N32" i="2"/>
  <c r="N95" i="2" s="1"/>
  <c r="M32" i="2"/>
  <c r="M95" i="2"/>
  <c r="EO31" i="2"/>
  <c r="EO95" i="2" s="1"/>
  <c r="EL31" i="2"/>
  <c r="EL95" i="2" s="1"/>
  <c r="EK31" i="2"/>
  <c r="EK95" i="2" s="1"/>
  <c r="DU31" i="2"/>
  <c r="GH31" i="2" s="1"/>
  <c r="DU95" i="2"/>
  <c r="FE30" i="2"/>
  <c r="GH30" i="2"/>
  <c r="EP30" i="2"/>
  <c r="FE29" i="2"/>
  <c r="EP29" i="2"/>
  <c r="GH29" i="2" s="1"/>
  <c r="AP28" i="2"/>
  <c r="GH28" i="2"/>
  <c r="FF27" i="2"/>
  <c r="FE27" i="2"/>
  <c r="EY27" i="2"/>
  <c r="EP27" i="2"/>
  <c r="EO27" i="2"/>
  <c r="EH27" i="2"/>
  <c r="EC27" i="2"/>
  <c r="S27" i="2"/>
  <c r="O27" i="2"/>
  <c r="GH27" i="2" s="1"/>
  <c r="FI26" i="2"/>
  <c r="FE26" i="2"/>
  <c r="EP26" i="2"/>
  <c r="DU26" i="2"/>
  <c r="GH26" i="2"/>
  <c r="FF25" i="2"/>
  <c r="EZ25" i="2"/>
  <c r="EY25" i="2"/>
  <c r="EX25" i="2"/>
  <c r="ET25" i="2"/>
  <c r="ES25" i="2"/>
  <c r="EQ25" i="2"/>
  <c r="EN25" i="2"/>
  <c r="EM25" i="2"/>
  <c r="EJ25" i="2"/>
  <c r="EJ91" i="2" s="1"/>
  <c r="EH25" i="2"/>
  <c r="EF25" i="2"/>
  <c r="EE25" i="2"/>
  <c r="EC25" i="2"/>
  <c r="DW25" i="2"/>
  <c r="AZ25" i="2"/>
  <c r="FE24" i="2"/>
  <c r="FE91" i="2" s="1"/>
  <c r="FD24" i="2"/>
  <c r="GH24" i="2" s="1"/>
  <c r="EO24" i="2"/>
  <c r="EK24" i="2"/>
  <c r="EB24" i="2"/>
  <c r="DU24" i="2"/>
  <c r="FF23" i="2"/>
  <c r="EU23" i="2"/>
  <c r="ET23" i="2"/>
  <c r="GH23" i="2" s="1"/>
  <c r="EP23" i="2"/>
  <c r="EO22" i="2"/>
  <c r="EK22" i="2"/>
  <c r="GH22" i="2" s="1"/>
  <c r="EP21" i="2"/>
  <c r="EN21" i="2"/>
  <c r="EH21" i="2"/>
  <c r="EE21" i="2"/>
  <c r="EE91" i="2" s="1"/>
  <c r="DW21" i="2"/>
  <c r="AM21" i="2"/>
  <c r="AM91" i="2"/>
  <c r="AK21" i="2"/>
  <c r="AJ21" i="2"/>
  <c r="AJ91" i="2" s="1"/>
  <c r="AI21" i="2"/>
  <c r="AH21" i="2"/>
  <c r="AH91" i="2"/>
  <c r="AD21" i="2"/>
  <c r="AC21" i="2"/>
  <c r="X21" i="2"/>
  <c r="W21" i="2"/>
  <c r="V21" i="2"/>
  <c r="S21" i="2"/>
  <c r="S91" i="2" s="1"/>
  <c r="R21" i="2"/>
  <c r="O21" i="2"/>
  <c r="N21" i="2"/>
  <c r="M21" i="2"/>
  <c r="K21" i="2"/>
  <c r="J21" i="2"/>
  <c r="GH21" i="2" s="1"/>
  <c r="FD20" i="2"/>
  <c r="EK20" i="2"/>
  <c r="EB20" i="2"/>
  <c r="GH20" i="2" s="1"/>
  <c r="FF19" i="2"/>
  <c r="EY19" i="2"/>
  <c r="EX19" i="2"/>
  <c r="EU19" i="2"/>
  <c r="ET19" i="2"/>
  <c r="EQ19" i="2"/>
  <c r="EP19" i="2"/>
  <c r="GH19" i="2"/>
  <c r="EO19" i="2"/>
  <c r="EP18" i="2"/>
  <c r="EO18" i="2"/>
  <c r="EL18" i="2"/>
  <c r="EK18" i="2"/>
  <c r="GH18" i="2" s="1"/>
  <c r="U17" i="2"/>
  <c r="Q17" i="2"/>
  <c r="Q91" i="2" s="1"/>
  <c r="L17" i="2"/>
  <c r="L91" i="2"/>
  <c r="H17" i="2"/>
  <c r="H91" i="2" s="1"/>
  <c r="FF16" i="2"/>
  <c r="FF91" i="2" s="1"/>
  <c r="FE16" i="2"/>
  <c r="EZ16" i="2"/>
  <c r="EY16" i="2"/>
  <c r="EX16" i="2"/>
  <c r="ET16" i="2"/>
  <c r="ES16" i="2"/>
  <c r="EQ16" i="2"/>
  <c r="EP16" i="2"/>
  <c r="EO16" i="2"/>
  <c r="EN16" i="2"/>
  <c r="EN91" i="2" s="1"/>
  <c r="EM16" i="2"/>
  <c r="EJ16" i="2"/>
  <c r="EH16" i="2"/>
  <c r="EG16" i="2"/>
  <c r="EF16" i="2"/>
  <c r="EE16" i="2"/>
  <c r="ED16" i="2"/>
  <c r="ED91" i="2" s="1"/>
  <c r="EC16" i="2"/>
  <c r="AO16" i="2"/>
  <c r="AO91" i="2"/>
  <c r="AN16" i="2"/>
  <c r="AN91" i="2" s="1"/>
  <c r="AL16" i="2"/>
  <c r="AL91" i="2"/>
  <c r="AK16" i="2"/>
  <c r="AK91" i="2"/>
  <c r="AJ16" i="2"/>
  <c r="AG16" i="2"/>
  <c r="AG91" i="2" s="1"/>
  <c r="AF16" i="2"/>
  <c r="AF91" i="2" s="1"/>
  <c r="AE16" i="2"/>
  <c r="AD16" i="2"/>
  <c r="AC16" i="2"/>
  <c r="X16" i="2"/>
  <c r="W16" i="2"/>
  <c r="V16" i="2"/>
  <c r="S16" i="2"/>
  <c r="R16" i="2"/>
  <c r="O16" i="2"/>
  <c r="N16" i="2"/>
  <c r="M16" i="2"/>
  <c r="K16" i="2"/>
  <c r="K91" i="2" s="1"/>
  <c r="J16" i="2"/>
  <c r="GH16" i="2" s="1"/>
  <c r="FE15" i="2"/>
  <c r="FD15" i="2"/>
  <c r="ES15" i="2"/>
  <c r="EP15" i="2"/>
  <c r="EO15" i="2"/>
  <c r="EL15" i="2"/>
  <c r="EK15" i="2"/>
  <c r="EI15" i="2"/>
  <c r="EB15" i="2"/>
  <c r="GH15" i="2" s="1"/>
  <c r="EX14" i="2"/>
  <c r="EX91" i="2" s="1"/>
  <c r="EU14" i="2"/>
  <c r="EU91" i="2" s="1"/>
  <c r="EQ14" i="2"/>
  <c r="EP14" i="2"/>
  <c r="EO13" i="2"/>
  <c r="EL13" i="2"/>
  <c r="EL91" i="2" s="1"/>
  <c r="EK13" i="2"/>
  <c r="GH13" i="2"/>
  <c r="FJ12" i="2"/>
  <c r="GH12" i="2" s="1"/>
  <c r="FO11" i="2"/>
  <c r="FO91" i="2" s="1"/>
  <c r="FF11" i="2"/>
  <c r="FE11" i="2"/>
  <c r="AP11" i="2"/>
  <c r="AP91" i="2"/>
  <c r="FT10" i="2"/>
  <c r="FT91" i="2" s="1"/>
  <c r="FR10" i="2"/>
  <c r="FQ10" i="2"/>
  <c r="FP10" i="2"/>
  <c r="FM10" i="2"/>
  <c r="FM91" i="2"/>
  <c r="FL10" i="2"/>
  <c r="FI10" i="2"/>
  <c r="FI91" i="2" s="1"/>
  <c r="FH10" i="2"/>
  <c r="FH91" i="2"/>
  <c r="FD10" i="2"/>
  <c r="FD91" i="2"/>
  <c r="DO9" i="2"/>
  <c r="DO91" i="2" s="1"/>
  <c r="DN9" i="2"/>
  <c r="DN91" i="2"/>
  <c r="CF9" i="2"/>
  <c r="CF91" i="2" s="1"/>
  <c r="BQ9" i="2"/>
  <c r="BQ91" i="2"/>
  <c r="BP9" i="2"/>
  <c r="BP91" i="2"/>
  <c r="BF9" i="2"/>
  <c r="BF91" i="2"/>
  <c r="AU9" i="2"/>
  <c r="FU8" i="2"/>
  <c r="FU91" i="2"/>
  <c r="FC8" i="2"/>
  <c r="EZ8" i="2"/>
  <c r="EY8" i="2"/>
  <c r="EY91" i="2" s="1"/>
  <c r="EV8" i="2"/>
  <c r="ET8" i="2"/>
  <c r="ET91" i="2"/>
  <c r="ER8" i="2"/>
  <c r="EQ8" i="2"/>
  <c r="EO8" i="2"/>
  <c r="EO91" i="2"/>
  <c r="EN8" i="2"/>
  <c r="EH8" i="2"/>
  <c r="EH91" i="2" s="1"/>
  <c r="EF8" i="2"/>
  <c r="EC8" i="2"/>
  <c r="EC91" i="2" s="1"/>
  <c r="DZ8" i="2"/>
  <c r="DZ91" i="2"/>
  <c r="DW8" i="2"/>
  <c r="DW91" i="2"/>
  <c r="DS8" i="2"/>
  <c r="DS91" i="2" s="1"/>
  <c r="DQ8" i="2"/>
  <c r="DL8" i="2"/>
  <c r="DJ8" i="2"/>
  <c r="DJ91" i="2" s="1"/>
  <c r="DI8" i="2"/>
  <c r="DI91" i="2" s="1"/>
  <c r="DH8" i="2"/>
  <c r="DH91" i="2"/>
  <c r="DG8" i="2"/>
  <c r="DE8" i="2"/>
  <c r="DD8" i="2"/>
  <c r="DB8" i="2"/>
  <c r="DB91" i="2" s="1"/>
  <c r="DA8" i="2"/>
  <c r="CZ8" i="2"/>
  <c r="CY8" i="2"/>
  <c r="CW8" i="2"/>
  <c r="CV8" i="2"/>
  <c r="CV91" i="2" s="1"/>
  <c r="CU8" i="2"/>
  <c r="CS8" i="2"/>
  <c r="CS91" i="2" s="1"/>
  <c r="CQ8" i="2"/>
  <c r="CP8" i="2"/>
  <c r="CP91" i="2" s="1"/>
  <c r="CO8" i="2"/>
  <c r="CN8" i="2"/>
  <c r="CM8" i="2"/>
  <c r="CM91" i="2" s="1"/>
  <c r="CL8" i="2"/>
  <c r="CJ8" i="2"/>
  <c r="CJ91" i="2"/>
  <c r="CH8" i="2"/>
  <c r="CG8" i="2"/>
  <c r="CE8" i="2"/>
  <c r="CE91" i="2" s="1"/>
  <c r="CD8" i="2"/>
  <c r="CD91" i="2" s="1"/>
  <c r="CA8" i="2"/>
  <c r="CA91" i="2" s="1"/>
  <c r="BY8" i="2"/>
  <c r="BY91" i="2" s="1"/>
  <c r="BX8" i="2"/>
  <c r="BW8" i="2"/>
  <c r="BO8" i="2"/>
  <c r="BN8" i="2"/>
  <c r="BN91" i="2" s="1"/>
  <c r="BM8" i="2"/>
  <c r="BM91" i="2" s="1"/>
  <c r="BL8" i="2"/>
  <c r="BL91" i="2"/>
  <c r="BK8" i="2"/>
  <c r="BK91" i="2"/>
  <c r="BJ8" i="2"/>
  <c r="BJ91" i="2"/>
  <c r="BI8" i="2"/>
  <c r="BD8" i="2"/>
  <c r="BD91" i="2" s="1"/>
  <c r="BC8" i="2"/>
  <c r="BB8" i="2"/>
  <c r="BB91" i="2"/>
  <c r="BA8" i="2"/>
  <c r="BA91" i="2" s="1"/>
  <c r="AZ8" i="2"/>
  <c r="AZ91" i="2"/>
  <c r="AX8" i="2"/>
  <c r="AW8" i="2"/>
  <c r="AV8" i="2"/>
  <c r="AR8" i="2"/>
  <c r="AR91" i="2"/>
  <c r="AI8" i="2"/>
  <c r="AI91" i="2" s="1"/>
  <c r="AF8" i="2"/>
  <c r="AE8" i="2"/>
  <c r="AE91" i="2" s="1"/>
  <c r="AD8" i="2"/>
  <c r="AC8" i="2"/>
  <c r="AC91" i="2" s="1"/>
  <c r="AB8" i="2"/>
  <c r="AB91" i="2"/>
  <c r="AA8" i="2"/>
  <c r="Z8" i="2"/>
  <c r="Y8" i="2"/>
  <c r="X8" i="2"/>
  <c r="X91" i="2"/>
  <c r="W8" i="2"/>
  <c r="V8" i="2"/>
  <c r="S8" i="2"/>
  <c r="R8" i="2"/>
  <c r="O8" i="2"/>
  <c r="O91" i="2" s="1"/>
  <c r="N8" i="2"/>
  <c r="M8" i="2"/>
  <c r="M91" i="2" s="1"/>
  <c r="K8" i="2"/>
  <c r="J8" i="2"/>
  <c r="GH8" i="2" s="1"/>
  <c r="FC7" i="2"/>
  <c r="FC91" i="2" s="1"/>
  <c r="EX7" i="2"/>
  <c r="EV7" i="2"/>
  <c r="ES7" i="2"/>
  <c r="ES91" i="2" s="1"/>
  <c r="EP7" i="2"/>
  <c r="EP91" i="2" s="1"/>
  <c r="EM7" i="2"/>
  <c r="EM91" i="2" s="1"/>
  <c r="EL7" i="2"/>
  <c r="EK7" i="2"/>
  <c r="EJ7" i="2"/>
  <c r="EG7" i="2"/>
  <c r="EG91" i="2" s="1"/>
  <c r="EA7" i="2"/>
  <c r="EA91" i="2" s="1"/>
  <c r="DY7" i="2"/>
  <c r="DY91" i="2"/>
  <c r="DX7" i="2"/>
  <c r="DU7" i="2"/>
  <c r="DP7" i="2"/>
  <c r="DM7" i="2"/>
  <c r="DM91" i="2" s="1"/>
  <c r="FT98" i="2"/>
  <c r="DY98" i="2"/>
  <c r="DZ98" i="2"/>
  <c r="FM98" i="2"/>
  <c r="AI98" i="2"/>
  <c r="EW91" i="2"/>
  <c r="EF96" i="2"/>
  <c r="CH97" i="2"/>
  <c r="FJ91" i="2"/>
  <c r="DO93" i="2"/>
  <c r="EY93" i="2"/>
  <c r="EY98" i="2" s="1"/>
  <c r="FG97" i="2"/>
  <c r="GH37" i="2"/>
  <c r="GH45" i="2"/>
  <c r="FA93" i="2"/>
  <c r="BY95" i="2"/>
  <c r="CW95" i="2"/>
  <c r="GH58" i="2"/>
  <c r="EG94" i="2"/>
  <c r="GH52" i="2"/>
  <c r="GH64" i="2"/>
  <c r="T95" i="2"/>
  <c r="T98" i="2" s="1"/>
  <c r="DE97" i="2"/>
  <c r="AQ93" i="2"/>
  <c r="GH34" i="2"/>
  <c r="EG98" i="2"/>
  <c r="CH98" i="2" l="1"/>
  <c r="DM98" i="2"/>
  <c r="CQ98" i="2"/>
  <c r="CE98" i="2"/>
  <c r="BY98" i="2"/>
  <c r="CZ98" i="2"/>
  <c r="BB98" i="2"/>
  <c r="DP98" i="2"/>
  <c r="Z85" i="1"/>
  <c r="GU69" i="1"/>
  <c r="EX86" i="1"/>
  <c r="GH36" i="2"/>
  <c r="GH17" i="2"/>
  <c r="J91" i="2"/>
  <c r="GD91" i="2" s="1"/>
  <c r="BI91" i="2"/>
  <c r="DD91" i="2"/>
  <c r="FL91" i="2"/>
  <c r="U91" i="2"/>
  <c r="GH32" i="2"/>
  <c r="DB95" i="2"/>
  <c r="DB98" i="2" s="1"/>
  <c r="CS94" i="2"/>
  <c r="CS98" i="2" s="1"/>
  <c r="DQ94" i="2"/>
  <c r="DQ98" i="2" s="1"/>
  <c r="GH35" i="2"/>
  <c r="AC94" i="2"/>
  <c r="AC98" i="2" s="1"/>
  <c r="W94" i="2"/>
  <c r="W98" i="2" s="1"/>
  <c r="GH48" i="2"/>
  <c r="R93" i="2"/>
  <c r="GD93" i="2" s="1"/>
  <c r="ET93" i="2"/>
  <c r="DA93" i="2"/>
  <c r="DA98" i="2" s="1"/>
  <c r="GH51" i="2"/>
  <c r="GH54" i="2"/>
  <c r="AA97" i="2"/>
  <c r="EC97" i="2"/>
  <c r="Y97" i="2"/>
  <c r="Y98" i="2" s="1"/>
  <c r="GH66" i="2"/>
  <c r="EC93" i="2"/>
  <c r="EU93" i="2"/>
  <c r="GH84" i="2"/>
  <c r="GU51" i="1"/>
  <c r="DP83" i="1"/>
  <c r="EC83" i="1"/>
  <c r="GU66" i="1"/>
  <c r="BN98" i="2"/>
  <c r="GH82" i="2"/>
  <c r="FA83" i="1"/>
  <c r="GU27" i="1"/>
  <c r="DR87" i="1"/>
  <c r="DR83" i="1"/>
  <c r="EX90" i="1"/>
  <c r="GU44" i="1"/>
  <c r="GU48" i="1"/>
  <c r="EA83" i="1"/>
  <c r="CG88" i="1"/>
  <c r="CG83" i="1"/>
  <c r="AU91" i="2"/>
  <c r="GH9" i="2"/>
  <c r="Y91" i="2"/>
  <c r="DE91" i="2"/>
  <c r="BO91" i="2"/>
  <c r="GH25" i="2"/>
  <c r="EX93" i="2"/>
  <c r="EX83" i="1"/>
  <c r="W90" i="1"/>
  <c r="EV83" i="1"/>
  <c r="GU19" i="1"/>
  <c r="ED83" i="1"/>
  <c r="GU37" i="1"/>
  <c r="DC88" i="1"/>
  <c r="DR86" i="1"/>
  <c r="GU46" i="1"/>
  <c r="DC89" i="1"/>
  <c r="GU50" i="1"/>
  <c r="GU56" i="1"/>
  <c r="EW88" i="1"/>
  <c r="EW90" i="1" s="1"/>
  <c r="GW31" i="3"/>
  <c r="GW100" i="3"/>
  <c r="AA115" i="3"/>
  <c r="DL116" i="3"/>
  <c r="DM114" i="3"/>
  <c r="GI68" i="5"/>
  <c r="AD121" i="5"/>
  <c r="AX94" i="2"/>
  <c r="CQ91" i="2"/>
  <c r="GH38" i="2"/>
  <c r="O97" i="2"/>
  <c r="O98" i="2" s="1"/>
  <c r="GH63" i="2"/>
  <c r="EB91" i="2"/>
  <c r="EV91" i="2"/>
  <c r="Z91" i="2"/>
  <c r="DG91" i="2"/>
  <c r="EZ91" i="2"/>
  <c r="EX94" i="2"/>
  <c r="CM94" i="2"/>
  <c r="CM98" i="2" s="1"/>
  <c r="GH44" i="2"/>
  <c r="BL96" i="2"/>
  <c r="EK93" i="2"/>
  <c r="AW93" i="2"/>
  <c r="AW98" i="2" s="1"/>
  <c r="DG93" i="2"/>
  <c r="DG98" i="2" s="1"/>
  <c r="EP93" i="2"/>
  <c r="EP98" i="2" s="1"/>
  <c r="EJ97" i="2"/>
  <c r="EJ98" i="2" s="1"/>
  <c r="GU30" i="1"/>
  <c r="EO83" i="1"/>
  <c r="EW83" i="1"/>
  <c r="GU16" i="1"/>
  <c r="Z86" i="1"/>
  <c r="Z83" i="1"/>
  <c r="BD83" i="1"/>
  <c r="CY91" i="2"/>
  <c r="CL94" i="2"/>
  <c r="CL98" i="2" s="1"/>
  <c r="FF98" i="2"/>
  <c r="GH7" i="2"/>
  <c r="AD91" i="2"/>
  <c r="GH69" i="2"/>
  <c r="GH46" i="2"/>
  <c r="DU91" i="2"/>
  <c r="EQ91" i="2"/>
  <c r="EM94" i="2"/>
  <c r="EM98" i="2" s="1"/>
  <c r="CN94" i="2"/>
  <c r="GH39" i="2"/>
  <c r="DU94" i="2"/>
  <c r="DU98" i="2" s="1"/>
  <c r="N98" i="2"/>
  <c r="CY98" i="2"/>
  <c r="CB98" i="2"/>
  <c r="AI83" i="1"/>
  <c r="FK83" i="1"/>
  <c r="EZ83" i="1"/>
  <c r="K83" i="1"/>
  <c r="DR90" i="1"/>
  <c r="T87" i="1"/>
  <c r="GU31" i="1"/>
  <c r="GU75" i="1"/>
  <c r="BB86" i="1"/>
  <c r="BB90" i="1" s="1"/>
  <c r="GH60" i="2"/>
  <c r="EL97" i="2"/>
  <c r="GH57" i="2"/>
  <c r="CW91" i="2"/>
  <c r="AA93" i="2"/>
  <c r="AA98" i="2" s="1"/>
  <c r="GH33" i="2"/>
  <c r="DP91" i="2"/>
  <c r="BC91" i="2"/>
  <c r="BW91" i="2"/>
  <c r="GH11" i="2"/>
  <c r="DX91" i="2"/>
  <c r="N91" i="2"/>
  <c r="W91" i="2"/>
  <c r="EF91" i="2"/>
  <c r="ER91" i="2"/>
  <c r="EI91" i="2"/>
  <c r="CO94" i="2"/>
  <c r="CF93" i="2"/>
  <c r="CF98" i="2" s="1"/>
  <c r="CN98" i="2"/>
  <c r="GH68" i="2"/>
  <c r="GH77" i="2"/>
  <c r="M83" i="1"/>
  <c r="EU83" i="1"/>
  <c r="FL83" i="1"/>
  <c r="GU38" i="1"/>
  <c r="GU39" i="1"/>
  <c r="EO90" i="1"/>
  <c r="CQ85" i="1"/>
  <c r="CQ90" i="1" s="1"/>
  <c r="ER98" i="2"/>
  <c r="CZ91" i="2"/>
  <c r="EK91" i="2"/>
  <c r="V91" i="2"/>
  <c r="CG91" i="2"/>
  <c r="GH10" i="2"/>
  <c r="AX91" i="2"/>
  <c r="BX91" i="2"/>
  <c r="GH14" i="2"/>
  <c r="CG93" i="2"/>
  <c r="CG98" i="2" s="1"/>
  <c r="U93" i="2"/>
  <c r="EX97" i="2"/>
  <c r="BA98" i="2"/>
  <c r="GH71" i="2"/>
  <c r="GH75" i="2"/>
  <c r="GH81" i="2"/>
  <c r="EV98" i="2"/>
  <c r="Y83" i="1"/>
  <c r="CW83" i="1"/>
  <c r="FY83" i="1"/>
  <c r="AP83" i="1"/>
  <c r="GU11" i="1"/>
  <c r="FC83" i="1"/>
  <c r="CG85" i="1"/>
  <c r="CG90" i="1" s="1"/>
  <c r="DC87" i="1"/>
  <c r="DQ90" i="1"/>
  <c r="CH116" i="3"/>
  <c r="R83" i="1"/>
  <c r="GQ83" i="1" s="1"/>
  <c r="DM116" i="3"/>
  <c r="AC122" i="5"/>
  <c r="GU8" i="1"/>
  <c r="GU72" i="1"/>
  <c r="AA83" i="1"/>
  <c r="DB83" i="1"/>
  <c r="FD83" i="1"/>
  <c r="FR83" i="1"/>
  <c r="EN83" i="1"/>
  <c r="GU17" i="1"/>
  <c r="GU20" i="1"/>
  <c r="FQ85" i="1"/>
  <c r="FQ90" i="1" s="1"/>
  <c r="DG85" i="1"/>
  <c r="DG90" i="1" s="1"/>
  <c r="BB88" i="1"/>
  <c r="CJ85" i="1"/>
  <c r="CJ90" i="1" s="1"/>
  <c r="DS85" i="1"/>
  <c r="GW33" i="3"/>
  <c r="DH116" i="3"/>
  <c r="GU7" i="1"/>
  <c r="BB83" i="1"/>
  <c r="L83" i="1"/>
  <c r="BD85" i="1"/>
  <c r="BD90" i="1" s="1"/>
  <c r="GU40" i="1"/>
  <c r="CL83" i="1"/>
  <c r="GU62" i="1"/>
  <c r="GU65" i="1"/>
  <c r="T90" i="1"/>
  <c r="DE85" i="1"/>
  <c r="DE90" i="1" s="1"/>
  <c r="CB116" i="3"/>
  <c r="CG116" i="3"/>
  <c r="DF90" i="1"/>
  <c r="BC83" i="1"/>
  <c r="CS83" i="1"/>
  <c r="DD83" i="1"/>
  <c r="DV83" i="1"/>
  <c r="FG83" i="1"/>
  <c r="EE90" i="1"/>
  <c r="BE90" i="1"/>
  <c r="CY88" i="1"/>
  <c r="GU88" i="1" s="1"/>
  <c r="EE112" i="3"/>
  <c r="GW35" i="3"/>
  <c r="AF112" i="3"/>
  <c r="GW41" i="3"/>
  <c r="FP111" i="3"/>
  <c r="FP116" i="3" s="1"/>
  <c r="BA114" i="3"/>
  <c r="BA116" i="3" s="1"/>
  <c r="GW96" i="3"/>
  <c r="CN83" i="1"/>
  <c r="CU83" i="1"/>
  <c r="ER83" i="1"/>
  <c r="GU21" i="1"/>
  <c r="DN83" i="1"/>
  <c r="DS88" i="1"/>
  <c r="FH85" i="1"/>
  <c r="FH90" i="1" s="1"/>
  <c r="BQ90" i="1"/>
  <c r="CE85" i="1"/>
  <c r="CE90" i="1" s="1"/>
  <c r="CY85" i="1"/>
  <c r="EG90" i="1"/>
  <c r="GW11" i="3"/>
  <c r="GW27" i="3"/>
  <c r="GW115" i="3"/>
  <c r="CQ116" i="3"/>
  <c r="V116" i="3"/>
  <c r="DG116" i="3"/>
  <c r="DL112" i="3"/>
  <c r="GI119" i="5"/>
  <c r="FV44" i="7"/>
  <c r="FQ112" i="3"/>
  <c r="CU114" i="3"/>
  <c r="GW44" i="3"/>
  <c r="O112" i="3"/>
  <c r="W111" i="3"/>
  <c r="BQ116" i="3"/>
  <c r="GW80" i="3"/>
  <c r="CR114" i="3"/>
  <c r="CS112" i="3"/>
  <c r="CS116" i="3" s="1"/>
  <c r="DJ112" i="3"/>
  <c r="DJ116" i="3" s="1"/>
  <c r="FL119" i="5"/>
  <c r="GI55" i="5"/>
  <c r="GI62" i="5"/>
  <c r="GI120" i="5"/>
  <c r="FH89" i="1"/>
  <c r="K116" i="3"/>
  <c r="CU116" i="3"/>
  <c r="Z111" i="3"/>
  <c r="Z116" i="3" s="1"/>
  <c r="AF116" i="3"/>
  <c r="GW95" i="3"/>
  <c r="GW113" i="3"/>
  <c r="GW77" i="3"/>
  <c r="BT122" i="5"/>
  <c r="EF122" i="5"/>
  <c r="FN122" i="5"/>
  <c r="BO122" i="6"/>
  <c r="BO127" i="6" s="1"/>
  <c r="BO129" i="6" s="1"/>
  <c r="FU59" i="6"/>
  <c r="CZ127" i="6"/>
  <c r="CZ129" i="6" s="1"/>
  <c r="GW30" i="3"/>
  <c r="CZ116" i="3"/>
  <c r="GW50" i="3"/>
  <c r="O116" i="3"/>
  <c r="AA111" i="3"/>
  <c r="AA116" i="3" s="1"/>
  <c r="BG116" i="3"/>
  <c r="BB116" i="3"/>
  <c r="CR116" i="3"/>
  <c r="CW127" i="6"/>
  <c r="CW129" i="6" s="1"/>
  <c r="DF122" i="6"/>
  <c r="FA86" i="1"/>
  <c r="FA90" i="1" s="1"/>
  <c r="GU89" i="1"/>
  <c r="GW20" i="3"/>
  <c r="GW21" i="3"/>
  <c r="GW24" i="3"/>
  <c r="GW25" i="3"/>
  <c r="FO112" i="3"/>
  <c r="FO116" i="3" s="1"/>
  <c r="GW43" i="3"/>
  <c r="GW47" i="3"/>
  <c r="FQ111" i="3"/>
  <c r="FQ116" i="3" s="1"/>
  <c r="DC116" i="3"/>
  <c r="GW56" i="3"/>
  <c r="GW91" i="3"/>
  <c r="AY114" i="3"/>
  <c r="GW114" i="3" s="1"/>
  <c r="GW65" i="3"/>
  <c r="GW88" i="3"/>
  <c r="BO111" i="3"/>
  <c r="BO116" i="3" s="1"/>
  <c r="CL116" i="3"/>
  <c r="EN118" i="5"/>
  <c r="EN122" i="5" s="1"/>
  <c r="EI122" i="5"/>
  <c r="GI56" i="5"/>
  <c r="CF122" i="5"/>
  <c r="CR120" i="5"/>
  <c r="CR122" i="5" s="1"/>
  <c r="GI35" i="5"/>
  <c r="CG118" i="5"/>
  <c r="CG122" i="5" s="1"/>
  <c r="CA122" i="5"/>
  <c r="CL109" i="9"/>
  <c r="CL114" i="9" s="1"/>
  <c r="CO114" i="9"/>
  <c r="CX114" i="9"/>
  <c r="EE114" i="3"/>
  <c r="EE116" i="3" s="1"/>
  <c r="GW93" i="3"/>
  <c r="GW64" i="3"/>
  <c r="GI8" i="5"/>
  <c r="GI10" i="5"/>
  <c r="BE122" i="5"/>
  <c r="GI59" i="5"/>
  <c r="GI110" i="5"/>
  <c r="BP118" i="5"/>
  <c r="BP122" i="5" s="1"/>
  <c r="CQ118" i="5"/>
  <c r="CQ122" i="5" s="1"/>
  <c r="CZ117" i="5"/>
  <c r="CZ122" i="5" s="1"/>
  <c r="DJ119" i="5"/>
  <c r="DJ122" i="5" s="1"/>
  <c r="DL117" i="5"/>
  <c r="DL122" i="5" s="1"/>
  <c r="DL118" i="5"/>
  <c r="FV122" i="5"/>
  <c r="DU127" i="6"/>
  <c r="DU129" i="6" s="1"/>
  <c r="BN127" i="6"/>
  <c r="BN129" i="6" s="1"/>
  <c r="EV127" i="6"/>
  <c r="EV129" i="6" s="1"/>
  <c r="CR122" i="6"/>
  <c r="CR127" i="6" s="1"/>
  <c r="CR129" i="6" s="1"/>
  <c r="FU14" i="6"/>
  <c r="FU10" i="6"/>
  <c r="FU7" i="6"/>
  <c r="CO127" i="6"/>
  <c r="CO129" i="6" s="1"/>
  <c r="FU95" i="6"/>
  <c r="CU106" i="7"/>
  <c r="GW34" i="3"/>
  <c r="GW85" i="3"/>
  <c r="GW98" i="3"/>
  <c r="GI20" i="5"/>
  <c r="BC119" i="5"/>
  <c r="BC117" i="5"/>
  <c r="BC122" i="5" s="1"/>
  <c r="GI44" i="5"/>
  <c r="GI50" i="5"/>
  <c r="FL117" i="5"/>
  <c r="FL122" i="5" s="1"/>
  <c r="GI47" i="5"/>
  <c r="CB122" i="5"/>
  <c r="CB121" i="5"/>
  <c r="GI121" i="5" s="1"/>
  <c r="CX122" i="5"/>
  <c r="A8" i="4"/>
  <c r="ER118" i="5"/>
  <c r="K127" i="6"/>
  <c r="FU77" i="6"/>
  <c r="EH126" i="6"/>
  <c r="GW62" i="3"/>
  <c r="FQ115" i="3"/>
  <c r="GW69" i="3"/>
  <c r="GW36" i="3"/>
  <c r="GI38" i="5"/>
  <c r="BN117" i="5"/>
  <c r="BN122" i="5" s="1"/>
  <c r="FR122" i="5"/>
  <c r="GI89" i="5"/>
  <c r="AB117" i="5"/>
  <c r="AB122" i="5" s="1"/>
  <c r="AU122" i="5"/>
  <c r="BS122" i="5"/>
  <c r="GI86" i="5"/>
  <c r="BQ117" i="5"/>
  <c r="BQ122" i="5" s="1"/>
  <c r="EG127" i="6"/>
  <c r="EG129" i="6" s="1"/>
  <c r="DW127" i="6"/>
  <c r="DW129" i="6" s="1"/>
  <c r="EE123" i="6"/>
  <c r="CZ123" i="6"/>
  <c r="FV86" i="7"/>
  <c r="FV102" i="7"/>
  <c r="FT68" i="9"/>
  <c r="EL114" i="9"/>
  <c r="GW84" i="3"/>
  <c r="GW82" i="3"/>
  <c r="GW68" i="3"/>
  <c r="EW118" i="5"/>
  <c r="EW122" i="5" s="1"/>
  <c r="X117" i="5"/>
  <c r="BO117" i="5"/>
  <c r="BO122" i="5" s="1"/>
  <c r="EM117" i="5"/>
  <c r="EM122" i="5" s="1"/>
  <c r="GI80" i="5"/>
  <c r="GI94" i="5"/>
  <c r="Y118" i="5"/>
  <c r="Y122" i="5" s="1"/>
  <c r="AD118" i="5"/>
  <c r="AD122" i="5" s="1"/>
  <c r="GI71" i="5"/>
  <c r="CS118" i="5"/>
  <c r="CS122" i="5" s="1"/>
  <c r="DJ120" i="5"/>
  <c r="ER117" i="5"/>
  <c r="ER122" i="5" s="1"/>
  <c r="FH121" i="5"/>
  <c r="FH122" i="5" s="1"/>
  <c r="FU65" i="6"/>
  <c r="O127" i="6"/>
  <c r="O129" i="6" s="1"/>
  <c r="FU92" i="6"/>
  <c r="AX127" i="6"/>
  <c r="AX129" i="6" s="1"/>
  <c r="CX124" i="6"/>
  <c r="FU124" i="6" s="1"/>
  <c r="DF125" i="6"/>
  <c r="FH127" i="6"/>
  <c r="FH129" i="6" s="1"/>
  <c r="FV38" i="7"/>
  <c r="AD102" i="7"/>
  <c r="CP106" i="7"/>
  <c r="FT71" i="9"/>
  <c r="GW38" i="3"/>
  <c r="GW46" i="3"/>
  <c r="GW74" i="3"/>
  <c r="CK122" i="5"/>
  <c r="GI53" i="5"/>
  <c r="GI74" i="5"/>
  <c r="I122" i="5"/>
  <c r="BQ120" i="5"/>
  <c r="DB117" i="5"/>
  <c r="DB122" i="5" s="1"/>
  <c r="DM118" i="5"/>
  <c r="DM122" i="5" s="1"/>
  <c r="FU107" i="6"/>
  <c r="FU71" i="6"/>
  <c r="FU47" i="6"/>
  <c r="FU38" i="6"/>
  <c r="FU89" i="6"/>
  <c r="CX123" i="6"/>
  <c r="FU123" i="6" s="1"/>
  <c r="DD127" i="6"/>
  <c r="DD129" i="6" s="1"/>
  <c r="GI100" i="5"/>
  <c r="Y127" i="6"/>
  <c r="Y129" i="6" s="1"/>
  <c r="AU122" i="6"/>
  <c r="AU127" i="6" s="1"/>
  <c r="AU129" i="6" s="1"/>
  <c r="FU101" i="6"/>
  <c r="EE122" i="6"/>
  <c r="EE127" i="6" s="1"/>
  <c r="EE129" i="6" s="1"/>
  <c r="FU83" i="6"/>
  <c r="CJ127" i="6"/>
  <c r="CJ129" i="6" s="1"/>
  <c r="CX125" i="6"/>
  <c r="EQ122" i="6"/>
  <c r="EQ127" i="6" s="1"/>
  <c r="EQ129" i="6" s="1"/>
  <c r="FF127" i="6"/>
  <c r="FF129" i="6" s="1"/>
  <c r="FV20" i="7"/>
  <c r="EP106" i="7"/>
  <c r="FV53" i="7"/>
  <c r="FT97" i="9"/>
  <c r="FT50" i="9"/>
  <c r="H109" i="9"/>
  <c r="K110" i="9"/>
  <c r="FT83" i="9"/>
  <c r="CH127" i="6"/>
  <c r="CH129" i="6" s="1"/>
  <c r="DP123" i="6"/>
  <c r="EH124" i="6"/>
  <c r="EH127" i="6" s="1"/>
  <c r="EH129" i="6" s="1"/>
  <c r="CJ126" i="6"/>
  <c r="FU126" i="6" s="1"/>
  <c r="DG127" i="6"/>
  <c r="DG129" i="6" s="1"/>
  <c r="FD127" i="6"/>
  <c r="FD129" i="6" s="1"/>
  <c r="AD106" i="7"/>
  <c r="DA101" i="7"/>
  <c r="DA106" i="7" s="1"/>
  <c r="FV50" i="7"/>
  <c r="FV71" i="7"/>
  <c r="CJ106" i="7"/>
  <c r="K114" i="9"/>
  <c r="FT74" i="9"/>
  <c r="CI127" i="6"/>
  <c r="CI129" i="6" s="1"/>
  <c r="FU74" i="6"/>
  <c r="T122" i="6"/>
  <c r="T127" i="6" s="1"/>
  <c r="T129" i="6" s="1"/>
  <c r="FU8" i="6"/>
  <c r="BS127" i="6"/>
  <c r="BS129" i="6" s="1"/>
  <c r="FU62" i="6"/>
  <c r="DP122" i="6"/>
  <c r="DP127" i="6" s="1"/>
  <c r="DP129" i="6" s="1"/>
  <c r="BP125" i="6"/>
  <c r="FU125" i="6" s="1"/>
  <c r="DO127" i="6"/>
  <c r="DO129" i="6" s="1"/>
  <c r="EX122" i="6"/>
  <c r="EX127" i="6" s="1"/>
  <c r="EX129" i="6" s="1"/>
  <c r="BO106" i="7"/>
  <c r="Z106" i="7"/>
  <c r="DG114" i="9"/>
  <c r="FT8" i="9"/>
  <c r="BG111" i="9"/>
  <c r="FT111" i="9" s="1"/>
  <c r="DK114" i="9"/>
  <c r="BD127" i="6"/>
  <c r="BD129" i="6" s="1"/>
  <c r="EV126" i="6"/>
  <c r="CZ125" i="6"/>
  <c r="CB122" i="6"/>
  <c r="CB127" i="6" s="1"/>
  <c r="CB129" i="6" s="1"/>
  <c r="FU50" i="6"/>
  <c r="FT23" i="9"/>
  <c r="FT14" i="9"/>
  <c r="FT7" i="9"/>
  <c r="AU114" i="9"/>
  <c r="BG110" i="9"/>
  <c r="BP109" i="9"/>
  <c r="BP114" i="9" s="1"/>
  <c r="FU68" i="6"/>
  <c r="FU86" i="6"/>
  <c r="EW122" i="6"/>
  <c r="EW127" i="6" s="1"/>
  <c r="EW129" i="6" s="1"/>
  <c r="CD122" i="6"/>
  <c r="CD127" i="6" s="1"/>
  <c r="CD129" i="6" s="1"/>
  <c r="CX122" i="6"/>
  <c r="CX127" i="6" s="1"/>
  <c r="CX129" i="6" s="1"/>
  <c r="DG123" i="6"/>
  <c r="Q106" i="7"/>
  <c r="DG106" i="7"/>
  <c r="AN114" i="9"/>
  <c r="CY114" i="9"/>
  <c r="FV47" i="7"/>
  <c r="U103" i="7"/>
  <c r="FV103" i="7" s="1"/>
  <c r="AE106" i="7"/>
  <c r="FT44" i="9"/>
  <c r="I114" i="9"/>
  <c r="Q109" i="9"/>
  <c r="Q114" i="9" s="1"/>
  <c r="BJ109" i="9"/>
  <c r="BJ114" i="9" s="1"/>
  <c r="CP109" i="9"/>
  <c r="CP114" i="9" s="1"/>
  <c r="FV32" i="7"/>
  <c r="AB101" i="7"/>
  <c r="AB106" i="7" s="1"/>
  <c r="FV56" i="7"/>
  <c r="BX106" i="7"/>
  <c r="CI106" i="7"/>
  <c r="FT80" i="9"/>
  <c r="ER114" i="9"/>
  <c r="FT47" i="9"/>
  <c r="FT41" i="9"/>
  <c r="FT17" i="9"/>
  <c r="R114" i="9"/>
  <c r="AS109" i="9"/>
  <c r="AS114" i="9" s="1"/>
  <c r="CA110" i="9"/>
  <c r="CF114" i="9"/>
  <c r="EU114" i="9"/>
  <c r="FV8" i="7"/>
  <c r="DH101" i="7"/>
  <c r="DH106" i="7" s="1"/>
  <c r="U101" i="7"/>
  <c r="FV68" i="7"/>
  <c r="FD106" i="7"/>
  <c r="FT65" i="9"/>
  <c r="FT56" i="9"/>
  <c r="DA109" i="9"/>
  <c r="DA114" i="9" s="1"/>
  <c r="FT35" i="9"/>
  <c r="FT29" i="9"/>
  <c r="CA114" i="9"/>
  <c r="CH109" i="9"/>
  <c r="CH114" i="9" s="1"/>
  <c r="FV11" i="7"/>
  <c r="FV65" i="7"/>
  <c r="FV83" i="7"/>
  <c r="AX101" i="7"/>
  <c r="AX106" i="7" s="1"/>
  <c r="CV101" i="7"/>
  <c r="CV106" i="7" s="1"/>
  <c r="FT62" i="9"/>
  <c r="DQ110" i="9"/>
  <c r="DQ114" i="9" s="1"/>
  <c r="FT86" i="9"/>
  <c r="H106" i="9"/>
  <c r="FT106" i="9" s="1"/>
  <c r="BZ114" i="9"/>
  <c r="CG114" i="9"/>
  <c r="CW114" i="9"/>
  <c r="BC101" i="7"/>
  <c r="BC106" i="7" s="1"/>
  <c r="CS101" i="7"/>
  <c r="CS106" i="7" s="1"/>
  <c r="EM106" i="7"/>
  <c r="FV62" i="7"/>
  <c r="BS106" i="7"/>
  <c r="EZ101" i="7"/>
  <c r="EZ106" i="7" s="1"/>
  <c r="EB114" i="9"/>
  <c r="BY109" i="9"/>
  <c r="BY114" i="9" s="1"/>
  <c r="FT20" i="9"/>
  <c r="FT32" i="9"/>
  <c r="L110" i="9"/>
  <c r="FT110" i="9" s="1"/>
  <c r="DZ109" i="9"/>
  <c r="DZ114" i="9" s="1"/>
  <c r="GI118" i="5" l="1"/>
  <c r="GU86" i="1"/>
  <c r="L114" i="9"/>
  <c r="X122" i="5"/>
  <c r="GI122" i="5" s="1"/>
  <c r="GI117" i="5"/>
  <c r="DF127" i="6"/>
  <c r="DF129" i="6" s="1"/>
  <c r="GW112" i="3"/>
  <c r="GD95" i="2"/>
  <c r="AY116" i="3"/>
  <c r="BP127" i="6"/>
  <c r="BP129" i="6" s="1"/>
  <c r="CY90" i="1"/>
  <c r="DC90" i="1"/>
  <c r="GU87" i="1"/>
  <c r="GD98" i="2"/>
  <c r="GU85" i="1"/>
  <c r="GD94" i="2"/>
  <c r="FU122" i="6"/>
  <c r="FV101" i="7"/>
  <c r="FV106" i="7" s="1"/>
  <c r="Z90" i="1"/>
  <c r="GU90" i="1" s="1"/>
  <c r="H114" i="9"/>
  <c r="FT114" i="9" s="1"/>
  <c r="FT109" i="9"/>
  <c r="W116" i="3"/>
  <c r="GW116" i="3" s="1"/>
  <c r="GW111" i="3"/>
  <c r="GY111" i="3" s="1"/>
  <c r="BG114" i="9"/>
  <c r="GU83" i="1"/>
  <c r="GH91" i="2"/>
  <c r="DS90" i="1"/>
  <c r="GD97" i="2"/>
  <c r="U106" i="7"/>
  <c r="K129" i="6"/>
  <c r="GD96" i="2"/>
  <c r="BL98" i="2"/>
  <c r="FU12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Z5" authorId="0" shapeId="0" xr:uid="{00000000-0006-0000-0200-000001000000}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生管通知改接</t>
        </r>
        <r>
          <rPr>
            <sz val="9"/>
            <color indexed="81"/>
            <rFont val="Tahoma"/>
            <family val="2"/>
          </rPr>
          <t>1.0</t>
        </r>
        <r>
          <rPr>
            <sz val="9"/>
            <color indexed="81"/>
            <rFont val="細明體"/>
            <family val="3"/>
            <charset val="136"/>
          </rPr>
          <t>版本</t>
        </r>
      </text>
    </comment>
    <comment ref="ER7" authorId="0" shapeId="0" xr:uid="{00000000-0006-0000-0200-000002000000}">
      <text>
        <r>
          <rPr>
            <b/>
            <sz val="9"/>
            <color rgb="FF000000"/>
            <rFont val="細明體"/>
            <family val="3"/>
            <charset val="136"/>
          </rPr>
          <t>作者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RU</t>
        </r>
        <r>
          <rPr>
            <sz val="9"/>
            <color rgb="FF000000"/>
            <rFont val="細明體"/>
            <family val="1"/>
            <charset val="136"/>
          </rPr>
          <t>客戶</t>
        </r>
      </text>
    </comment>
    <comment ref="ER8" authorId="0" shapeId="0" xr:uid="{00000000-0006-0000-0200-000003000000}">
      <text>
        <r>
          <rPr>
            <b/>
            <sz val="9"/>
            <color rgb="FF000000"/>
            <rFont val="Tahoma"/>
            <family val="2"/>
          </rPr>
          <t>作者:</t>
        </r>
        <r>
          <rPr>
            <sz val="9"/>
            <color rgb="FF000000"/>
            <rFont val="Tahoma"/>
            <family val="2"/>
          </rPr>
          <t xml:space="preserve">
RU</t>
        </r>
        <r>
          <rPr>
            <sz val="9"/>
            <color rgb="FF000000"/>
            <rFont val="細明體"/>
            <family val="1"/>
            <charset val="136"/>
          </rPr>
          <t>客戶</t>
        </r>
      </text>
    </comment>
    <comment ref="BG86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EAC certification sample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X5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100pcs for CPU+Z590 bundle</t>
        </r>
      </text>
    </comment>
    <comment ref="DG50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100pcs CPU+MB+VGA</t>
        </r>
      </text>
    </comment>
    <comment ref="DB7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100pcs to Citilink CPU+MB+VGA</t>
        </r>
      </text>
    </comment>
    <comment ref="DG7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100pcs CPU+MB+VGA</t>
        </r>
      </text>
    </comment>
    <comment ref="FQ111" authorId="0" shapeId="0" xr:uid="{00000000-0006-0000-0300-000005000000}">
      <text>
        <r>
          <rPr>
            <sz val="12"/>
            <rFont val="新細明體"/>
            <family val="1"/>
            <charset val="136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CN</t>
        </r>
      </text>
    </comment>
    <comment ref="CJ11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ELKO bundle monitor</t>
        </r>
      </text>
    </comment>
    <comment ref="CK117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ELKO bundle monitor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S5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follow MSRP</t>
        </r>
      </text>
    </comment>
    <comment ref="DU67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kk 30</t>
        </r>
      </text>
    </comment>
    <comment ref="CI68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15pcs to SI</t>
        </r>
      </text>
    </comment>
    <comment ref="CX68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Onlinetrade 100
KK SI 20</t>
        </r>
      </text>
    </comment>
    <comment ref="DG68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KK 15</t>
        </r>
      </text>
    </comment>
    <comment ref="CX89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Citillink 100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W3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N-tech tender A320M S2H+SATA 120G</t>
        </r>
      </text>
    </comment>
    <comment ref="EA3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N-tech tender A320M S2H+SATA 120G</t>
        </r>
      </text>
    </comment>
    <comment ref="BA50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EnkoLab 25pcs</t>
        </r>
      </text>
    </comment>
    <comment ref="CB5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Mvideo 30pcs bundle monitor</t>
        </r>
      </text>
    </comment>
    <comment ref="CC50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1.0 5pcs bundle monitor</t>
        </r>
      </text>
    </comment>
    <comment ref="CW50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ONLINETRADE CPU+Z590+VGA 100pcs
MVIDEO CPU+Z590+VGA 100pcs</t>
        </r>
      </text>
    </comment>
    <comment ref="DN50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bundle with monitor</t>
        </r>
      </text>
    </comment>
    <comment ref="CZ68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Citilink CPU+Z590+VGA 100pcs</t>
        </r>
      </text>
    </comment>
    <comment ref="CW71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REGARD CPU+Z590+VGA 100pcs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S4" authorId="0" shapeId="0" xr:uid="{00000000-0006-0000-0600-000001000000}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產銷後插入機種</t>
        </r>
      </text>
    </comment>
    <comment ref="CN7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Citilink 100pcs CPU+MP+VGA</t>
        </r>
      </text>
    </comment>
    <comment ref="CP74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Citilink 100pcs CPU+MP+VGA</t>
        </r>
      </text>
    </comment>
    <comment ref="AY106" authorId="0" shapeId="0" xr:uid="{00000000-0006-0000-0600-000004000000}">
      <text>
        <r>
          <rPr>
            <b/>
            <sz val="10"/>
            <color rgb="FF000000"/>
            <rFont val="Microsoft JhengHei UI"/>
            <family val="2"/>
            <charset val="1"/>
          </rPr>
          <t>作者:</t>
        </r>
        <r>
          <rPr>
            <sz val="10"/>
            <color rgb="FF000000"/>
            <rFont val="Microsoft JhengHei UI"/>
            <family val="2"/>
            <charset val="1"/>
          </rPr>
          <t xml:space="preserve">
Comino project</t>
        </r>
      </text>
    </comment>
    <comment ref="X10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Can take from NL</t>
        </r>
      </text>
    </comment>
    <comment ref="CF10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1.1 version ELKO bundle monitor</t>
        </r>
      </text>
    </comment>
    <comment ref="X110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Can take from NL</t>
        </r>
      </text>
    </comment>
    <comment ref="X111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Can take from NL</t>
        </r>
      </text>
    </comment>
  </commentList>
</comments>
</file>

<file path=xl/sharedStrings.xml><?xml version="1.0" encoding="utf-8"?>
<sst xmlns="http://schemas.openxmlformats.org/spreadsheetml/2006/main" count="22593" uniqueCount="1149">
  <si>
    <r>
      <rPr>
        <sz val="8"/>
        <color indexed="62"/>
        <rFont val="細明體"/>
        <family val="3"/>
        <charset val="136"/>
      </rPr>
      <t>備註</t>
    </r>
    <phoneticPr fontId="8" type="noConversion"/>
  </si>
  <si>
    <r>
      <rPr>
        <sz val="8"/>
        <color rgb="FF000000"/>
        <rFont val="細明體"/>
        <family val="2"/>
        <charset val="136"/>
      </rPr>
      <t>產地</t>
    </r>
    <r>
      <rPr>
        <sz val="8"/>
        <color rgb="FF000000"/>
        <rFont val="Arial"/>
        <family val="2"/>
      </rPr>
      <t>:</t>
    </r>
    <r>
      <rPr>
        <sz val="8"/>
        <color rgb="FF000000"/>
        <rFont val="細明體"/>
        <family val="2"/>
        <charset val="136"/>
      </rPr>
      <t>中國</t>
    </r>
    <phoneticPr fontId="8" type="noConversion"/>
  </si>
  <si>
    <r>
      <rPr>
        <sz val="8"/>
        <color indexed="62"/>
        <rFont val="細明體"/>
        <family val="3"/>
        <charset val="136"/>
      </rPr>
      <t>廠區</t>
    </r>
    <phoneticPr fontId="8" type="noConversion"/>
  </si>
  <si>
    <t>NP</t>
  </si>
  <si>
    <t>GBM</t>
  </si>
  <si>
    <t>GBM/NP</t>
  </si>
  <si>
    <t>DG/GBM/NP</t>
  </si>
  <si>
    <t>DG/NP</t>
  </si>
  <si>
    <t>DG</t>
  </si>
  <si>
    <t>DG/GBM</t>
  </si>
  <si>
    <t>PCS/CTN</t>
  </si>
  <si>
    <t xml:space="preserve"> </t>
  </si>
  <si>
    <t>Model Name</t>
    <phoneticPr fontId="8" type="noConversion"/>
  </si>
  <si>
    <t>GV-R69XT-16GC-B</t>
  </si>
  <si>
    <t>GV-R69XTAORUSX WB-16GD</t>
  </si>
  <si>
    <t>GV-R69XTAORUS M-16GD</t>
  </si>
  <si>
    <t>GV-R69XTGAMING OC-16GD</t>
  </si>
  <si>
    <t>GV-R68XT-16GC-B</t>
  </si>
  <si>
    <t>GV-R68XTAORUS M-16GC</t>
  </si>
  <si>
    <t>GV-R68XTAORUS M-16GD</t>
  </si>
  <si>
    <t>GV-R68XTGAMING OC-16GD</t>
  </si>
  <si>
    <t>GV-R68XTGAMING-16GD</t>
  </si>
  <si>
    <t>GV-R68-16GC-B</t>
  </si>
  <si>
    <t>GV-R68AORUS M-16GD</t>
  </si>
  <si>
    <t>GV-R68GAMING OC-16GD</t>
  </si>
  <si>
    <t>GV-R68GAMING-16GD</t>
  </si>
  <si>
    <t>GV-R67XT-12GD-B</t>
  </si>
  <si>
    <t>GV-R67XTAORUS E-12GD</t>
  </si>
  <si>
    <t>GV-R67XTGAMING OC-12GD</t>
  </si>
  <si>
    <t>GV-R67XTEAGLE-12GD</t>
  </si>
  <si>
    <t>GV-R66XTGAMINGOC PRO-8GD</t>
  </si>
  <si>
    <t>GV-R66XTGAMING OC-8GD</t>
  </si>
  <si>
    <t>GV-R66XTEAGLE-8GD</t>
  </si>
  <si>
    <t>GV-R66EAGLE-8GD</t>
  </si>
  <si>
    <t>GV-R57XTAORUS-8GD</t>
  </si>
  <si>
    <t>GV-R57XTGAMING OC-8GD</t>
  </si>
  <si>
    <t>GV-R57XTGAMING-8GD</t>
  </si>
  <si>
    <t>GV-R57GAMING OC-8GD</t>
  </si>
  <si>
    <t>GV-R57GAMING-8GD</t>
  </si>
  <si>
    <t>GV-R56XTGAMING OC-6GD</t>
  </si>
  <si>
    <t xml:space="preserve">GV-R56XTWF2-6GD </t>
    <phoneticPr fontId="8" type="noConversion"/>
  </si>
  <si>
    <t>GV-R55XTOC-8GD</t>
  </si>
  <si>
    <t>GV-R55XTD6-8GD</t>
  </si>
  <si>
    <t>GV-R55XTGAMING OC-4GD</t>
  </si>
  <si>
    <t>GV-R55XTOC-4GD</t>
  </si>
  <si>
    <t>GV-R55XTD6-4GD</t>
  </si>
  <si>
    <t>GV-RX580GAMING-8GD</t>
  </si>
  <si>
    <t>GV-RX570GAMING-8GD</t>
  </si>
  <si>
    <t>GV-N3090IXEB-24GD</t>
  </si>
  <si>
    <t>GV-N3090AORUSX W-24GD</t>
  </si>
  <si>
    <t>GV-N3090AORUSX WB-24GD</t>
  </si>
  <si>
    <t>GV-N3090AORUS X-24GD</t>
  </si>
  <si>
    <t>GV-N3090AORUS M-24GD</t>
  </si>
  <si>
    <t>GV-N3090GAMING OC-24GD</t>
  </si>
  <si>
    <t>GV-N3090VISION OC-24GD</t>
  </si>
  <si>
    <t>GV-N3090EAGLE OC-24GD</t>
  </si>
  <si>
    <t>GV-N3090EAGLE-24GD</t>
  </si>
  <si>
    <t>GV-N3090TURBO-24GD</t>
  </si>
  <si>
    <t>GV-N308TIXEB-12GD</t>
  </si>
  <si>
    <t>GV-N308TAORUSX W-12GD</t>
  </si>
  <si>
    <t>GV-N308TAORUSX WB-12GD</t>
  </si>
  <si>
    <t>GV-N308TAORUS X-12GD</t>
  </si>
  <si>
    <t>GV-N308TAORUS M-12GD</t>
  </si>
  <si>
    <t>GV-N308TGAMING OC-12GD</t>
  </si>
  <si>
    <t>GV-N308TVISION OC-12GD</t>
  </si>
  <si>
    <t>GV-N308TEAGLE OC-12GD</t>
  </si>
  <si>
    <t>GV-N308TEAGLE-12GD</t>
  </si>
  <si>
    <t>GV-N3080IXEB-10GD</t>
  </si>
  <si>
    <t>GV-N3080AORUSX W-10GD</t>
  </si>
  <si>
    <t>GV-N3080AORUSX WB-10GD</t>
  </si>
  <si>
    <t>GV-N3080AORUS X-10GD</t>
  </si>
  <si>
    <t>GV-N3080AORUS M-10GD</t>
  </si>
  <si>
    <t>GV-N3080GAMINGOC WB-10GD</t>
  </si>
  <si>
    <t>GV-N3080GAMING OC-10GD</t>
  </si>
  <si>
    <t>GV-N3080VISION OC-10GD</t>
  </si>
  <si>
    <t>GV-N3080EAGLE OC-10GD</t>
  </si>
  <si>
    <t>GV-N3080EAGLE-10GD</t>
  </si>
  <si>
    <t>GV-N3080TURBO-10GD</t>
  </si>
  <si>
    <t>GV-N307TAORUS M-8GD</t>
  </si>
  <si>
    <t>GV-N307TGAMING OC-8GD</t>
  </si>
  <si>
    <t>GV-N307TVISION OC-8GD</t>
  </si>
  <si>
    <t>GV-N307TEAGLE OC-8GD</t>
  </si>
  <si>
    <t>GV-N307TEAGLE-8GD</t>
  </si>
  <si>
    <t>GV-N3070AORUS M-8GD</t>
  </si>
  <si>
    <t>GV-N3070GAMING OC-8GD</t>
  </si>
  <si>
    <t>GV-N3070VISION OC-8GD</t>
  </si>
  <si>
    <t>GV-N3070EAGLE OC-8GD</t>
  </si>
  <si>
    <t>GV-N3070EAGLE-8GD</t>
  </si>
  <si>
    <t>GV-N306TAORUS M-8GD</t>
  </si>
  <si>
    <t>GV-N306TAORUS E-8GD</t>
  </si>
  <si>
    <t>GV-N306TGAMINGOC PRO-8GD</t>
  </si>
  <si>
    <t>GV-N306TGAMING OC-8GD</t>
  </si>
  <si>
    <t>GV-N306TVISION OC-8GD</t>
  </si>
  <si>
    <t>GV-N306TEAGLE OC-8GD</t>
  </si>
  <si>
    <t>GV-N306TGAMING PRO-8GD</t>
  </si>
  <si>
    <t>GV-N306TGAMING-8GD</t>
  </si>
  <si>
    <t>GV-N306TVISION-8GD</t>
  </si>
  <si>
    <t>GV-N306TEAGLE-8GD</t>
  </si>
  <si>
    <t>GV-N3060AORUS E-12GD</t>
  </si>
  <si>
    <t>GV-N3060GAMING OC-12GD</t>
  </si>
  <si>
    <t>GV-N3060VISION OC-12GD</t>
  </si>
  <si>
    <t>GV-N3060EAGLE OC-12GD</t>
  </si>
  <si>
    <t>GV-N3060EAGLE-12GD</t>
  </si>
  <si>
    <t>GV-N2060WF2OC-6GD</t>
  </si>
  <si>
    <t>GV-N2060OC-6GD</t>
  </si>
  <si>
    <t>GV-N2060WF2-6GD</t>
  </si>
  <si>
    <t>GV-N2060D6-6GD</t>
  </si>
  <si>
    <t>GV-N166TOC-6GD</t>
  </si>
  <si>
    <t>GV-N166TWF2-6GD</t>
  </si>
  <si>
    <t>GV-N166TD6-6GD</t>
  </si>
  <si>
    <t>GV-N166TIX-6GD</t>
  </si>
  <si>
    <t>GV-N166SGAMING OC-6GD</t>
  </si>
  <si>
    <t>GV-N166SOC-6GD</t>
  </si>
  <si>
    <t>GV-N166SIXOC-6GD</t>
  </si>
  <si>
    <t>GV-N166SGAMING-6GD</t>
  </si>
  <si>
    <t>GV-N166SD6-6GD</t>
  </si>
  <si>
    <t>GV-N166SIX-6GD</t>
  </si>
  <si>
    <t>GV-N1660OC-6GD</t>
  </si>
  <si>
    <t>GV-N1660IXOC-6GD</t>
  </si>
  <si>
    <t>GV-N1660D5-6GD</t>
  </si>
  <si>
    <t>GV-N165SWF2OC-4GD</t>
  </si>
  <si>
    <t>GV-N165SOC-4GD</t>
  </si>
  <si>
    <t>GV-N165SD6-4GD</t>
  </si>
  <si>
    <t>GV-N1656EAGLE OC-4GD</t>
  </si>
  <si>
    <t>GV-N1656WF2OC-4GD</t>
  </si>
  <si>
    <t>GV-N1656OC-4GD</t>
  </si>
  <si>
    <t>GV-N1656OC-4GL</t>
  </si>
  <si>
    <t>GV-N1656EAGLE-4GD</t>
  </si>
  <si>
    <t>GV-N1656WF2-4GD</t>
  </si>
  <si>
    <t>GV-N1656D6-4GL</t>
  </si>
  <si>
    <t>GV-N1656D6-4GD</t>
  </si>
  <si>
    <t>GV-N1650GAMING OC-4GD</t>
  </si>
  <si>
    <t>GV-N1650OC-4GD</t>
  </si>
  <si>
    <t>GV-N1650OC-4GL</t>
  </si>
  <si>
    <t>GV-N1650IXOC-4GD</t>
  </si>
  <si>
    <t>GV-N1650WF2-4GD</t>
  </si>
  <si>
    <t>GV-N1650D5-4GL</t>
  </si>
  <si>
    <t>GV-N1650IX-4GD</t>
  </si>
  <si>
    <t>GV-N105TOC-4GD</t>
  </si>
  <si>
    <t>GV-N105TD5-4GD</t>
  </si>
  <si>
    <t>GV-N105TOC-4GL</t>
  </si>
  <si>
    <t>GV-N105T-4GL</t>
  </si>
  <si>
    <t>GV-N1030OC-2GI</t>
  </si>
  <si>
    <t>GV-N1030D5-2GL</t>
  </si>
  <si>
    <t>GV-N1030SL-2GL</t>
  </si>
  <si>
    <t>GV-N1030D4-2GL</t>
  </si>
  <si>
    <t>GV-N730D5-2GI</t>
  </si>
  <si>
    <t>GV-N730D5-2GL</t>
  </si>
  <si>
    <t>GV-N730D3-2GI</t>
  </si>
  <si>
    <t>GV-N710D5-2GL</t>
  </si>
  <si>
    <t>GV-N710D5-2GIL</t>
  </si>
  <si>
    <t>GV-N710D5SL-2GL</t>
  </si>
  <si>
    <t>GV-N710D5-1GL</t>
  </si>
  <si>
    <t>GV-N710D3-2GL</t>
    <phoneticPr fontId="13" type="noConversion"/>
  </si>
  <si>
    <t>GC-ANVLINK</t>
  </si>
  <si>
    <t>QUADRO RTX5000-NV</t>
  </si>
  <si>
    <t>QUADRO RTX4000-NV</t>
  </si>
  <si>
    <t>QUADRO P2200-NV</t>
  </si>
  <si>
    <t>QUADRO P1000</t>
  </si>
  <si>
    <t>QUADRO P620</t>
  </si>
  <si>
    <t>T600</t>
    <phoneticPr fontId="8" type="noConversion"/>
  </si>
  <si>
    <t>T400</t>
    <phoneticPr fontId="8" type="noConversion"/>
  </si>
  <si>
    <t>ACCOUNT</t>
  </si>
  <si>
    <r>
      <rPr>
        <b/>
        <sz val="8"/>
        <color indexed="10"/>
        <rFont val="新細明體"/>
        <family val="1"/>
        <charset val="136"/>
      </rPr>
      <t>加單否</t>
    </r>
    <r>
      <rPr>
        <b/>
        <sz val="8"/>
        <color indexed="10"/>
        <rFont val="Arial"/>
        <family val="2"/>
      </rPr>
      <t>(Y/N)</t>
    </r>
    <phoneticPr fontId="8" type="noConversion"/>
  </si>
  <si>
    <t>ORDER NO.</t>
  </si>
  <si>
    <t>9VR69XTB-00-10</t>
  </si>
  <si>
    <t>9VR69XTAWB-00-10</t>
  </si>
  <si>
    <t>9VR69XTAM-00-10</t>
  </si>
  <si>
    <t>9VR69XTGO-00-10</t>
  </si>
  <si>
    <t>9VR68XTB-00-10</t>
  </si>
  <si>
    <t>9VR68XTAMC-00-10</t>
  </si>
  <si>
    <t>9VR68XTAM-00-10</t>
  </si>
  <si>
    <t>9VR68XTGO-00-10</t>
  </si>
  <si>
    <t>9VR68XTG-00-10</t>
  </si>
  <si>
    <t>9VR68B-00-10</t>
  </si>
  <si>
    <t>9VR68AM-00-10</t>
  </si>
  <si>
    <t>9VR68GO-00-10</t>
  </si>
  <si>
    <t>9VR68G-00-10</t>
  </si>
  <si>
    <t>9VR67XTB-00-10</t>
  </si>
  <si>
    <t>9VR67XTAE-00-10</t>
  </si>
  <si>
    <t>9VR67XTGO-00-10</t>
  </si>
  <si>
    <t>9VR67XTE-00-10</t>
  </si>
  <si>
    <t>9VR66XTGOP-00-10</t>
  </si>
  <si>
    <t>9VR66XTGO-00-10</t>
  </si>
  <si>
    <t>9VR66XTE-00-10</t>
  </si>
  <si>
    <t>9VR66E-00-10</t>
  </si>
  <si>
    <t>9VR57XTA-00-20</t>
  </si>
  <si>
    <t>9VR57XTGO-00-20</t>
  </si>
  <si>
    <t>9VR57XTG-00-20</t>
  </si>
  <si>
    <t>9VR57GO-00-10</t>
  </si>
  <si>
    <t>9VR57G-00-10</t>
  </si>
  <si>
    <t>9VR56XTGO-00-20</t>
  </si>
  <si>
    <t>9VR56XTWF-00-20</t>
    <phoneticPr fontId="8" type="noConversion"/>
  </si>
  <si>
    <t>9VR56XTWO-00-20</t>
  </si>
  <si>
    <t>9VR55XTOC-00-10</t>
  </si>
  <si>
    <t>9VR55XTD6-00-20</t>
  </si>
  <si>
    <t>9VR55XTGO4-00-10</t>
  </si>
  <si>
    <t>9VR55XTOC4-00-20</t>
  </si>
  <si>
    <t>9VR55XTD64-00-20</t>
  </si>
  <si>
    <t>9VRX580G8-00-20</t>
  </si>
  <si>
    <t>9VRX570G8-00-20</t>
  </si>
  <si>
    <t>9AN3090IE-00-10</t>
  </si>
  <si>
    <t>9AN3090IE-US-10</t>
  </si>
  <si>
    <t>9AN3090IE-AU-10</t>
  </si>
  <si>
    <t>9VN3090AW-00-10</t>
  </si>
  <si>
    <t>9VN3090AWB-00-10</t>
  </si>
  <si>
    <t>9VN3090AX-00-10</t>
  </si>
  <si>
    <t>9VN3090AM-00-20</t>
  </si>
  <si>
    <t>9VN3090AM-00-10</t>
  </si>
  <si>
    <t>9VN3090GO-00-10</t>
  </si>
  <si>
    <t>9VN3090VO-00-10</t>
  </si>
  <si>
    <t>9VN3090EO-00-10</t>
  </si>
  <si>
    <t>9VN3090E-00-10</t>
  </si>
  <si>
    <t>9VN3090T-00-10</t>
  </si>
  <si>
    <t>9VN3090T-EC-10</t>
  </si>
  <si>
    <t>9AN308TIE-00-10</t>
  </si>
  <si>
    <t>9AN308TIE-AU-10</t>
  </si>
  <si>
    <t>9AN308TIE-US-10</t>
  </si>
  <si>
    <t>9VN38TAW-00-10</t>
  </si>
  <si>
    <t>9VN38TAWB-00-10</t>
  </si>
  <si>
    <t>9VN38TAX-00-10</t>
  </si>
  <si>
    <t>9VN38TAM-00-10</t>
  </si>
  <si>
    <t>9VN38TGO-00-10</t>
  </si>
  <si>
    <t>9VN38TVO-00-10</t>
  </si>
  <si>
    <t>9VN38TEO-00-10</t>
  </si>
  <si>
    <t>9VN38TE-00-10</t>
  </si>
  <si>
    <t>9AN3080IE-00-20</t>
  </si>
  <si>
    <t>9AN3080IE-00-10</t>
  </si>
  <si>
    <t>9AN3080IE-US-10</t>
  </si>
  <si>
    <t>9AN3080IE-AU-10</t>
  </si>
  <si>
    <t>9AN3080IE-JP-10</t>
  </si>
  <si>
    <t>9AN3080IE-KR-10</t>
  </si>
  <si>
    <t>9VN3080AW-00-10</t>
  </si>
  <si>
    <t>9VN3080AWB-00-20</t>
  </si>
  <si>
    <t>9VN3080AX-00-20</t>
  </si>
  <si>
    <t>9VN3080AX-00-10</t>
  </si>
  <si>
    <t>9VN3080AM-00-30</t>
  </si>
  <si>
    <t>9VN3080AM-00-20</t>
  </si>
  <si>
    <t>9VN3080AM-00-10</t>
  </si>
  <si>
    <t>9VN3080GWB-00-20</t>
  </si>
  <si>
    <t>9VN3080GO-00-20</t>
  </si>
  <si>
    <t>9VN3080VO-00-20</t>
  </si>
  <si>
    <t>9VN3080EO-00-20</t>
  </si>
  <si>
    <t>9VN3080E-00-20</t>
  </si>
  <si>
    <t>9VN3080E-00-10</t>
  </si>
  <si>
    <t>9VN3080T-00-20</t>
  </si>
  <si>
    <t>9VN3080T-00-10</t>
  </si>
  <si>
    <t>9VN307TAM-00-10</t>
  </si>
  <si>
    <t>9VN307TGO-00-10</t>
  </si>
  <si>
    <t>9VN307TVO-00-10</t>
  </si>
  <si>
    <t>9VN307TEO-00-10</t>
  </si>
  <si>
    <t>9VN307TE-00-10</t>
  </si>
  <si>
    <t>9VN3070AM-00-20</t>
  </si>
  <si>
    <t>9VN3070AM-00-11</t>
  </si>
  <si>
    <t>9VN3070GO-00-20</t>
  </si>
  <si>
    <t>9VN3070GO-00-10</t>
  </si>
  <si>
    <t>9VN3070VO-00-20</t>
  </si>
  <si>
    <t>9VN3070EO-00-20</t>
  </si>
  <si>
    <t>9VN3070E-00-20</t>
  </si>
  <si>
    <t>9VN3070E-EC-10</t>
  </si>
  <si>
    <t>9VN306TAM-00-10</t>
  </si>
  <si>
    <t>9VN306TAE-00-20</t>
  </si>
  <si>
    <t>9VN306TGOP-00-30</t>
  </si>
  <si>
    <t>9VN306TGO-00-20</t>
  </si>
  <si>
    <t>9VN306TGO-00-10</t>
  </si>
  <si>
    <t>9VN306TVO-00-20</t>
  </si>
  <si>
    <t>9VN306TEO-00-20</t>
  </si>
  <si>
    <t>9VN306TEO-EC-10</t>
  </si>
  <si>
    <t>9VN306TGP-00-20</t>
  </si>
  <si>
    <t>9VN306TG-00-10</t>
  </si>
  <si>
    <t>9VN306TV-00-10</t>
  </si>
  <si>
    <t>9VN306TE-00-20</t>
  </si>
  <si>
    <t>9VN306TE-EC-10</t>
  </si>
  <si>
    <t>9VN3060AE-00-20</t>
  </si>
  <si>
    <t>9VN3060GO-00-20</t>
  </si>
  <si>
    <t>9VN3060GO-00-10</t>
  </si>
  <si>
    <t>9VN3060VO-00-10</t>
  </si>
  <si>
    <t>9VN3060EO-00-20</t>
  </si>
  <si>
    <t>9VN3060E-00-20</t>
  </si>
  <si>
    <t>9VN3060E-EC-20</t>
  </si>
  <si>
    <t>9VN3060E-00-10</t>
  </si>
  <si>
    <t>9VN2060WO6-00-20</t>
  </si>
  <si>
    <t>9VN2060O6-00-20</t>
  </si>
  <si>
    <t>9VN2060W26-00-20</t>
  </si>
  <si>
    <t>9VN2060D6-00-20</t>
  </si>
  <si>
    <t>9VN166TO6-00-10</t>
  </si>
  <si>
    <t>9VN166TW26-00-10</t>
  </si>
  <si>
    <t>9VN166TD6-00-10</t>
  </si>
  <si>
    <t>9VN166TIX6-00-10</t>
  </si>
  <si>
    <t>9VN166SGO6-00-10</t>
  </si>
  <si>
    <t>9VN166SO6-00-10</t>
  </si>
  <si>
    <t>9VN166SIO6-00-10</t>
  </si>
  <si>
    <t>9VN166SG6-00-10</t>
  </si>
  <si>
    <t>9VN166SD6-00-10</t>
  </si>
  <si>
    <t>9VN166SIX6-00-10</t>
  </si>
  <si>
    <t>9VN1660O6-00-10</t>
  </si>
  <si>
    <t>9VN1660IO6-00-10</t>
  </si>
  <si>
    <t>9VN1660D6-00-10</t>
  </si>
  <si>
    <t>9VN165SWO4-00-10</t>
  </si>
  <si>
    <t>9VN165SO4-00-10</t>
  </si>
  <si>
    <t>9VN165SD4-00-10</t>
  </si>
  <si>
    <t>9VN1656EO4-00-10</t>
  </si>
  <si>
    <t>9VN1656WO4-00-20</t>
  </si>
  <si>
    <t>9VN1656O4-00-20</t>
  </si>
  <si>
    <t>9VN1656O4L-00-10</t>
  </si>
  <si>
    <t>9VN1656E4-00-10</t>
  </si>
  <si>
    <t>9VN1656W24-00-10</t>
  </si>
  <si>
    <t>9VN1656D4L-00-10</t>
  </si>
  <si>
    <t>9VN1656D4-00-20</t>
  </si>
  <si>
    <t>9VN1656D4-00-10</t>
  </si>
  <si>
    <t>9VN1650GO4-00-20</t>
  </si>
  <si>
    <t>9VN1650O4-00-10</t>
  </si>
  <si>
    <t>9VN1650O4L-00-10</t>
  </si>
  <si>
    <t>9VN1650IO4-00-10</t>
  </si>
  <si>
    <t>9VN1650W24-00-10</t>
  </si>
  <si>
    <t>9VN1650D4L-00-10</t>
  </si>
  <si>
    <t>9VN1650IX4-00-10</t>
  </si>
  <si>
    <t>9VN105TO4D-00-11</t>
  </si>
  <si>
    <t>9VN105TD4D-00-11</t>
  </si>
  <si>
    <t>9VN105TO4L-00-10</t>
  </si>
  <si>
    <t>9VN105T4L-00-10</t>
  </si>
  <si>
    <t>9VN1030O2I-00-10</t>
  </si>
  <si>
    <t>9VN1030D2L-00-10</t>
  </si>
  <si>
    <t>9VN1030L2L-00-10</t>
  </si>
  <si>
    <t>9VN103D42L-00-10</t>
  </si>
  <si>
    <t>9VN730D52I-00-20</t>
  </si>
  <si>
    <t>9VN730D52L-00-10</t>
  </si>
  <si>
    <t>9VN730D32I-00-30</t>
  </si>
  <si>
    <t>9VN710D52L-00-10</t>
  </si>
  <si>
    <t>9VN71052IL-00-10</t>
  </si>
  <si>
    <t>9VN7105S2L-00-10</t>
  </si>
  <si>
    <t>9VN710D5GL-00-20</t>
  </si>
  <si>
    <t>9VN710D5GL-00-10</t>
  </si>
  <si>
    <t>9VN710D32L-00-20</t>
  </si>
  <si>
    <t>9CANVLINK-00-10</t>
  </si>
  <si>
    <t>9VQR5000-NV-10</t>
  </si>
  <si>
    <t>9VQR4000-NV-10</t>
  </si>
  <si>
    <t>9VQP2200-NV-10</t>
  </si>
  <si>
    <t>9VQP1000-00-20</t>
  </si>
  <si>
    <t>9VQP620-00-20</t>
  </si>
  <si>
    <t>9VT600-0C-10</t>
    <phoneticPr fontId="8" type="noConversion"/>
  </si>
  <si>
    <t>9VT400-0C-10</t>
  </si>
  <si>
    <r>
      <rPr>
        <sz val="8"/>
        <color theme="1"/>
        <rFont val="新細明體"/>
        <family val="2"/>
        <charset val="136"/>
      </rPr>
      <t>等級</t>
    </r>
    <phoneticPr fontId="8" type="noConversion"/>
  </si>
  <si>
    <r>
      <rPr>
        <sz val="8"/>
        <color theme="1"/>
        <rFont val="新細明體"/>
        <family val="2"/>
        <charset val="136"/>
      </rPr>
      <t>海</t>
    </r>
    <r>
      <rPr>
        <sz val="8"/>
        <rFont val="Arial"/>
        <family val="2"/>
      </rPr>
      <t xml:space="preserve">/    </t>
    </r>
    <r>
      <rPr>
        <sz val="8"/>
        <color theme="1"/>
        <rFont val="新細明體"/>
        <family val="2"/>
        <charset val="136"/>
      </rPr>
      <t>空運</t>
    </r>
    <phoneticPr fontId="8" type="noConversion"/>
  </si>
  <si>
    <r>
      <rPr>
        <sz val="8"/>
        <color theme="1"/>
        <rFont val="新細明體"/>
        <family val="2"/>
        <charset val="136"/>
      </rPr>
      <t>部門</t>
    </r>
    <phoneticPr fontId="8" type="noConversion"/>
  </si>
  <si>
    <r>
      <rPr>
        <sz val="8"/>
        <color theme="1"/>
        <rFont val="新細明體"/>
        <family val="2"/>
        <charset val="136"/>
      </rPr>
      <t>廠別</t>
    </r>
    <phoneticPr fontId="8" type="noConversion"/>
  </si>
  <si>
    <t>UA1(EMEA)</t>
    <phoneticPr fontId="8" type="noConversion"/>
  </si>
  <si>
    <t>MODEL</t>
    <phoneticPr fontId="8" type="noConversion"/>
  </si>
  <si>
    <t>R69XTB-00</t>
  </si>
  <si>
    <t>R69XTAWB-00</t>
  </si>
  <si>
    <t>R69XTAM-00</t>
  </si>
  <si>
    <t>R69XTGO-00</t>
  </si>
  <si>
    <t>R68XTB-00</t>
  </si>
  <si>
    <t>R68XTAMC-00</t>
  </si>
  <si>
    <t>R68XTAM-00</t>
  </si>
  <si>
    <t>R68XTGO-00</t>
  </si>
  <si>
    <t>R68XTG-00</t>
  </si>
  <si>
    <t>R68B-00</t>
  </si>
  <si>
    <t>R68AM-00</t>
  </si>
  <si>
    <t>R68GO-00</t>
  </si>
  <si>
    <t>R68G-00</t>
  </si>
  <si>
    <t>R67XTB-00</t>
  </si>
  <si>
    <t>R67XTAE-00</t>
  </si>
  <si>
    <t>R67XTGO-00</t>
  </si>
  <si>
    <t>R67XTE-00</t>
  </si>
  <si>
    <t>R66XTGOP-00</t>
  </si>
  <si>
    <t>R66XTGO-00</t>
  </si>
  <si>
    <t>R66XTE-00</t>
  </si>
  <si>
    <t>R66E-00</t>
  </si>
  <si>
    <t>R57XTA-00</t>
  </si>
  <si>
    <t>R57XTGO-00</t>
  </si>
  <si>
    <t>R57XTG-00</t>
  </si>
  <si>
    <t>R57GO-00</t>
  </si>
  <si>
    <t>R57G-00</t>
  </si>
  <si>
    <t>R56XTGO-00</t>
  </si>
  <si>
    <t>R56XTWF-00</t>
    <phoneticPr fontId="8" type="noConversion"/>
  </si>
  <si>
    <t>R56XTWO-00</t>
  </si>
  <si>
    <t>R55XTOC-00</t>
  </si>
  <si>
    <t>R55XTD6-00</t>
  </si>
  <si>
    <t>R55XTGO4-00</t>
  </si>
  <si>
    <t>R55XTOC4-00</t>
  </si>
  <si>
    <t>R55XTD64-00</t>
  </si>
  <si>
    <t>RX580G8-00</t>
  </si>
  <si>
    <t>RX570G8-00</t>
  </si>
  <si>
    <t>N3090IE-00</t>
  </si>
  <si>
    <t>N3090IE-US</t>
  </si>
  <si>
    <t>N3090IE-AU</t>
  </si>
  <si>
    <t>N3090AW-00</t>
  </si>
  <si>
    <t>N3090AWB-00</t>
  </si>
  <si>
    <t>N3090AX-00</t>
  </si>
  <si>
    <t>N3090AM-00</t>
  </si>
  <si>
    <t>N3090GO-00</t>
  </si>
  <si>
    <t>N3090VO-00</t>
  </si>
  <si>
    <t>N3090EO-00</t>
  </si>
  <si>
    <t>N3090E-00</t>
  </si>
  <si>
    <t>N3090T-00</t>
  </si>
  <si>
    <t>N3090T-EC</t>
  </si>
  <si>
    <t>N308TIE-00</t>
  </si>
  <si>
    <t>N308TIE-AU</t>
    <phoneticPr fontId="8" type="noConversion"/>
  </si>
  <si>
    <t>N308TIE-US</t>
  </si>
  <si>
    <t>N38TAW-00</t>
  </si>
  <si>
    <t>N38TAWB-00</t>
  </si>
  <si>
    <t>N38TAX-00</t>
  </si>
  <si>
    <t>N38TAM-00</t>
  </si>
  <si>
    <t>N38TGO-00</t>
  </si>
  <si>
    <t>N38TVO-00</t>
  </si>
  <si>
    <t>N38TEO-00</t>
  </si>
  <si>
    <t>N38TE-00</t>
  </si>
  <si>
    <t>N3080IE-00</t>
  </si>
  <si>
    <t>N3080IE-US</t>
  </si>
  <si>
    <t>N3080IE-AU</t>
  </si>
  <si>
    <t>N3080IE-JP</t>
  </si>
  <si>
    <t>N3080IE-KR</t>
  </si>
  <si>
    <t>N3080AW-00</t>
  </si>
  <si>
    <t>N3080AWB-00</t>
  </si>
  <si>
    <t>N3080AX-00</t>
  </si>
  <si>
    <t>N3080AM-00</t>
  </si>
  <si>
    <t>N3080GWB-00</t>
  </si>
  <si>
    <t>N3080GO-00</t>
  </si>
  <si>
    <t>N3080VO-00</t>
  </si>
  <si>
    <t>N3080EO-00</t>
  </si>
  <si>
    <t>N3080E-00</t>
  </si>
  <si>
    <t>N3080T-00</t>
  </si>
  <si>
    <t>N307TAM-00</t>
  </si>
  <si>
    <t>N307TGO-00</t>
  </si>
  <si>
    <t>N307TVO-00</t>
  </si>
  <si>
    <t>N307TEO-00</t>
  </si>
  <si>
    <t>N307TE-00</t>
  </si>
  <si>
    <t>N3070AM-00</t>
  </si>
  <si>
    <t>N3070GO-00</t>
  </si>
  <si>
    <t>N3070VO-00</t>
  </si>
  <si>
    <t>N3070EO-00</t>
  </si>
  <si>
    <t>N3070E-00</t>
  </si>
  <si>
    <t>N3070E-EC</t>
  </si>
  <si>
    <t>N306TAM-00</t>
  </si>
  <si>
    <t>N306TAE-00</t>
  </si>
  <si>
    <t>N306TGOP-00</t>
  </si>
  <si>
    <t>N306TGO-00</t>
  </si>
  <si>
    <t>N306TVO-00</t>
  </si>
  <si>
    <t>N306TEO-00</t>
  </si>
  <si>
    <t>N306TEO-EC</t>
  </si>
  <si>
    <t>N306TGP-00</t>
  </si>
  <si>
    <t>N306TG-00</t>
  </si>
  <si>
    <t>N306TV-00</t>
  </si>
  <si>
    <t>N306TE-00</t>
  </si>
  <si>
    <t>N306TE-EC</t>
  </si>
  <si>
    <t>N3060AE-00</t>
  </si>
  <si>
    <t>N3060GO-00</t>
  </si>
  <si>
    <t>N3060VO-00</t>
  </si>
  <si>
    <t>N3060EO-00</t>
  </si>
  <si>
    <t>N3060E-00</t>
  </si>
  <si>
    <t>N3060E-EC</t>
  </si>
  <si>
    <t>N2060WO6-00</t>
  </si>
  <si>
    <t>N2060O6-00</t>
  </si>
  <si>
    <t>N2060W26-00</t>
  </si>
  <si>
    <t>N2060D6-00</t>
  </si>
  <si>
    <t>N166TO6-00</t>
  </si>
  <si>
    <t>N166TW26-00</t>
  </si>
  <si>
    <t>N166TD6-00</t>
  </si>
  <si>
    <t>N166TIX6-00</t>
  </si>
  <si>
    <t>N166SGO6-00</t>
  </si>
  <si>
    <t>N166SO6-00</t>
  </si>
  <si>
    <t>N166SIO6-00</t>
  </si>
  <si>
    <t>N166SG6-00</t>
  </si>
  <si>
    <t>N166SD6-00</t>
  </si>
  <si>
    <t>N166SIX6-00</t>
  </si>
  <si>
    <t>N1660O6-00</t>
  </si>
  <si>
    <t>N1660IO6-00</t>
  </si>
  <si>
    <t>N1660D6-00</t>
  </si>
  <si>
    <t>N165SWO4-00</t>
  </si>
  <si>
    <t>N165SO4-00</t>
  </si>
  <si>
    <t>N165SD4-00</t>
  </si>
  <si>
    <t>N1656EO4-00</t>
  </si>
  <si>
    <t>N1656WO4-00</t>
  </si>
  <si>
    <t>N1656O4-00</t>
  </si>
  <si>
    <t>N1656O4L-00</t>
  </si>
  <si>
    <t>N1656E4-00</t>
  </si>
  <si>
    <t>N1656W24-00</t>
  </si>
  <si>
    <t>N1656D4L-00</t>
  </si>
  <si>
    <t>N1656D4-00</t>
  </si>
  <si>
    <t>N1650GO4-00</t>
  </si>
  <si>
    <t>N1650O4-00</t>
  </si>
  <si>
    <t>N1650O4L-00</t>
  </si>
  <si>
    <t>N1650IO4-00</t>
  </si>
  <si>
    <t>N1650W24-00</t>
  </si>
  <si>
    <t>N1650D4L-00</t>
  </si>
  <si>
    <t>N1650IX4-00</t>
  </si>
  <si>
    <t>N105TO4D-00</t>
  </si>
  <si>
    <t>N105TD4D-00</t>
  </si>
  <si>
    <t>N105TO4L-00</t>
  </si>
  <si>
    <t>N105T4L-00</t>
  </si>
  <si>
    <t>N1030O2I-00</t>
  </si>
  <si>
    <t>N1030D2L-00</t>
  </si>
  <si>
    <t>N1030L2L-00</t>
  </si>
  <si>
    <t>N103D42L-00</t>
  </si>
  <si>
    <t>N730D52I-00</t>
  </si>
  <si>
    <t>N730D52L-00</t>
  </si>
  <si>
    <t>N730D32I-00</t>
  </si>
  <si>
    <t>N710D52L-00</t>
  </si>
  <si>
    <t>N71052IL-00</t>
  </si>
  <si>
    <t>N7105S2L-00</t>
  </si>
  <si>
    <t>N710D5GL-00</t>
  </si>
  <si>
    <t>N710D32L-00</t>
  </si>
  <si>
    <t>ANVLINK-00</t>
  </si>
  <si>
    <t>QR5000-NV</t>
  </si>
  <si>
    <t>QR4000-NV</t>
  </si>
  <si>
    <t>QP2200-NV</t>
  </si>
  <si>
    <t>QP1000-00</t>
  </si>
  <si>
    <t>QP620-00</t>
  </si>
  <si>
    <t>T600-0C</t>
    <phoneticPr fontId="8" type="noConversion"/>
  </si>
  <si>
    <t>T400-0C</t>
    <phoneticPr fontId="8" type="noConversion"/>
  </si>
  <si>
    <r>
      <rPr>
        <sz val="8"/>
        <color indexed="62"/>
        <rFont val="新細明體"/>
        <family val="1"/>
        <charset val="136"/>
      </rPr>
      <t>備註</t>
    </r>
  </si>
  <si>
    <t>DEL.</t>
  </si>
  <si>
    <t>P.</t>
  </si>
  <si>
    <r>
      <rPr>
        <sz val="8"/>
        <color indexed="62"/>
        <rFont val="新細明體"/>
        <family val="1"/>
        <charset val="136"/>
      </rPr>
      <t>嘜頭</t>
    </r>
  </si>
  <si>
    <r>
      <rPr>
        <sz val="8"/>
        <color indexed="62"/>
        <rFont val="新細明體"/>
        <family val="1"/>
        <charset val="136"/>
      </rPr>
      <t>出貨地點</t>
    </r>
    <phoneticPr fontId="8" type="noConversion"/>
  </si>
  <si>
    <r>
      <rPr>
        <sz val="8"/>
        <color indexed="62"/>
        <rFont val="細明體"/>
        <family val="3"/>
        <charset val="136"/>
      </rPr>
      <t>製單人</t>
    </r>
    <phoneticPr fontId="8" type="noConversion"/>
  </si>
  <si>
    <t>A</t>
  </si>
  <si>
    <t>UA1K</t>
  </si>
  <si>
    <t>GTWHUB</t>
  </si>
  <si>
    <t>N</t>
  </si>
  <si>
    <t>2021-08-08</t>
  </si>
  <si>
    <t>彩盒</t>
  </si>
  <si>
    <t>NETHERLANDS</t>
  </si>
  <si>
    <t>林家儀#813326</t>
  </si>
  <si>
    <t>S</t>
  </si>
  <si>
    <t>B</t>
  </si>
  <si>
    <t>UA1E</t>
  </si>
  <si>
    <t>ASBISC-CR</t>
  </si>
  <si>
    <t>CROATIA</t>
  </si>
  <si>
    <t>林宜儒#811378</t>
  </si>
  <si>
    <t xml:space="preserve"> </t>
    <phoneticPr fontId="8" type="noConversion"/>
  </si>
  <si>
    <t>CD-LOG</t>
  </si>
  <si>
    <t>ISRAEL</t>
  </si>
  <si>
    <t>CHS/HUNG</t>
  </si>
  <si>
    <t>HUNGARY</t>
  </si>
  <si>
    <t>ENDEKS</t>
  </si>
  <si>
    <t>&lt;ENDEKS&gt;</t>
  </si>
  <si>
    <t>TURKEY</t>
  </si>
  <si>
    <t>郭宜芳#811396</t>
  </si>
  <si>
    <t>C</t>
  </si>
  <si>
    <t>EWE</t>
  </si>
  <si>
    <t>SERBIA</t>
  </si>
  <si>
    <t>MOR</t>
  </si>
  <si>
    <t>UA1G</t>
  </si>
  <si>
    <t>VIP</t>
  </si>
  <si>
    <t>U.K.</t>
  </si>
  <si>
    <t>何湉歆#811372</t>
  </si>
  <si>
    <t>UA1I</t>
  </si>
  <si>
    <t>INTERCOMP</t>
  </si>
  <si>
    <t>X</t>
  </si>
  <si>
    <t>ITALY</t>
  </si>
  <si>
    <t>SUPERCOMP</t>
  </si>
  <si>
    <t>SPAIN</t>
  </si>
  <si>
    <t>吳佳芊#811359</t>
  </si>
  <si>
    <t>UA1J</t>
  </si>
  <si>
    <t>ACME</t>
  </si>
  <si>
    <t>UO2-L80051</t>
  </si>
  <si>
    <t>&lt;ACME&gt;</t>
  </si>
  <si>
    <t>LITHUANIA</t>
  </si>
  <si>
    <t>劉麗森#811306</t>
  </si>
  <si>
    <t>AL-STYLE</t>
  </si>
  <si>
    <t>KAZAKHSTAN</t>
  </si>
  <si>
    <t>許家恩#811370</t>
  </si>
  <si>
    <t>ASBISC</t>
  </si>
  <si>
    <t>UKRAINE</t>
  </si>
  <si>
    <t>CHARM</t>
  </si>
  <si>
    <t>AZERBAIJAN</t>
  </si>
  <si>
    <t>COMEL</t>
  </si>
  <si>
    <t>DAR</t>
  </si>
  <si>
    <t>UO2-L80056</t>
  </si>
  <si>
    <t>&lt;DAR&gt;</t>
  </si>
  <si>
    <t>KUWAIT</t>
  </si>
  <si>
    <t>吳怡萱#813335</t>
  </si>
  <si>
    <t>DISTIMA</t>
  </si>
  <si>
    <t>UO2-L80049</t>
  </si>
  <si>
    <t>&lt;DISTIMA&gt;</t>
  </si>
  <si>
    <t>U.A.E.</t>
  </si>
  <si>
    <t>DNS LODZ</t>
  </si>
  <si>
    <t>RUSSIA</t>
  </si>
  <si>
    <t>樊宇珊#813305</t>
  </si>
  <si>
    <t>ELCO.KZ</t>
  </si>
  <si>
    <t>ELKO</t>
  </si>
  <si>
    <t>UO2-L80052</t>
  </si>
  <si>
    <t>&lt;ELKO&gt;</t>
  </si>
  <si>
    <t>LATVIA</t>
  </si>
  <si>
    <t>ELKO-RU</t>
  </si>
  <si>
    <t>UO2-L80091</t>
  </si>
  <si>
    <t>唐潤培#813318</t>
  </si>
  <si>
    <t>FRONTOSA</t>
  </si>
  <si>
    <t>UO2-L80037</t>
  </si>
  <si>
    <t>&lt;FRONTOSA&gt;</t>
  </si>
  <si>
    <t>R.S.A.</t>
  </si>
  <si>
    <t>UO2-L80040</t>
  </si>
  <si>
    <t>GSME</t>
  </si>
  <si>
    <t>UO2-L80057</t>
  </si>
  <si>
    <t>&lt;DAMMAM&gt;</t>
  </si>
  <si>
    <t>GSME-EG</t>
  </si>
  <si>
    <t>UO2-L80058</t>
  </si>
  <si>
    <t>&lt;GAMMA&gt;</t>
  </si>
  <si>
    <t>EGYPT</t>
  </si>
  <si>
    <t>UO1-L80049</t>
  </si>
  <si>
    <t>HASKEL</t>
  </si>
  <si>
    <t>ISOLIN</t>
  </si>
  <si>
    <t>MTC-ME</t>
  </si>
  <si>
    <t>UO2-L80053</t>
  </si>
  <si>
    <t>&lt;MTC&gt;</t>
  </si>
  <si>
    <t>SAUDI ARABIA</t>
  </si>
  <si>
    <t>MTI TOV</t>
  </si>
  <si>
    <t>NEW IT</t>
  </si>
  <si>
    <t>UO2-L80094</t>
  </si>
  <si>
    <t>RECTRON</t>
  </si>
  <si>
    <t>UO2-L80042</t>
  </si>
  <si>
    <t>&lt;RECTRON&gt;</t>
  </si>
  <si>
    <t>WINTEK</t>
  </si>
  <si>
    <t>UO2-L80046</t>
  </si>
  <si>
    <t>&lt;WINTEK&gt;</t>
  </si>
  <si>
    <t>TUNISIA</t>
  </si>
  <si>
    <t>巨力</t>
  </si>
  <si>
    <t>UO2-L80044</t>
  </si>
  <si>
    <t>&lt;MUSTEK&gt;</t>
  </si>
  <si>
    <t>RM</t>
    <phoneticPr fontId="8" type="noConversion"/>
  </si>
  <si>
    <t>SUB TOTAL</t>
    <phoneticPr fontId="8" type="noConversion"/>
  </si>
  <si>
    <t>RU May</t>
    <phoneticPr fontId="13" type="noConversion"/>
  </si>
  <si>
    <t>CIS Neil</t>
    <phoneticPr fontId="13" type="noConversion"/>
  </si>
  <si>
    <t>BALTIC Sunny</t>
    <phoneticPr fontId="13" type="noConversion"/>
  </si>
  <si>
    <t>ME+AF Arthur</t>
    <phoneticPr fontId="13" type="noConversion"/>
  </si>
  <si>
    <t>SA+EG Francis</t>
    <phoneticPr fontId="13" type="noConversion"/>
  </si>
  <si>
    <t>sum</t>
    <phoneticPr fontId="13" type="noConversion"/>
  </si>
  <si>
    <t>GV-N105TOC-4GL**</t>
  </si>
  <si>
    <t>GV-N1656D6-4G</t>
  </si>
  <si>
    <t>GBM/NP</t>
    <phoneticPr fontId="8" type="noConversion"/>
  </si>
  <si>
    <t>NP</t>
    <phoneticPr fontId="8" type="noConversion"/>
  </si>
  <si>
    <t>GBM</t>
    <phoneticPr fontId="8" type="noConversion"/>
  </si>
  <si>
    <t>DG/GBM/NP</t>
    <phoneticPr fontId="8" type="noConversion"/>
  </si>
  <si>
    <t>DG/GBM</t>
    <phoneticPr fontId="8" type="noConversion"/>
  </si>
  <si>
    <t>DG</t>
    <phoneticPr fontId="8" type="noConversion"/>
  </si>
  <si>
    <t>GV-R67XTEAGLE OC-12GD</t>
  </si>
  <si>
    <t>GV-R56XTWF2OC-6GD</t>
  </si>
  <si>
    <t>GV-N3090TURBO-24GD</t>
    <phoneticPr fontId="8" type="noConversion"/>
  </si>
  <si>
    <t>GV-N3060EAGLE-12GD</t>
    <phoneticPr fontId="8" type="noConversion"/>
  </si>
  <si>
    <t>GV-N2060AORUS X-6GC</t>
  </si>
  <si>
    <t>GV-N166TIXOC-6GD</t>
  </si>
  <si>
    <t>GV-N166TWF2OC-6GD</t>
  </si>
  <si>
    <t>GV-N166SD6 V-6GD</t>
  </si>
  <si>
    <t>GV-N710D3-2GL</t>
  </si>
  <si>
    <t>RTX A4000-NC</t>
    <phoneticPr fontId="8" type="noConversion"/>
  </si>
  <si>
    <t>T600-NC</t>
    <phoneticPr fontId="8" type="noConversion"/>
  </si>
  <si>
    <t>T600</t>
  </si>
  <si>
    <t>T400</t>
  </si>
  <si>
    <t>9VR67XTEO-00-10</t>
  </si>
  <si>
    <t>9VR57XTG-00-10</t>
  </si>
  <si>
    <t>9AN3090IE-KR-10</t>
  </si>
  <si>
    <t>9AN3090IE-JP-10</t>
  </si>
  <si>
    <t>9VN3090AM-00-20</t>
    <phoneticPr fontId="8" type="noConversion"/>
  </si>
  <si>
    <t>9AN308TIE-KR-10</t>
  </si>
  <si>
    <t>9AN308TIE-JP-10</t>
  </si>
  <si>
    <t>9AN3080IE-00-20</t>
    <phoneticPr fontId="8" type="noConversion"/>
  </si>
  <si>
    <t>9VN3080AW-00-20</t>
    <phoneticPr fontId="8" type="noConversion"/>
  </si>
  <si>
    <t>9VN3080AWB-00-20</t>
    <phoneticPr fontId="8" type="noConversion"/>
  </si>
  <si>
    <t>9VN3080AWB-00-10</t>
  </si>
  <si>
    <t>9VN3080AX-00-20</t>
    <phoneticPr fontId="8" type="noConversion"/>
  </si>
  <si>
    <t>9VN3080AM-00-30</t>
    <phoneticPr fontId="8" type="noConversion"/>
  </si>
  <si>
    <t>9VN3080E-00-20</t>
    <phoneticPr fontId="8" type="noConversion"/>
  </si>
  <si>
    <t>9VN3070E-EC-20</t>
  </si>
  <si>
    <t>9VN306TGOP-00-30</t>
    <phoneticPr fontId="8" type="noConversion"/>
  </si>
  <si>
    <t>9VN306TGOP-00-10</t>
  </si>
  <si>
    <t>9VN306TGP-00-20</t>
    <phoneticPr fontId="8" type="noConversion"/>
  </si>
  <si>
    <t>9VN306TGP-00-10</t>
  </si>
  <si>
    <t>9VN306TE-00-10</t>
    <phoneticPr fontId="8" type="noConversion"/>
  </si>
  <si>
    <t>9VN306TE-EC-20</t>
  </si>
  <si>
    <t>9VN3060VO-00-20</t>
  </si>
  <si>
    <t>9VN3060EO-00-20</t>
    <phoneticPr fontId="8" type="noConversion"/>
  </si>
  <si>
    <t>9VN3060EO-00-10</t>
  </si>
  <si>
    <t>9VN3060E-00-20</t>
    <phoneticPr fontId="8" type="noConversion"/>
  </si>
  <si>
    <t>9VN2060AX-00-10</t>
  </si>
  <si>
    <t>9VN2060AX-00-20</t>
    <phoneticPr fontId="8" type="noConversion"/>
  </si>
  <si>
    <t>9VN2060D6-00-20</t>
    <phoneticPr fontId="8" type="noConversion"/>
  </si>
  <si>
    <t>9VN2060D6-00-10</t>
  </si>
  <si>
    <t>9VN166TIO6-00-10</t>
  </si>
  <si>
    <t>9VN166TWO6-00-10</t>
  </si>
  <si>
    <t>9VN166SDV6-00-10</t>
  </si>
  <si>
    <t>9VN166SDV6-EC-10</t>
  </si>
  <si>
    <t>9VN1656O4-00-20</t>
    <phoneticPr fontId="8" type="noConversion"/>
  </si>
  <si>
    <t>9VN1656O4-00-10</t>
  </si>
  <si>
    <t>9VN1656D4-00-20</t>
    <phoneticPr fontId="8" type="noConversion"/>
  </si>
  <si>
    <t>9RVTXA4000-NC-10</t>
  </si>
  <si>
    <t>9VT600-NC-10</t>
  </si>
  <si>
    <t>9VT600-0C-10</t>
  </si>
  <si>
    <t>R67XTEO-00</t>
  </si>
  <si>
    <t>N3090IE-KR</t>
    <phoneticPr fontId="8" type="noConversion"/>
  </si>
  <si>
    <t>N3090IE-JP</t>
    <phoneticPr fontId="8" type="noConversion"/>
  </si>
  <si>
    <t>N308TIE-AU</t>
  </si>
  <si>
    <t>N308TIE-KR</t>
    <phoneticPr fontId="8" type="noConversion"/>
  </si>
  <si>
    <t>N308TIE-JP</t>
    <phoneticPr fontId="8" type="noConversion"/>
  </si>
  <si>
    <t>N2060AX-00</t>
  </si>
  <si>
    <t>N166TIO6-00</t>
  </si>
  <si>
    <t>N166TWO6-00</t>
  </si>
  <si>
    <t>N166SDV6-00</t>
  </si>
  <si>
    <t>N166SDV6-EC</t>
  </si>
  <si>
    <t>A4000-NC</t>
    <phoneticPr fontId="8" type="noConversion"/>
  </si>
  <si>
    <t>T600-0C</t>
  </si>
  <si>
    <t>T400-0C</t>
  </si>
  <si>
    <t>ASBIS-CR</t>
  </si>
  <si>
    <t>CHS</t>
  </si>
  <si>
    <t>UO2-L80230</t>
  </si>
  <si>
    <t>UO2-L80208</t>
  </si>
  <si>
    <t>BDC</t>
  </si>
  <si>
    <t>許家恩#811374</t>
  </si>
  <si>
    <t>DISTRIPLUS</t>
  </si>
  <si>
    <t>UO2-L80193</t>
  </si>
  <si>
    <t>&lt;DISTRIPLUS FZC&gt;</t>
  </si>
  <si>
    <t>U.A.E</t>
  </si>
  <si>
    <t>UO1-L80170</t>
  </si>
  <si>
    <t>UO2-L80210</t>
  </si>
  <si>
    <t>　</t>
  </si>
  <si>
    <t>UO2-L80236</t>
  </si>
  <si>
    <t>UO1-L80196</t>
  </si>
  <si>
    <t>FLASH M</t>
  </si>
  <si>
    <t>許家恩#811372</t>
  </si>
  <si>
    <t>許家恩#811373</t>
  </si>
  <si>
    <t>UO2-L80195</t>
  </si>
  <si>
    <t>UO2-L80197</t>
  </si>
  <si>
    <t>UO2-L80194</t>
  </si>
  <si>
    <t>&lt;GSME-DI&gt;</t>
  </si>
  <si>
    <t>UO2-L80205</t>
  </si>
  <si>
    <t>LIGHTSPEED</t>
  </si>
  <si>
    <t>UO2-L80207</t>
  </si>
  <si>
    <t>MTI</t>
  </si>
  <si>
    <t>UO2-L80237</t>
  </si>
  <si>
    <t>UO1-L80197</t>
  </si>
  <si>
    <t>ORDI</t>
  </si>
  <si>
    <t>UO2-L80209</t>
  </si>
  <si>
    <t>&lt;ORDI&gt;</t>
  </si>
  <si>
    <t>ESTONIA</t>
  </si>
  <si>
    <t>UO2-L80202</t>
  </si>
  <si>
    <t>SDC</t>
  </si>
  <si>
    <t>許家恩#811371</t>
  </si>
  <si>
    <t>UO2-L80206</t>
  </si>
  <si>
    <t>UO2-L80204</t>
  </si>
  <si>
    <r>
      <rPr>
        <sz val="8"/>
        <color rgb="FF000000"/>
        <rFont val="細明體"/>
        <family val="2"/>
        <charset val="136"/>
      </rPr>
      <t>出貨日</t>
    </r>
    <r>
      <rPr>
        <sz val="8"/>
        <color rgb="FF000000"/>
        <rFont val="Arial"/>
        <family val="2"/>
      </rPr>
      <t>8/21</t>
    </r>
    <phoneticPr fontId="8" type="noConversion"/>
  </si>
  <si>
    <r>
      <rPr>
        <sz val="8"/>
        <color theme="1"/>
        <rFont val="新細明體"/>
        <family val="2"/>
      </rPr>
      <t>本週配貨如果有</t>
    </r>
    <r>
      <rPr>
        <sz val="8"/>
        <color theme="1"/>
        <rFont val="Arial"/>
        <family val="2"/>
      </rPr>
      <t xml:space="preserve">n105t </t>
    </r>
    <r>
      <rPr>
        <sz val="8"/>
        <color theme="1"/>
        <rFont val="新細明體"/>
        <family val="2"/>
      </rPr>
      <t>是否可以先滿足</t>
    </r>
    <r>
      <rPr>
        <sz val="8"/>
        <color theme="1"/>
        <rFont val="Arial"/>
        <family val="2"/>
      </rPr>
      <t xml:space="preserve">comel, </t>
    </r>
    <r>
      <rPr>
        <sz val="8"/>
        <color theme="1"/>
        <rFont val="新細明體"/>
        <family val="2"/>
      </rPr>
      <t>是要給一個</t>
    </r>
    <r>
      <rPr>
        <sz val="8"/>
        <color theme="1"/>
        <rFont val="Arial"/>
        <family val="2"/>
      </rPr>
      <t>nova poshta</t>
    </r>
    <r>
      <rPr>
        <sz val="8"/>
        <color theme="1"/>
        <rFont val="新細明體"/>
        <family val="2"/>
      </rPr>
      <t>的標案</t>
    </r>
    <r>
      <rPr>
        <sz val="8"/>
        <color theme="1"/>
        <rFont val="Arial"/>
        <family val="2"/>
      </rPr>
      <t>, pc</t>
    </r>
    <r>
      <rPr>
        <sz val="8"/>
        <color theme="1"/>
        <rFont val="新細明體"/>
        <family val="2"/>
      </rPr>
      <t>升級。</t>
    </r>
    <r>
      <rPr>
        <sz val="8"/>
        <color theme="1"/>
        <rFont val="Arial"/>
        <family val="2"/>
      </rPr>
      <t xml:space="preserve"> GV-N105TOC-4GL  *100pcs</t>
    </r>
  </si>
  <si>
    <r>
      <rPr>
        <sz val="8"/>
        <color theme="1"/>
        <rFont val="新細明體"/>
        <family val="2"/>
      </rPr>
      <t>他說如果沒有這隻的話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新細明體"/>
        <family val="2"/>
      </rPr>
      <t>可以用下面四隻替代</t>
    </r>
  </si>
  <si>
    <r>
      <rPr>
        <sz val="8"/>
        <color theme="1"/>
        <rFont val="新細明體"/>
        <family val="2"/>
      </rPr>
      <t>等級</t>
    </r>
    <phoneticPr fontId="8" type="noConversion"/>
  </si>
  <si>
    <r>
      <rPr>
        <sz val="8"/>
        <color theme="1"/>
        <rFont val="新細明體"/>
        <family val="2"/>
      </rPr>
      <t>海</t>
    </r>
    <r>
      <rPr>
        <sz val="8"/>
        <rFont val="Arial"/>
        <family val="2"/>
      </rPr>
      <t xml:space="preserve">/    </t>
    </r>
    <r>
      <rPr>
        <sz val="8"/>
        <color theme="1"/>
        <rFont val="新細明體"/>
        <family val="2"/>
      </rPr>
      <t>空運</t>
    </r>
    <phoneticPr fontId="8" type="noConversion"/>
  </si>
  <si>
    <r>
      <rPr>
        <sz val="8"/>
        <color theme="1"/>
        <rFont val="新細明體"/>
        <family val="2"/>
      </rPr>
      <t>部門</t>
    </r>
    <phoneticPr fontId="8" type="noConversion"/>
  </si>
  <si>
    <r>
      <rPr>
        <sz val="8"/>
        <color theme="1"/>
        <rFont val="新細明體"/>
        <family val="2"/>
      </rPr>
      <t>廠別</t>
    </r>
    <phoneticPr fontId="8" type="noConversion"/>
  </si>
  <si>
    <r>
      <t>ORDI</t>
    </r>
    <r>
      <rPr>
        <sz val="8"/>
        <color theme="1"/>
        <rFont val="新細明體"/>
        <family val="2"/>
      </rPr>
      <t>客人說他們收到</t>
    </r>
    <r>
      <rPr>
        <sz val="8"/>
        <color theme="1"/>
        <rFont val="Arial"/>
        <family val="2"/>
      </rPr>
      <t xml:space="preserve">60pcs RTX3060Ti Eagle or Gaming(or other model) </t>
    </r>
    <phoneticPr fontId="3" type="noConversion"/>
  </si>
  <si>
    <t>GV-N1650OC-4GL</t>
    <phoneticPr fontId="3" type="noConversion"/>
  </si>
  <si>
    <t>GV-N206SGAMINGOC WHITE-8GD</t>
    <phoneticPr fontId="8" type="noConversion"/>
  </si>
  <si>
    <t>GV-N206SWF2OC-8GD</t>
  </si>
  <si>
    <t>GV-N206SGAMING-8GC</t>
  </si>
  <si>
    <t>GV-N206SGAMING-8GD</t>
    <phoneticPr fontId="8" type="noConversion"/>
  </si>
  <si>
    <t>GV-N206SGAMING WHITE-8GD</t>
  </si>
  <si>
    <t>GV-N206SWF2-8GD</t>
  </si>
  <si>
    <t>GV-N2060IXOC-6GD</t>
  </si>
  <si>
    <t>GV-N2060IX-6GD</t>
  </si>
  <si>
    <t>GV-N166TAORUS-6GD</t>
  </si>
  <si>
    <t>GV-N30HXD6-6G</t>
  </si>
  <si>
    <t>RTX A6000-NC</t>
    <phoneticPr fontId="8" type="noConversion"/>
  </si>
  <si>
    <t>RTX A5000-NC</t>
    <phoneticPr fontId="8" type="noConversion"/>
  </si>
  <si>
    <t>QUADRO RTX5000-NV</t>
    <phoneticPr fontId="8" type="noConversion"/>
  </si>
  <si>
    <t>QUADRO RTX4000-NV</t>
    <phoneticPr fontId="8" type="noConversion"/>
  </si>
  <si>
    <t>QUADRO P2200-NV</t>
    <phoneticPr fontId="8" type="noConversion"/>
  </si>
  <si>
    <t>QUADRO P1000</t>
    <phoneticPr fontId="8" type="noConversion"/>
  </si>
  <si>
    <t>QUADRO P620</t>
    <phoneticPr fontId="8" type="noConversion"/>
  </si>
  <si>
    <t>9VN3090AM-00-10</t>
    <phoneticPr fontId="8" type="noConversion"/>
  </si>
  <si>
    <t>9VN3080AM-00-20</t>
    <phoneticPr fontId="8" type="noConversion"/>
  </si>
  <si>
    <t>9VN3080VO-00-20</t>
    <phoneticPr fontId="8" type="noConversion"/>
  </si>
  <si>
    <t>9VN3080VO-00-10</t>
  </si>
  <si>
    <t>9VN206SGWD-00-10</t>
  </si>
  <si>
    <t>9VN206SW2O-00-11</t>
  </si>
  <si>
    <t>9VN206SG-00-10.</t>
  </si>
  <si>
    <t>9VN206SGD-00-10</t>
  </si>
  <si>
    <t>9VN206SGW8-00-10</t>
  </si>
  <si>
    <t>9VN206SW2-00-10</t>
  </si>
  <si>
    <t>9VN2060AX-00-20</t>
  </si>
  <si>
    <t>9VN2060IO6-00-10</t>
  </si>
  <si>
    <t>9VN2060IX6-00-10</t>
  </si>
  <si>
    <t>9VN166TA-00-10</t>
  </si>
  <si>
    <t>9VN30HX-00-10</t>
  </si>
  <si>
    <t>9VN710D5GL-00-20</t>
    <phoneticPr fontId="8" type="noConversion"/>
  </si>
  <si>
    <t>9VRTXA6000-NC-10</t>
    <phoneticPr fontId="8" type="noConversion"/>
  </si>
  <si>
    <t>9VRTXA5000-NC-10</t>
    <phoneticPr fontId="8" type="noConversion"/>
  </si>
  <si>
    <t>9VRTXA4000-NC-10</t>
    <phoneticPr fontId="8" type="noConversion"/>
  </si>
  <si>
    <t>N206SGWD-00</t>
    <phoneticPr fontId="8" type="noConversion"/>
  </si>
  <si>
    <t>N206SW2O-00</t>
    <phoneticPr fontId="8" type="noConversion"/>
  </si>
  <si>
    <t>N206SG-00</t>
    <phoneticPr fontId="8" type="noConversion"/>
  </si>
  <si>
    <t>N206SGD-00</t>
    <phoneticPr fontId="8" type="noConversion"/>
  </si>
  <si>
    <t>N206SGW8-00</t>
    <phoneticPr fontId="8" type="noConversion"/>
  </si>
  <si>
    <t>N206SW2-00</t>
    <phoneticPr fontId="8" type="noConversion"/>
  </si>
  <si>
    <t>N2060IO6-00</t>
    <phoneticPr fontId="8" type="noConversion"/>
  </si>
  <si>
    <t>N2060IX6-00</t>
    <phoneticPr fontId="8" type="noConversion"/>
  </si>
  <si>
    <t>N166TA-00</t>
    <phoneticPr fontId="8" type="noConversion"/>
  </si>
  <si>
    <t>N30HX-00</t>
    <phoneticPr fontId="8" type="noConversion"/>
  </si>
  <si>
    <t>A6000-NC</t>
    <phoneticPr fontId="8" type="noConversion"/>
  </si>
  <si>
    <t>A5000-NC</t>
    <phoneticPr fontId="8" type="noConversion"/>
  </si>
  <si>
    <t>cecily</t>
    <phoneticPr fontId="8" type="noConversion"/>
  </si>
  <si>
    <t>林宜儒#811379</t>
  </si>
  <si>
    <t>v</t>
    <phoneticPr fontId="8" type="noConversion"/>
  </si>
  <si>
    <t>林家儀 #813326</t>
  </si>
  <si>
    <t>UO2-L80358</t>
  </si>
  <si>
    <t>EXERTIS</t>
  </si>
  <si>
    <t>ACC</t>
  </si>
  <si>
    <t>UO2-L80346</t>
  </si>
  <si>
    <t>AL STYLE</t>
  </si>
  <si>
    <t>CMNO</t>
  </si>
  <si>
    <t>UO2-L80331</t>
  </si>
  <si>
    <t>UO1-L80252</t>
  </si>
  <si>
    <t>DATEX</t>
  </si>
  <si>
    <t>ECOCOMP</t>
  </si>
  <si>
    <t>UO2-L80356</t>
  </si>
  <si>
    <t>UO1-L80273</t>
  </si>
  <si>
    <t>UO2-L80347</t>
  </si>
  <si>
    <t>UO2-L80350</t>
  </si>
  <si>
    <t>UO1-L80271</t>
  </si>
  <si>
    <t>UO2-L80341</t>
  </si>
  <si>
    <t>S.A.</t>
  </si>
  <si>
    <t>UO2-L80332</t>
  </si>
  <si>
    <t>&lt;GSME-D&gt;</t>
  </si>
  <si>
    <t>UO1-L80253</t>
  </si>
  <si>
    <t>UO2-L80333</t>
  </si>
  <si>
    <t>UO1-L80254</t>
  </si>
  <si>
    <t>UO2-L80334</t>
  </si>
  <si>
    <t>UO1-L80255</t>
  </si>
  <si>
    <t>MICRODATA</t>
  </si>
  <si>
    <t>UO2-L80345</t>
  </si>
  <si>
    <t>&lt;OSCT&gt;</t>
  </si>
  <si>
    <t>JORDAN</t>
  </si>
  <si>
    <t>UO2-L80355</t>
  </si>
  <si>
    <t>&lt;MTC-ME&gt;</t>
  </si>
  <si>
    <t>JEDDAH</t>
  </si>
  <si>
    <t>UO2-L80354</t>
  </si>
  <si>
    <t xml:space="preserve">    </t>
  </si>
  <si>
    <t>UO1-L80272</t>
  </si>
  <si>
    <t>UO2-L80351</t>
  </si>
  <si>
    <t>UO2-L80352</t>
  </si>
  <si>
    <t>SEENEN</t>
  </si>
  <si>
    <t>UO2-L80335</t>
  </si>
  <si>
    <t>&lt;SEENEN IT&gt;</t>
  </si>
  <si>
    <t>UO2-L80343</t>
  </si>
  <si>
    <t>UO2-L80353</t>
  </si>
  <si>
    <t>A</t>
    <phoneticPr fontId="8" type="noConversion"/>
  </si>
  <si>
    <t>UA1I</t>
    <phoneticPr fontId="8" type="noConversion"/>
  </si>
  <si>
    <r>
      <rPr>
        <sz val="8"/>
        <color rgb="FF000000"/>
        <rFont val="細明體"/>
        <family val="2"/>
        <charset val="136"/>
      </rPr>
      <t>出貨日</t>
    </r>
    <r>
      <rPr>
        <sz val="8"/>
        <color rgb="FF000000"/>
        <rFont val="Arial"/>
        <family val="2"/>
      </rPr>
      <t xml:space="preserve"> 8/28</t>
    </r>
    <phoneticPr fontId="8" type="noConversion"/>
  </si>
  <si>
    <t>ISOLIN</t>
    <phoneticPr fontId="3" type="noConversion"/>
  </si>
  <si>
    <t xml:space="preserve">WK35 </t>
    <phoneticPr fontId="3" type="noConversion"/>
  </si>
  <si>
    <t>GV-N3060GAMING OC-12GD 2.0</t>
    <phoneticPr fontId="3" type="noConversion"/>
  </si>
  <si>
    <t>GV-N3060EAGLE OC-12GD 2.0</t>
    <phoneticPr fontId="3" type="noConversion"/>
  </si>
  <si>
    <t>DNS CPU+Z590+VGA 5000pcs</t>
    <phoneticPr fontId="3" type="noConversion"/>
  </si>
  <si>
    <t/>
  </si>
  <si>
    <t>GV-R56XTWF2-6GD</t>
  </si>
  <si>
    <t>GV-N3050GAMING OC-4GD</t>
  </si>
  <si>
    <t>GV-N3050EAGLE OC-4GD</t>
  </si>
  <si>
    <t>GV-N3050EAGLE-4GD</t>
  </si>
  <si>
    <t>GV-N3050D6-4GL</t>
  </si>
  <si>
    <t>GV-N1650CN-4GD</t>
  </si>
  <si>
    <t>GV-N105TWF2OC-4GD</t>
  </si>
  <si>
    <t>RTX A4000-NV</t>
  </si>
  <si>
    <t>QUADRO P400</t>
  </si>
  <si>
    <t>9VR68B-TW-10</t>
  </si>
  <si>
    <t>9VR67XTB-TW-10</t>
  </si>
  <si>
    <t>9VR56XTWF-00-20</t>
  </si>
  <si>
    <t>9VN3080AW-00-20</t>
  </si>
  <si>
    <t>9VN3060AE-00-10</t>
  </si>
  <si>
    <t>9VN3050GO-00-10</t>
  </si>
  <si>
    <t>9VN3050EO-00-10</t>
  </si>
  <si>
    <t>9VN3050E-00-10</t>
  </si>
  <si>
    <t>9VN3050D6L-00-10</t>
  </si>
  <si>
    <t>9VN1656O4-00-30</t>
    <phoneticPr fontId="8" type="noConversion"/>
  </si>
  <si>
    <t>9VN1650C4-EC-10</t>
  </si>
  <si>
    <t>9VN105TWO4-00-10</t>
  </si>
  <si>
    <t>9VRTXA4000-NC-10</t>
  </si>
  <si>
    <t>9VQP400-00-20</t>
  </si>
  <si>
    <t>R68B-TW</t>
  </si>
  <si>
    <t>R67XTB-TW</t>
  </si>
  <si>
    <t>R56XTWF-00</t>
  </si>
  <si>
    <t>N2060IX6-00</t>
  </si>
  <si>
    <t>N3050GO-00</t>
  </si>
  <si>
    <t>N3050EO-00</t>
  </si>
  <si>
    <t>N3050E-00</t>
  </si>
  <si>
    <t>N3050D6L-00</t>
  </si>
  <si>
    <t>N166TA-00</t>
  </si>
  <si>
    <t>N1650C4-EC</t>
  </si>
  <si>
    <t>N105TWO4-00</t>
  </si>
  <si>
    <t>RTXA4000-NC</t>
  </si>
  <si>
    <t>QP400-00</t>
  </si>
  <si>
    <t>2021/09/04</t>
  </si>
  <si>
    <t>林宜儒 #811378</t>
  </si>
  <si>
    <t>B40</t>
  </si>
  <si>
    <t>UO2-L80539</t>
  </si>
  <si>
    <t>UO1-L80409</t>
  </si>
  <si>
    <t>B45</t>
  </si>
  <si>
    <t>&lt;CHS&gt;</t>
  </si>
  <si>
    <t>HUNGARY/HUNGARY</t>
  </si>
  <si>
    <t>TURKEY/TURKEY</t>
  </si>
  <si>
    <t>郭宜芳 #811396</t>
  </si>
  <si>
    <t>C15</t>
  </si>
  <si>
    <t>A03</t>
  </si>
  <si>
    <t>UO2-L80542</t>
  </si>
  <si>
    <t>UO1-L80411</t>
  </si>
  <si>
    <t>UO2-L80546</t>
  </si>
  <si>
    <t>何湉歆 #811372</t>
  </si>
  <si>
    <t>B25</t>
  </si>
  <si>
    <t>UO2-L80496</t>
  </si>
  <si>
    <t>劉麗森 #811306</t>
  </si>
  <si>
    <t>許家恩 #811370</t>
  </si>
  <si>
    <t>A12</t>
  </si>
  <si>
    <t>BELARUS</t>
  </si>
  <si>
    <t>BELEVM</t>
  </si>
  <si>
    <t>LATVIA/LATVIA</t>
  </si>
  <si>
    <t>樊宇珊 #813305</t>
  </si>
  <si>
    <t>UO2-L80486</t>
  </si>
  <si>
    <t>吳怡萱 #813335</t>
  </si>
  <si>
    <t>UO1-L80364</t>
  </si>
  <si>
    <t>RUSSIA/RUSSIA</t>
  </si>
  <si>
    <t>A16</t>
  </si>
  <si>
    <t>UO2-L80497</t>
  </si>
  <si>
    <t>B02</t>
  </si>
  <si>
    <t>UO2-L80506</t>
  </si>
  <si>
    <t>唐潤培 #813318</t>
  </si>
  <si>
    <t>UO1-L80376</t>
  </si>
  <si>
    <t>UO2-L80498</t>
  </si>
  <si>
    <t>GAMMA</t>
  </si>
  <si>
    <t>UO2-L80487</t>
  </si>
  <si>
    <t>UO1-L80365</t>
  </si>
  <si>
    <t>A01</t>
  </si>
  <si>
    <t>UO2-L80488</t>
  </si>
  <si>
    <t>UO1-L80366</t>
  </si>
  <si>
    <t>LLC BDC</t>
  </si>
  <si>
    <t>MIPS PLU</t>
  </si>
  <si>
    <t>UO2-L80499</t>
  </si>
  <si>
    <t>UO2-L80507</t>
  </si>
  <si>
    <t>UO1-L80377</t>
  </si>
  <si>
    <t>蜂巢</t>
  </si>
  <si>
    <t>A05</t>
  </si>
  <si>
    <t>UO2-L80500</t>
  </si>
  <si>
    <t>SDC FZE</t>
  </si>
  <si>
    <t>UZBEKISTAN</t>
  </si>
  <si>
    <t>UO2-L80501</t>
  </si>
  <si>
    <t>UO2-L80502</t>
  </si>
  <si>
    <t>UO2-L80537</t>
  </si>
  <si>
    <t>UO1-L80404</t>
  </si>
  <si>
    <t>UO2-L80538</t>
  </si>
  <si>
    <t>UO1-L80405</t>
  </si>
  <si>
    <r>
      <rPr>
        <sz val="8"/>
        <color rgb="FF000000"/>
        <rFont val="細明體"/>
        <family val="2"/>
        <charset val="136"/>
      </rPr>
      <t>出貨日</t>
    </r>
    <r>
      <rPr>
        <sz val="8"/>
        <color rgb="FF000000"/>
        <rFont val="Arial"/>
        <family val="2"/>
      </rPr>
      <t xml:space="preserve"> 9/4</t>
    </r>
    <phoneticPr fontId="8" type="noConversion"/>
  </si>
  <si>
    <t>GV-N306TAORUS E-8GD</t>
    <phoneticPr fontId="3" type="noConversion"/>
  </si>
  <si>
    <t>GV-N306TEAGLE OC-8GD</t>
    <phoneticPr fontId="3" type="noConversion"/>
  </si>
  <si>
    <t>GV-N306TEAGLE-8GD</t>
    <phoneticPr fontId="3" type="noConversion"/>
  </si>
  <si>
    <t>DNS</t>
  </si>
  <si>
    <t>CITILINK</t>
  </si>
  <si>
    <t>REGARD</t>
  </si>
  <si>
    <t>MVIDEO</t>
  </si>
  <si>
    <t>Q'ty</t>
    <phoneticPr fontId="3" type="noConversion"/>
  </si>
  <si>
    <t>Citilink CPU+Z590+VGA 600pcs</t>
    <phoneticPr fontId="3" type="noConversion"/>
  </si>
  <si>
    <t>Black EMEA allocation</t>
    <phoneticPr fontId="3" type="noConversion"/>
  </si>
  <si>
    <t>Red RU allocation</t>
    <phoneticPr fontId="3" type="noConversion"/>
  </si>
  <si>
    <t>ELKO EnkoLab GV-N3090GAMING OC-24GD 25pcs Z590 AORUS ELITE AX 25pcs</t>
    <phoneticPr fontId="3" type="noConversion"/>
  </si>
  <si>
    <t>WK36</t>
    <phoneticPr fontId="3" type="noConversion"/>
  </si>
  <si>
    <t>ELKO</t>
    <phoneticPr fontId="3" type="noConversion"/>
  </si>
  <si>
    <t>GV-N1656OC-4GD</t>
    <phoneticPr fontId="3" type="noConversion"/>
  </si>
  <si>
    <t>they are ready to purchase with MB and PSU</t>
  </si>
  <si>
    <t>Pavel will sell it in bundle from stock</t>
  </si>
  <si>
    <t>Monthly needs</t>
  </si>
  <si>
    <t>MB Z590/B550/B560</t>
  </si>
  <si>
    <t>PSU 650/750/850</t>
  </si>
  <si>
    <t>1k</t>
    <phoneticPr fontId="8" type="noConversion"/>
  </si>
  <si>
    <t>9AN3080IE-AU-20</t>
  </si>
  <si>
    <t>9AN3080IE-KR-20</t>
  </si>
  <si>
    <t>9VN3080EO-00-10</t>
  </si>
  <si>
    <t>N306TE-EC</t>
    <phoneticPr fontId="8" type="noConversion"/>
  </si>
  <si>
    <t>N3060E-EC</t>
    <phoneticPr fontId="8" type="noConversion"/>
  </si>
  <si>
    <t>2021/09/11</t>
  </si>
  <si>
    <t>UO2-L90037</t>
  </si>
  <si>
    <t>UO1-L90030</t>
  </si>
  <si>
    <t>AL QULA</t>
  </si>
  <si>
    <t>UO2-L90033</t>
  </si>
  <si>
    <t>LIBYA</t>
  </si>
  <si>
    <t>UO2-L90043</t>
  </si>
  <si>
    <t>UO1-L90032</t>
  </si>
  <si>
    <t>UO2-L90029</t>
  </si>
  <si>
    <t>MOROCCO</t>
  </si>
  <si>
    <t>UO2-L90044</t>
  </si>
  <si>
    <t>UO1-L90035</t>
  </si>
  <si>
    <t>UO2-L90038</t>
  </si>
  <si>
    <t>UO1-L90031</t>
  </si>
  <si>
    <t>UO2-L90014</t>
  </si>
  <si>
    <t>UO1-L90015</t>
  </si>
  <si>
    <t>ELKO-UA</t>
  </si>
  <si>
    <t>UO2-L90024</t>
  </si>
  <si>
    <t>UO1-L90033</t>
  </si>
  <si>
    <t>UO2-L90026</t>
  </si>
  <si>
    <t>GSME &lt;DAMMAM&gt;</t>
  </si>
  <si>
    <t>UO2-L90045</t>
  </si>
  <si>
    <t>UO1-L90038</t>
  </si>
  <si>
    <t>UO2-L90046</t>
  </si>
  <si>
    <t>UO1-L90039</t>
  </si>
  <si>
    <t>UO2-L90047</t>
  </si>
  <si>
    <t>UO1-L90041</t>
  </si>
  <si>
    <t>A04</t>
  </si>
  <si>
    <t>METRA UAE</t>
  </si>
  <si>
    <t>UO2-L90048</t>
  </si>
  <si>
    <t>&lt;METRA&gt;</t>
  </si>
  <si>
    <t>UO1-L90042</t>
  </si>
  <si>
    <t>UO2-L90035</t>
  </si>
  <si>
    <t>UO1-L90034</t>
  </si>
  <si>
    <t>UO2-L90036</t>
  </si>
  <si>
    <t>UO1-L90036</t>
  </si>
  <si>
    <t>UO2-L90015</t>
  </si>
  <si>
    <t>UO1-L90016</t>
  </si>
  <si>
    <t>UO2-L90027</t>
  </si>
  <si>
    <t>UO1-L90037</t>
  </si>
  <si>
    <t>TRADEICS</t>
  </si>
  <si>
    <t>UO2-L90031</t>
  </si>
  <si>
    <t>UO1-L90040</t>
  </si>
  <si>
    <t>UO2-L90039</t>
  </si>
  <si>
    <r>
      <rPr>
        <sz val="8"/>
        <color indexed="8"/>
        <rFont val="細明體"/>
        <family val="3"/>
        <charset val="136"/>
      </rPr>
      <t>產地</t>
    </r>
    <r>
      <rPr>
        <sz val="8"/>
        <color indexed="8"/>
        <rFont val="Arial"/>
        <family val="2"/>
      </rPr>
      <t>:</t>
    </r>
    <r>
      <rPr>
        <sz val="8"/>
        <color indexed="8"/>
        <rFont val="細明體"/>
        <family val="3"/>
        <charset val="136"/>
      </rPr>
      <t>中國</t>
    </r>
  </si>
  <si>
    <t>WK37</t>
    <phoneticPr fontId="3" type="noConversion"/>
  </si>
  <si>
    <t>GV-N3070GAMING OC-8GD</t>
    <phoneticPr fontId="3" type="noConversion"/>
  </si>
  <si>
    <t>GV-N307TGAMING OC-8GD</t>
    <phoneticPr fontId="3" type="noConversion"/>
  </si>
  <si>
    <t>GV-N307TGAMING OC-8GD</t>
    <phoneticPr fontId="3" type="noConversion"/>
  </si>
  <si>
    <t>GV-N306TGAMING OC-8GD</t>
    <phoneticPr fontId="3" type="noConversion"/>
  </si>
  <si>
    <t>GV-N306TGAMING OC-8GD</t>
    <phoneticPr fontId="3" type="noConversion"/>
  </si>
  <si>
    <t>ONLINETRADE</t>
    <phoneticPr fontId="3" type="noConversion"/>
  </si>
  <si>
    <t>ONLINETRADE CPU+Z590+VGA 200pcs</t>
    <phoneticPr fontId="3" type="noConversion"/>
  </si>
  <si>
    <t>GV-N3060GAMING OC-12GD</t>
    <phoneticPr fontId="3" type="noConversion"/>
  </si>
  <si>
    <t>GV-N3060GAMING OC-12GD</t>
    <phoneticPr fontId="3" type="noConversion"/>
  </si>
  <si>
    <t>GV-N166SOC-6GD</t>
    <phoneticPr fontId="3" type="noConversion"/>
  </si>
  <si>
    <t>GV-N166SOC-6GD</t>
    <phoneticPr fontId="3" type="noConversion"/>
  </si>
  <si>
    <t>GV-N3080AORUSX W-10GD</t>
    <phoneticPr fontId="3" type="noConversion"/>
  </si>
  <si>
    <t>SI K&amp;K thru ELKO</t>
    <phoneticPr fontId="3" type="noConversion"/>
  </si>
  <si>
    <t>GV-N306TGAMING OC-8GD</t>
    <phoneticPr fontId="3" type="noConversion"/>
  </si>
  <si>
    <t>DONE</t>
    <phoneticPr fontId="3" type="noConversion"/>
  </si>
  <si>
    <t>N-tech GV-N1656OC-4GD 300pcs A320M S2H+SATA 120G</t>
    <phoneticPr fontId="3" type="noConversion"/>
  </si>
  <si>
    <t>OCS</t>
    <phoneticPr fontId="3" type="noConversion"/>
  </si>
  <si>
    <t>REGARD CPU+Z590+VGA 100pcs</t>
    <phoneticPr fontId="3" type="noConversion"/>
  </si>
  <si>
    <t>MVIDEO CPU+Z590+VGA 100pcs</t>
    <phoneticPr fontId="3" type="noConversion"/>
  </si>
  <si>
    <t>NL</t>
    <phoneticPr fontId="3" type="noConversion"/>
  </si>
  <si>
    <t>WK38</t>
    <phoneticPr fontId="3" type="noConversion"/>
  </si>
  <si>
    <t>9VR68XTB-TW-10</t>
  </si>
  <si>
    <t>9AN3080IE-US-20</t>
  </si>
  <si>
    <t>9VN3080GO-00-10</t>
  </si>
  <si>
    <t>9VN3070VO-00-10</t>
  </si>
  <si>
    <t>9VN3070E-00-10</t>
  </si>
  <si>
    <t>9VN1656WO4-00-10</t>
  </si>
  <si>
    <t>9N710D5GL-00-10</t>
  </si>
  <si>
    <t>9N710D32L-00-10</t>
  </si>
  <si>
    <t>R68XTB-TW</t>
  </si>
  <si>
    <t>UO2-L90222</t>
  </si>
  <si>
    <t>2021/09/18</t>
  </si>
  <si>
    <t>UO1-L90214</t>
  </si>
  <si>
    <t>UO2-L90220</t>
  </si>
  <si>
    <t>UO1-L90216</t>
  </si>
  <si>
    <t>UO2-L90223</t>
  </si>
  <si>
    <t>x</t>
  </si>
  <si>
    <t>UO2-L90232</t>
  </si>
  <si>
    <t>吳佳芊 #811359</t>
  </si>
  <si>
    <t>UO2-L90182</t>
  </si>
  <si>
    <t>UO2-L90170</t>
  </si>
  <si>
    <t>UO1-L90169</t>
  </si>
  <si>
    <t>UO2-L90183</t>
  </si>
  <si>
    <t>UO2-L90168</t>
  </si>
  <si>
    <t>UO1-L90165</t>
  </si>
  <si>
    <t>ERC</t>
  </si>
  <si>
    <t>UO2-L90175</t>
  </si>
  <si>
    <t>UO2-L90172</t>
  </si>
  <si>
    <t>UO1-L90170</t>
  </si>
  <si>
    <t>UO2-L90174</t>
  </si>
  <si>
    <t>UO1-L90171</t>
  </si>
  <si>
    <t>MEIT</t>
  </si>
  <si>
    <t>UO2-L90186</t>
  </si>
  <si>
    <t>LEBANON</t>
  </si>
  <si>
    <t>MERATEKH</t>
  </si>
  <si>
    <t>UO2-L90176</t>
  </si>
  <si>
    <t>UO1-L90173</t>
  </si>
  <si>
    <t>UO2-L90184</t>
  </si>
  <si>
    <t>UO2-L90169</t>
  </si>
  <si>
    <t>UO1-L90166</t>
  </si>
  <si>
    <t>UO2-L90178</t>
  </si>
  <si>
    <t>UO2-L90180</t>
  </si>
  <si>
    <t>UO2-L90185</t>
  </si>
  <si>
    <r>
      <rPr>
        <sz val="8"/>
        <color rgb="FF000000"/>
        <rFont val="細明體"/>
        <family val="2"/>
        <charset val="136"/>
      </rPr>
      <t>出貨日</t>
    </r>
    <r>
      <rPr>
        <sz val="8"/>
        <color rgb="FF000000"/>
        <rFont val="Arial"/>
        <family val="2"/>
      </rPr>
      <t xml:space="preserve"> 9/18</t>
    </r>
    <phoneticPr fontId="8" type="noConversion"/>
  </si>
  <si>
    <t>ELKO Mvideo GV-N3080GAMING OC-10GD 2.0 (LHR) 30 pcs bundle monitor</t>
    <phoneticPr fontId="3" type="noConversion"/>
  </si>
  <si>
    <t>GV-N3060EAGLE-12GD</t>
    <phoneticPr fontId="3" type="noConversion"/>
  </si>
  <si>
    <t>GV-N1660OC-6GD</t>
    <phoneticPr fontId="3" type="noConversion"/>
  </si>
  <si>
    <t>BELEVM</t>
    <phoneticPr fontId="3" type="noConversion"/>
  </si>
  <si>
    <t>Customer name</t>
  </si>
  <si>
    <t>3080Ti</t>
  </si>
  <si>
    <t>3070Ti</t>
  </si>
  <si>
    <t>3060Ti</t>
  </si>
  <si>
    <t>Artline (UA)</t>
  </si>
  <si>
    <t>Status</t>
  </si>
  <si>
    <t>Telemart (UA)</t>
  </si>
  <si>
    <t>Pulser (KZ)</t>
  </si>
  <si>
    <t>Technodom (KZ)</t>
  </si>
  <si>
    <t>Disty</t>
  </si>
  <si>
    <t>Monitor</t>
  </si>
  <si>
    <t>Qty</t>
  </si>
  <si>
    <t>VGA</t>
  </si>
  <si>
    <t>Sodeistvie</t>
  </si>
  <si>
    <t>FI25F</t>
  </si>
  <si>
    <t>FI27Q</t>
  </si>
  <si>
    <t xml:space="preserve">GV-N306TGAMING OC-8GD </t>
  </si>
  <si>
    <t>GV-N306TVISION OC-8GD or EAGLE OC or GAMING OC or GAMINGPRO OC - any</t>
  </si>
  <si>
    <t>Lite-mobile</t>
  </si>
  <si>
    <t xml:space="preserve">If we can get 400 pcs VGA allocation this week for ELKO UA, ELKO will help to take MB 800 pcs +100 pcs G24F+ 10 pcs M32U. </t>
    <phoneticPr fontId="3" type="noConversion"/>
  </si>
  <si>
    <t>Comino GV-N3090TURBO-24GD 50pcs</t>
    <phoneticPr fontId="3" type="noConversion"/>
  </si>
  <si>
    <t>GV-RX590 GME-8GD</t>
  </si>
  <si>
    <t>GV-N30HXD6-6G</t>
    <phoneticPr fontId="8" type="noConversion"/>
  </si>
  <si>
    <t>9VR55XTOC4-00-10</t>
    <phoneticPr fontId="8" type="noConversion"/>
  </si>
  <si>
    <t>9VRX590GME-00-10</t>
  </si>
  <si>
    <t>9AN3080IE-CN-20</t>
  </si>
  <si>
    <t>9VN306TEO-EC-20</t>
  </si>
  <si>
    <t>N30HX-EC-10</t>
    <phoneticPr fontId="8" type="noConversion"/>
  </si>
  <si>
    <t>9VN1656O4-00-30</t>
  </si>
  <si>
    <t>9VN1656D4-00-30</t>
  </si>
  <si>
    <t>RX590GME-00</t>
  </si>
  <si>
    <t>N3090IE-JP</t>
  </si>
  <si>
    <t>N3080IE-CN</t>
  </si>
  <si>
    <t>N206SW2O-00</t>
  </si>
  <si>
    <t>2021/09/25</t>
  </si>
  <si>
    <t>UO2-L90373</t>
  </si>
  <si>
    <t>UO2-L90363</t>
  </si>
  <si>
    <t>UO1-L90357</t>
  </si>
  <si>
    <t>UO2-L90369</t>
  </si>
  <si>
    <t>DISTRIPL</t>
  </si>
  <si>
    <t>UO2-L90365</t>
  </si>
  <si>
    <t>UO1-L90359</t>
  </si>
  <si>
    <t>UO2-L90375</t>
  </si>
  <si>
    <t>UO2-L90341</t>
  </si>
  <si>
    <t>UO1-L90341</t>
  </si>
  <si>
    <t>UO2-L90355</t>
  </si>
  <si>
    <t>UO2-L90358</t>
  </si>
  <si>
    <t>UO2-L90368</t>
  </si>
  <si>
    <t>UO1-L90360</t>
  </si>
  <si>
    <t>UO2-L90370</t>
  </si>
  <si>
    <t>UO1-L90361</t>
  </si>
  <si>
    <t>UO2-L90376</t>
  </si>
  <si>
    <t>UO2-L90377</t>
  </si>
  <si>
    <t>UO2-L90342</t>
  </si>
  <si>
    <t>UO1-L90342</t>
  </si>
  <si>
    <t>UO2-L90361</t>
  </si>
  <si>
    <t>UO2-L90364</t>
  </si>
  <si>
    <t>VSTRADE</t>
  </si>
  <si>
    <t>UO2-L90378</t>
  </si>
  <si>
    <t>UO2-L90366</t>
  </si>
  <si>
    <r>
      <rPr>
        <sz val="8"/>
        <color rgb="FF000000"/>
        <rFont val="細明體"/>
        <family val="2"/>
        <charset val="136"/>
      </rPr>
      <t>出貨日</t>
    </r>
    <r>
      <rPr>
        <sz val="8"/>
        <color rgb="FF000000"/>
        <rFont val="Arial"/>
        <family val="2"/>
      </rPr>
      <t xml:space="preserve"> 9/25</t>
    </r>
    <phoneticPr fontId="8" type="noConversion"/>
  </si>
  <si>
    <t>WK39</t>
    <phoneticPr fontId="3" type="noConversion"/>
  </si>
  <si>
    <t>GV-N1030D4-2GL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</si>
</sst>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_);[Red]\(#,##0\)"/>
  </numFmts>
  <fonts count="48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8"/>
      <color indexed="10"/>
      <name val="Arial"/>
      <family val="2"/>
    </font>
    <font>
      <sz val="9"/>
      <name val="新細明體"/>
      <family val="3"/>
      <charset val="136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62"/>
      <name val="Arial"/>
      <family val="2"/>
    </font>
    <font>
      <sz val="8"/>
      <color indexed="62"/>
      <name val="細明體"/>
      <family val="3"/>
      <charset val="136"/>
    </font>
    <font>
      <sz val="9"/>
      <name val="新細明體"/>
      <family val="1"/>
      <charset val="136"/>
    </font>
    <font>
      <sz val="8"/>
      <color rgb="FF000000"/>
      <name val="Arial"/>
      <family val="2"/>
    </font>
    <font>
      <sz val="8"/>
      <color rgb="FF000000"/>
      <name val="細明體"/>
      <family val="2"/>
      <charset val="136"/>
    </font>
    <font>
      <sz val="8"/>
      <color indexed="18"/>
      <name val="Arial"/>
      <family val="2"/>
    </font>
    <font>
      <sz val="8"/>
      <color rgb="FFFF0000"/>
      <name val="Arial"/>
      <family val="2"/>
    </font>
    <font>
      <sz val="9"/>
      <name val="新細明體"/>
      <family val="2"/>
      <charset val="136"/>
      <scheme val="minor"/>
    </font>
    <font>
      <b/>
      <sz val="8"/>
      <color indexed="10"/>
      <name val="Arial"/>
      <family val="2"/>
    </font>
    <font>
      <b/>
      <sz val="8"/>
      <color indexed="10"/>
      <name val="新細明體"/>
      <family val="1"/>
      <charset val="136"/>
    </font>
    <font>
      <sz val="8"/>
      <color theme="1"/>
      <name val="新細明體"/>
      <family val="2"/>
      <charset val="136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indexed="62"/>
      <name val="新細明體"/>
      <family val="1"/>
      <charset val="136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新細明體"/>
      <family val="2"/>
    </font>
    <font>
      <sz val="8"/>
      <color theme="0" tint="-4.9989318521683403E-2"/>
      <name val="Arial"/>
      <family val="2"/>
    </font>
    <font>
      <sz val="8"/>
      <color theme="8" tint="0.79998168889431442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細明體"/>
      <family val="1"/>
      <charset val="136"/>
    </font>
    <font>
      <b/>
      <sz val="9"/>
      <color rgb="FF000000"/>
      <name val="細明體"/>
      <family val="3"/>
      <charset val="136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新細明體"/>
      <family val="1"/>
      <charset val="136"/>
    </font>
    <font>
      <sz val="8"/>
      <color theme="1" tint="0.499984740745262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indexed="8"/>
      <name val="細明體"/>
      <family val="3"/>
      <charset val="136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0"/>
      <color rgb="FFCCCCCC"/>
      <name val="Arial"/>
      <family val="2"/>
    </font>
    <font>
      <b/>
      <sz val="10"/>
      <color rgb="FF000000"/>
      <name val="Microsoft JhengHei UI"/>
      <family val="2"/>
      <charset val="1"/>
    </font>
    <font>
      <sz val="10"/>
      <color rgb="FF000000"/>
      <name val="Microsoft JhengHei U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85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176" fontId="4" fillId="0" borderId="0" xfId="1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center" vertical="center" shrinkToFit="1"/>
    </xf>
    <xf numFmtId="0" fontId="9" fillId="2" borderId="0" xfId="1" applyFont="1" applyFill="1" applyAlignment="1">
      <alignment horizontal="center" vertical="center" shrinkToFit="1"/>
    </xf>
    <xf numFmtId="176" fontId="6" fillId="0" borderId="0" xfId="1" applyNumberFormat="1" applyFont="1" applyFill="1" applyBorder="1" applyAlignment="1">
      <alignment horizontal="left" vertical="center"/>
    </xf>
    <xf numFmtId="58" fontId="4" fillId="0" borderId="0" xfId="1" applyNumberFormat="1" applyFont="1" applyFill="1" applyBorder="1" applyAlignment="1">
      <alignment horizontal="center" vertical="center" shrinkToFit="1"/>
    </xf>
    <xf numFmtId="176" fontId="4" fillId="0" borderId="0" xfId="1" applyNumberFormat="1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/>
    </xf>
    <xf numFmtId="58" fontId="6" fillId="0" borderId="0" xfId="1" applyNumberFormat="1" applyFont="1" applyFill="1" applyBorder="1" applyAlignment="1">
      <alignment horizontal="center" vertical="center" shrinkToFit="1"/>
    </xf>
    <xf numFmtId="176" fontId="6" fillId="0" borderId="0" xfId="1" applyNumberFormat="1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 wrapText="1"/>
    </xf>
    <xf numFmtId="176" fontId="6" fillId="0" borderId="0" xfId="1" applyNumberFormat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11" fillId="4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 wrapText="1"/>
    </xf>
    <xf numFmtId="58" fontId="6" fillId="0" borderId="0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 shrinkToFit="1"/>
    </xf>
    <xf numFmtId="0" fontId="11" fillId="5" borderId="0" xfId="1" applyFont="1" applyFill="1" applyBorder="1" applyAlignment="1">
      <alignment horizontal="left" vertical="center" wrapText="1"/>
    </xf>
    <xf numFmtId="58" fontId="6" fillId="0" borderId="0" xfId="1" applyNumberFormat="1" applyFont="1" applyFill="1" applyBorder="1" applyAlignment="1">
      <alignment horizontal="left" vertical="center" shrinkToFit="1"/>
    </xf>
    <xf numFmtId="0" fontId="5" fillId="0" borderId="1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 shrinkToFit="1"/>
    </xf>
    <xf numFmtId="0" fontId="18" fillId="0" borderId="0" xfId="1" applyFont="1" applyFill="1" applyBorder="1" applyAlignment="1">
      <alignment horizontal="center" vertical="center" shrinkToFit="1"/>
    </xf>
    <xf numFmtId="0" fontId="5" fillId="0" borderId="0" xfId="1" applyNumberFormat="1" applyFont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20" fillId="0" borderId="0" xfId="1" applyFont="1" applyFill="1" applyAlignment="1">
      <alignment horizontal="center"/>
    </xf>
    <xf numFmtId="0" fontId="20" fillId="0" borderId="0" xfId="1" applyFont="1" applyFill="1" applyAlignment="1">
      <alignment horizontal="left"/>
    </xf>
    <xf numFmtId="38" fontId="20" fillId="0" borderId="0" xfId="1" applyNumberFormat="1" applyFont="1" applyFill="1" applyAlignment="1">
      <alignment horizontal="right"/>
    </xf>
    <xf numFmtId="38" fontId="20" fillId="6" borderId="0" xfId="1" applyNumberFormat="1" applyFont="1" applyFill="1" applyAlignment="1">
      <alignment horizontal="right"/>
    </xf>
    <xf numFmtId="38" fontId="20" fillId="7" borderId="0" xfId="1" applyNumberFormat="1" applyFont="1" applyFill="1" applyAlignment="1">
      <alignment horizontal="right"/>
    </xf>
    <xf numFmtId="0" fontId="5" fillId="0" borderId="0" xfId="1" applyFont="1" applyFill="1" applyBorder="1" applyAlignment="1"/>
    <xf numFmtId="38" fontId="20" fillId="2" borderId="0" xfId="1" applyNumberFormat="1" applyFont="1" applyFill="1" applyAlignment="1">
      <alignment horizontal="right"/>
    </xf>
    <xf numFmtId="38" fontId="20" fillId="0" borderId="0" xfId="1" applyNumberFormat="1" applyFont="1" applyFill="1" applyAlignment="1">
      <alignment horizontal="left"/>
    </xf>
    <xf numFmtId="14" fontId="20" fillId="0" borderId="0" xfId="1" applyNumberFormat="1" applyFont="1" applyFill="1" applyAlignment="1">
      <alignment horizontal="center"/>
    </xf>
    <xf numFmtId="38" fontId="20" fillId="0" borderId="0" xfId="1" applyNumberFormat="1" applyFont="1" applyFill="1" applyAlignment="1">
      <alignment horizontal="center"/>
    </xf>
    <xf numFmtId="38" fontId="5" fillId="0" borderId="0" xfId="1" applyNumberFormat="1" applyFont="1" applyFill="1" applyBorder="1" applyAlignment="1">
      <alignment horizontal="right" vertical="center"/>
    </xf>
    <xf numFmtId="0" fontId="5" fillId="7" borderId="0" xfId="1" applyFont="1" applyFill="1" applyBorder="1" applyAlignment="1"/>
    <xf numFmtId="0" fontId="5" fillId="2" borderId="0" xfId="1" applyFont="1" applyFill="1" applyBorder="1" applyAlignment="1"/>
    <xf numFmtId="0" fontId="20" fillId="8" borderId="0" xfId="1" applyFont="1" applyFill="1" applyAlignment="1">
      <alignment horizontal="left"/>
    </xf>
    <xf numFmtId="38" fontId="20" fillId="9" borderId="0" xfId="1" applyNumberFormat="1" applyFont="1" applyFill="1" applyAlignment="1">
      <alignment horizontal="right"/>
    </xf>
    <xf numFmtId="38" fontId="21" fillId="9" borderId="0" xfId="1" applyNumberFormat="1" applyFont="1" applyFill="1" applyAlignment="1">
      <alignment horizontal="right"/>
    </xf>
    <xf numFmtId="38" fontId="20" fillId="0" borderId="0" xfId="1" applyNumberFormat="1" applyFont="1" applyAlignment="1">
      <alignment horizontal="right"/>
    </xf>
    <xf numFmtId="0" fontId="20" fillId="0" borderId="2" xfId="1" applyFont="1" applyFill="1" applyBorder="1" applyAlignment="1">
      <alignment horizontal="center"/>
    </xf>
    <xf numFmtId="0" fontId="20" fillId="0" borderId="2" xfId="1" applyFont="1" applyFill="1" applyBorder="1" applyAlignment="1">
      <alignment horizontal="left"/>
    </xf>
    <xf numFmtId="38" fontId="20" fillId="0" borderId="2" xfId="1" applyNumberFormat="1" applyFont="1" applyBorder="1" applyAlignment="1">
      <alignment horizontal="right"/>
    </xf>
    <xf numFmtId="38" fontId="20" fillId="7" borderId="2" xfId="1" applyNumberFormat="1" applyFont="1" applyFill="1" applyBorder="1" applyAlignment="1">
      <alignment horizontal="right"/>
    </xf>
    <xf numFmtId="38" fontId="20" fillId="0" borderId="2" xfId="1" applyNumberFormat="1" applyFont="1" applyFill="1" applyBorder="1" applyAlignment="1">
      <alignment horizontal="left"/>
    </xf>
    <xf numFmtId="14" fontId="20" fillId="0" borderId="2" xfId="1" applyNumberFormat="1" applyFont="1" applyFill="1" applyBorder="1" applyAlignment="1">
      <alignment horizontal="center"/>
    </xf>
    <xf numFmtId="38" fontId="20" fillId="0" borderId="2" xfId="1" applyNumberFormat="1" applyFont="1" applyFill="1" applyBorder="1" applyAlignment="1">
      <alignment horizontal="center"/>
    </xf>
    <xf numFmtId="38" fontId="5" fillId="0" borderId="2" xfId="1" applyNumberFormat="1" applyFont="1" applyFill="1" applyBorder="1" applyAlignment="1">
      <alignment horizontal="right" vertical="center"/>
    </xf>
    <xf numFmtId="0" fontId="5" fillId="0" borderId="2" xfId="1" applyFont="1" applyFill="1" applyBorder="1" applyAlignment="1"/>
    <xf numFmtId="38" fontId="4" fillId="10" borderId="0" xfId="1" applyNumberFormat="1" applyFont="1" applyFill="1" applyBorder="1" applyAlignment="1">
      <alignment horizontal="right" vertical="center" shrinkToFit="1"/>
    </xf>
    <xf numFmtId="0" fontId="20" fillId="6" borderId="0" xfId="1" applyFont="1" applyFill="1" applyAlignment="1">
      <alignment horizontal="center"/>
    </xf>
    <xf numFmtId="0" fontId="20" fillId="6" borderId="0" xfId="1" applyFont="1" applyFill="1" applyAlignment="1">
      <alignment horizontal="left"/>
    </xf>
    <xf numFmtId="38" fontId="20" fillId="11" borderId="0" xfId="1" applyNumberFormat="1" applyFont="1" applyFill="1" applyAlignment="1">
      <alignment horizontal="left"/>
    </xf>
    <xf numFmtId="38" fontId="4" fillId="11" borderId="0" xfId="1" applyNumberFormat="1" applyFont="1" applyFill="1" applyBorder="1" applyAlignment="1">
      <alignment horizontal="right" vertical="center" shrinkToFit="1"/>
    </xf>
    <xf numFmtId="38" fontId="20" fillId="6" borderId="0" xfId="1" applyNumberFormat="1" applyFont="1" applyFill="1" applyAlignment="1">
      <alignment horizontal="center"/>
    </xf>
    <xf numFmtId="38" fontId="5" fillId="6" borderId="0" xfId="1" applyNumberFormat="1" applyFont="1" applyFill="1" applyBorder="1" applyAlignment="1">
      <alignment horizontal="right" vertical="center"/>
    </xf>
    <xf numFmtId="0" fontId="21" fillId="0" borderId="0" xfId="1" applyFont="1" applyFill="1" applyAlignment="1">
      <alignment horizontal="center"/>
    </xf>
    <xf numFmtId="0" fontId="21" fillId="0" borderId="0" xfId="1" applyFont="1" applyFill="1" applyAlignment="1">
      <alignment horizontal="left"/>
    </xf>
    <xf numFmtId="38" fontId="21" fillId="0" borderId="0" xfId="1" applyNumberFormat="1" applyFont="1" applyFill="1" applyAlignment="1">
      <alignment horizontal="right"/>
    </xf>
    <xf numFmtId="38" fontId="21" fillId="0" borderId="0" xfId="1" applyNumberFormat="1" applyFont="1" applyFill="1" applyAlignment="1">
      <alignment horizontal="left"/>
    </xf>
    <xf numFmtId="38" fontId="21" fillId="0" borderId="0" xfId="1" applyNumberFormat="1" applyFont="1" applyFill="1" applyAlignment="1">
      <alignment horizontal="center"/>
    </xf>
    <xf numFmtId="38" fontId="21" fillId="0" borderId="0" xfId="1" applyNumberFormat="1" applyFont="1" applyFill="1" applyBorder="1" applyAlignment="1">
      <alignment horizontal="right" vertical="center"/>
    </xf>
    <xf numFmtId="0" fontId="21" fillId="0" borderId="0" xfId="1" applyFont="1" applyFill="1" applyBorder="1" applyAlignment="1"/>
    <xf numFmtId="0" fontId="5" fillId="12" borderId="1" xfId="1" applyFont="1" applyFill="1" applyBorder="1" applyAlignment="1">
      <alignment horizontal="center" vertical="center"/>
    </xf>
    <xf numFmtId="176" fontId="5" fillId="12" borderId="0" xfId="1" applyNumberFormat="1" applyFont="1" applyFill="1" applyBorder="1" applyAlignment="1">
      <alignment horizontal="center" vertical="center" wrapText="1"/>
    </xf>
    <xf numFmtId="0" fontId="17" fillId="12" borderId="0" xfId="1" applyFont="1" applyFill="1" applyBorder="1" applyAlignment="1">
      <alignment horizontal="center" vertical="center" shrinkToFit="1"/>
    </xf>
    <xf numFmtId="0" fontId="5" fillId="12" borderId="0" xfId="1" applyFont="1" applyFill="1" applyBorder="1" applyAlignment="1">
      <alignment horizontal="center" vertical="center" shrinkToFit="1"/>
    </xf>
    <xf numFmtId="38" fontId="5" fillId="12" borderId="0" xfId="1" applyNumberFormat="1" applyFont="1" applyFill="1" applyBorder="1" applyAlignment="1">
      <alignment horizontal="right" vertical="center"/>
    </xf>
    <xf numFmtId="38" fontId="6" fillId="12" borderId="0" xfId="1" applyNumberFormat="1" applyFont="1" applyFill="1" applyBorder="1" applyAlignment="1">
      <alignment horizontal="left" vertical="center"/>
    </xf>
    <xf numFmtId="38" fontId="4" fillId="12" borderId="0" xfId="1" applyNumberFormat="1" applyFont="1" applyFill="1" applyBorder="1" applyAlignment="1">
      <alignment horizontal="right" vertical="center" shrinkToFit="1"/>
    </xf>
    <xf numFmtId="38" fontId="5" fillId="12" borderId="0" xfId="1" applyNumberFormat="1" applyFont="1" applyFill="1" applyBorder="1" applyAlignment="1">
      <alignment horizontal="center" vertical="center" shrinkToFit="1"/>
    </xf>
    <xf numFmtId="38" fontId="5" fillId="12" borderId="0" xfId="1" applyNumberFormat="1" applyFont="1" applyFill="1" applyBorder="1" applyAlignment="1">
      <alignment horizontal="center" vertical="center"/>
    </xf>
    <xf numFmtId="0" fontId="20" fillId="0" borderId="0" xfId="1" applyFont="1">
      <alignment vertical="center"/>
    </xf>
    <xf numFmtId="0" fontId="20" fillId="0" borderId="0" xfId="1" applyFont="1" applyAlignment="1">
      <alignment vertical="center"/>
    </xf>
    <xf numFmtId="38" fontId="20" fillId="0" borderId="0" xfId="1" applyNumberFormat="1" applyFont="1">
      <alignment vertical="center"/>
    </xf>
    <xf numFmtId="0" fontId="20" fillId="0" borderId="0" xfId="1" applyFont="1" applyBorder="1" applyAlignment="1">
      <alignment vertical="center"/>
    </xf>
    <xf numFmtId="0" fontId="20" fillId="0" borderId="2" xfId="1" applyFont="1" applyBorder="1">
      <alignment vertical="center"/>
    </xf>
    <xf numFmtId="0" fontId="20" fillId="0" borderId="2" xfId="1" applyFont="1" applyBorder="1" applyAlignment="1">
      <alignment vertical="center"/>
    </xf>
    <xf numFmtId="38" fontId="20" fillId="0" borderId="2" xfId="1" applyNumberFormat="1" applyFont="1" applyBorder="1">
      <alignment vertical="center"/>
    </xf>
    <xf numFmtId="0" fontId="22" fillId="0" borderId="0" xfId="1" applyFont="1" applyAlignment="1">
      <alignment vertical="center"/>
    </xf>
    <xf numFmtId="0" fontId="20" fillId="0" borderId="0" xfId="0" applyFont="1"/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9" fillId="2" borderId="0" xfId="0" applyFont="1" applyFill="1" applyAlignment="1">
      <alignment horizontal="center" vertical="center" shrinkToFit="1"/>
    </xf>
    <xf numFmtId="176" fontId="6" fillId="0" borderId="0" xfId="0" applyNumberFormat="1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58" fontId="6" fillId="0" borderId="0" xfId="0" applyNumberFormat="1" applyFont="1" applyFill="1" applyBorder="1" applyAlignment="1">
      <alignment horizontal="center" vertical="center" shrinkToFit="1"/>
    </xf>
    <xf numFmtId="176" fontId="6" fillId="0" borderId="0" xfId="0" applyNumberFormat="1" applyFont="1" applyFill="1" applyBorder="1" applyAlignment="1">
      <alignment horizontal="center" vertical="center" shrinkToFit="1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176" fontId="6" fillId="4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58" fontId="6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shrinkToFit="1"/>
    </xf>
    <xf numFmtId="0" fontId="11" fillId="5" borderId="0" xfId="0" applyFont="1" applyFill="1" applyBorder="1" applyAlignment="1">
      <alignment horizontal="left" vertical="center" wrapText="1"/>
    </xf>
    <xf numFmtId="58" fontId="6" fillId="0" borderId="0" xfId="0" applyNumberFormat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shrinkToFit="1"/>
    </xf>
    <xf numFmtId="0" fontId="18" fillId="0" borderId="0" xfId="0" applyFont="1" applyFill="1" applyBorder="1" applyAlignment="1">
      <alignment horizontal="center" vertical="center" shrinkToFit="1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38" fontId="20" fillId="0" borderId="0" xfId="0" applyNumberFormat="1" applyFont="1" applyFill="1" applyAlignment="1">
      <alignment horizontal="right" vertical="center"/>
    </xf>
    <xf numFmtId="38" fontId="20" fillId="7" borderId="0" xfId="0" applyNumberFormat="1" applyFont="1" applyFill="1" applyAlignment="1">
      <alignment horizontal="right" vertical="center"/>
    </xf>
    <xf numFmtId="38" fontId="20" fillId="0" borderId="0" xfId="0" applyNumberFormat="1" applyFont="1" applyAlignment="1">
      <alignment horizontal="center"/>
    </xf>
    <xf numFmtId="38" fontId="5" fillId="0" borderId="0" xfId="0" applyNumberFormat="1" applyFont="1" applyFill="1" applyBorder="1" applyAlignment="1">
      <alignment horizontal="right" vertical="center"/>
    </xf>
    <xf numFmtId="0" fontId="5" fillId="0" borderId="0" xfId="0" applyFont="1"/>
    <xf numFmtId="38" fontId="20" fillId="6" borderId="0" xfId="0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38" fontId="20" fillId="2" borderId="0" xfId="0" applyNumberFormat="1" applyFont="1" applyFill="1" applyAlignment="1">
      <alignment horizontal="right" vertical="center"/>
    </xf>
    <xf numFmtId="0" fontId="20" fillId="8" borderId="0" xfId="0" applyFont="1" applyFill="1" applyAlignment="1">
      <alignment horizontal="left" vertical="center"/>
    </xf>
    <xf numFmtId="38" fontId="20" fillId="0" borderId="0" xfId="0" applyNumberFormat="1" applyFont="1" applyAlignment="1">
      <alignment horizontal="right" vertical="center"/>
    </xf>
    <xf numFmtId="38" fontId="20" fillId="0" borderId="0" xfId="0" applyNumberFormat="1" applyFont="1" applyFill="1" applyAlignment="1">
      <alignment horizontal="left" vertical="center"/>
    </xf>
    <xf numFmtId="14" fontId="20" fillId="0" borderId="0" xfId="0" applyNumberFormat="1" applyFont="1" applyFill="1" applyAlignment="1">
      <alignment horizontal="center" vertical="center"/>
    </xf>
    <xf numFmtId="38" fontId="20" fillId="0" borderId="0" xfId="0" applyNumberFormat="1" applyFont="1" applyFill="1" applyAlignment="1">
      <alignment horizontal="center" vertical="center"/>
    </xf>
    <xf numFmtId="0" fontId="9" fillId="0" borderId="0" xfId="0" applyFont="1"/>
    <xf numFmtId="3" fontId="9" fillId="7" borderId="0" xfId="0" applyNumberFormat="1" applyFont="1" applyFill="1"/>
    <xf numFmtId="0" fontId="9" fillId="7" borderId="0" xfId="0" applyFont="1" applyFill="1"/>
    <xf numFmtId="0" fontId="9" fillId="6" borderId="0" xfId="0" applyFont="1" applyFill="1"/>
    <xf numFmtId="0" fontId="9" fillId="0" borderId="0" xfId="0" applyFont="1" applyAlignment="1">
      <alignment horizontal="center"/>
    </xf>
    <xf numFmtId="38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38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left" vertical="center"/>
    </xf>
    <xf numFmtId="38" fontId="20" fillId="6" borderId="0" xfId="0" applyNumberFormat="1" applyFont="1" applyFill="1" applyAlignment="1">
      <alignment horizontal="left" vertical="center"/>
    </xf>
    <xf numFmtId="14" fontId="20" fillId="6" borderId="0" xfId="0" applyNumberFormat="1" applyFont="1" applyFill="1" applyAlignment="1">
      <alignment horizontal="center" vertical="center"/>
    </xf>
    <xf numFmtId="38" fontId="20" fillId="6" borderId="0" xfId="0" applyNumberFormat="1" applyFont="1" applyFill="1" applyAlignment="1">
      <alignment horizontal="center" vertical="center"/>
    </xf>
    <xf numFmtId="38" fontId="5" fillId="6" borderId="0" xfId="0" applyNumberFormat="1" applyFont="1" applyFill="1" applyBorder="1" applyAlignment="1">
      <alignment horizontal="right" vertical="center"/>
    </xf>
    <xf numFmtId="0" fontId="5" fillId="12" borderId="1" xfId="0" applyFont="1" applyFill="1" applyBorder="1" applyAlignment="1">
      <alignment horizontal="center" vertical="center"/>
    </xf>
    <xf numFmtId="176" fontId="5" fillId="12" borderId="0" xfId="0" applyNumberFormat="1" applyFont="1" applyFill="1" applyBorder="1" applyAlignment="1">
      <alignment horizontal="center" vertical="center" wrapText="1"/>
    </xf>
    <xf numFmtId="0" fontId="17" fillId="12" borderId="0" xfId="0" applyFont="1" applyFill="1" applyBorder="1" applyAlignment="1">
      <alignment horizontal="center" vertical="center" shrinkToFit="1"/>
    </xf>
    <xf numFmtId="0" fontId="5" fillId="12" borderId="0" xfId="0" applyFont="1" applyFill="1" applyBorder="1" applyAlignment="1">
      <alignment horizontal="center" vertical="center" shrinkToFit="1"/>
    </xf>
    <xf numFmtId="38" fontId="5" fillId="12" borderId="0" xfId="0" applyNumberFormat="1" applyFont="1" applyFill="1" applyBorder="1" applyAlignment="1">
      <alignment horizontal="right" vertical="center"/>
    </xf>
    <xf numFmtId="38" fontId="6" fillId="12" borderId="0" xfId="0" applyNumberFormat="1" applyFont="1" applyFill="1" applyBorder="1" applyAlignment="1">
      <alignment horizontal="left" vertical="center"/>
    </xf>
    <xf numFmtId="38" fontId="4" fillId="12" borderId="0" xfId="0" applyNumberFormat="1" applyFont="1" applyFill="1" applyBorder="1" applyAlignment="1">
      <alignment horizontal="right" vertical="center" shrinkToFit="1"/>
    </xf>
    <xf numFmtId="38" fontId="5" fillId="12" borderId="0" xfId="0" applyNumberFormat="1" applyFont="1" applyFill="1" applyBorder="1" applyAlignment="1">
      <alignment horizontal="center" vertical="center" shrinkToFit="1"/>
    </xf>
    <xf numFmtId="38" fontId="5" fillId="12" borderId="0" xfId="0" applyNumberFormat="1" applyFont="1" applyFill="1" applyBorder="1" applyAlignment="1">
      <alignment horizontal="center" vertical="center"/>
    </xf>
    <xf numFmtId="0" fontId="22" fillId="0" borderId="0" xfId="0" applyFont="1"/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38" fontId="21" fillId="0" borderId="0" xfId="0" applyNumberFormat="1" applyFont="1" applyFill="1" applyAlignment="1">
      <alignment horizontal="right" vertical="center"/>
    </xf>
    <xf numFmtId="38" fontId="21" fillId="0" borderId="0" xfId="0" applyNumberFormat="1" applyFont="1" applyAlignment="1">
      <alignment horizontal="right" vertical="center"/>
    </xf>
    <xf numFmtId="38" fontId="21" fillId="0" borderId="0" xfId="0" applyNumberFormat="1" applyFont="1" applyFill="1" applyAlignment="1">
      <alignment horizontal="left" vertical="center"/>
    </xf>
    <xf numFmtId="14" fontId="21" fillId="0" borderId="0" xfId="0" applyNumberFormat="1" applyFont="1" applyFill="1" applyAlignment="1">
      <alignment horizontal="center" vertical="center"/>
    </xf>
    <xf numFmtId="38" fontId="21" fillId="0" borderId="0" xfId="0" applyNumberFormat="1" applyFont="1" applyFill="1" applyAlignment="1">
      <alignment horizontal="center" vertical="center"/>
    </xf>
    <xf numFmtId="38" fontId="21" fillId="0" borderId="0" xfId="0" applyNumberFormat="1" applyFont="1" applyFill="1" applyBorder="1" applyAlignment="1">
      <alignment horizontal="right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/>
    <xf numFmtId="0" fontId="20" fillId="0" borderId="2" xfId="0" applyFont="1" applyBorder="1"/>
    <xf numFmtId="38" fontId="20" fillId="0" borderId="0" xfId="0" applyNumberFormat="1" applyFont="1"/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left" vertical="center"/>
    </xf>
    <xf numFmtId="38" fontId="20" fillId="0" borderId="2" xfId="0" applyNumberFormat="1" applyFont="1" applyFill="1" applyBorder="1" applyAlignment="1">
      <alignment horizontal="right" vertical="center"/>
    </xf>
    <xf numFmtId="38" fontId="20" fillId="7" borderId="2" xfId="0" applyNumberFormat="1" applyFont="1" applyFill="1" applyBorder="1" applyAlignment="1">
      <alignment horizontal="right" vertical="center"/>
    </xf>
    <xf numFmtId="38" fontId="20" fillId="0" borderId="2" xfId="0" applyNumberFormat="1" applyFont="1" applyBorder="1" applyAlignment="1">
      <alignment horizontal="right" vertical="center"/>
    </xf>
    <xf numFmtId="38" fontId="20" fillId="0" borderId="2" xfId="0" applyNumberFormat="1" applyFont="1" applyFill="1" applyBorder="1" applyAlignment="1">
      <alignment horizontal="left" vertical="center"/>
    </xf>
    <xf numFmtId="14" fontId="20" fillId="0" borderId="2" xfId="0" applyNumberFormat="1" applyFont="1" applyFill="1" applyBorder="1" applyAlignment="1">
      <alignment horizontal="center" vertical="center"/>
    </xf>
    <xf numFmtId="38" fontId="20" fillId="0" borderId="2" xfId="0" applyNumberFormat="1" applyFont="1" applyFill="1" applyBorder="1" applyAlignment="1">
      <alignment horizontal="center" vertical="center"/>
    </xf>
    <xf numFmtId="38" fontId="5" fillId="0" borderId="2" xfId="0" applyNumberFormat="1" applyFont="1" applyFill="1" applyBorder="1" applyAlignment="1">
      <alignment horizontal="right" vertical="center"/>
    </xf>
    <xf numFmtId="38" fontId="20" fillId="0" borderId="2" xfId="0" applyNumberFormat="1" applyFont="1" applyBorder="1"/>
    <xf numFmtId="0" fontId="20" fillId="0" borderId="0" xfId="0" applyFont="1" applyFill="1"/>
    <xf numFmtId="38" fontId="20" fillId="9" borderId="0" xfId="0" applyNumberFormat="1" applyFont="1" applyFill="1" applyAlignment="1">
      <alignment horizontal="right" vertical="center"/>
    </xf>
    <xf numFmtId="38" fontId="21" fillId="9" borderId="0" xfId="0" applyNumberFormat="1" applyFont="1" applyFill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5" fillId="0" borderId="0" xfId="0" applyFont="1" applyFill="1"/>
    <xf numFmtId="0" fontId="20" fillId="9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center" vertical="center" wrapText="1"/>
    </xf>
    <xf numFmtId="176" fontId="6" fillId="0" borderId="0" xfId="0" applyNumberFormat="1" applyFont="1" applyAlignment="1">
      <alignment horizontal="left" vertical="center"/>
    </xf>
    <xf numFmtId="58" fontId="4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58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76" fontId="6" fillId="4" borderId="0" xfId="0" applyNumberFormat="1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shrinkToFit="1"/>
    </xf>
    <xf numFmtId="0" fontId="11" fillId="5" borderId="0" xfId="0" applyFont="1" applyFill="1" applyAlignment="1">
      <alignment horizontal="left" vertical="center" wrapText="1"/>
    </xf>
    <xf numFmtId="58" fontId="6" fillId="0" borderId="0" xfId="0" applyNumberFormat="1" applyFont="1" applyAlignment="1">
      <alignment horizontal="left" vertical="center" shrinkToFit="1"/>
    </xf>
    <xf numFmtId="0" fontId="5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shrinkToFit="1"/>
    </xf>
    <xf numFmtId="0" fontId="18" fillId="0" borderId="0" xfId="0" applyFont="1" applyAlignment="1">
      <alignment horizontal="center" vertical="center" shrinkToFit="1"/>
    </xf>
    <xf numFmtId="38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9" fillId="13" borderId="0" xfId="0" applyFont="1" applyFill="1" applyAlignment="1">
      <alignment horizontal="center"/>
    </xf>
    <xf numFmtId="3" fontId="9" fillId="6" borderId="0" xfId="0" applyNumberFormat="1" applyFont="1" applyFill="1"/>
    <xf numFmtId="3" fontId="9" fillId="0" borderId="0" xfId="0" applyNumberFormat="1" applyFont="1"/>
    <xf numFmtId="0" fontId="20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38" fontId="20" fillId="0" borderId="4" xfId="0" applyNumberFormat="1" applyFont="1" applyBorder="1" applyAlignment="1">
      <alignment horizontal="right" vertical="center"/>
    </xf>
    <xf numFmtId="38" fontId="20" fillId="6" borderId="4" xfId="0" applyNumberFormat="1" applyFont="1" applyFill="1" applyBorder="1" applyAlignment="1">
      <alignment horizontal="right" vertical="center"/>
    </xf>
    <xf numFmtId="38" fontId="20" fillId="0" borderId="4" xfId="0" applyNumberFormat="1" applyFont="1" applyBorder="1" applyAlignment="1">
      <alignment horizontal="left" vertical="center"/>
    </xf>
    <xf numFmtId="14" fontId="20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38" fontId="20" fillId="0" borderId="4" xfId="0" applyNumberFormat="1" applyFont="1" applyBorder="1" applyAlignment="1">
      <alignment horizontal="center" vertical="center"/>
    </xf>
    <xf numFmtId="38" fontId="5" fillId="0" borderId="5" xfId="0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38" fontId="20" fillId="0" borderId="0" xfId="0" applyNumberFormat="1" applyFont="1" applyBorder="1" applyAlignment="1">
      <alignment horizontal="right" vertical="center"/>
    </xf>
    <xf numFmtId="38" fontId="20" fillId="0" borderId="0" xfId="0" applyNumberFormat="1" applyFont="1" applyBorder="1" applyAlignment="1">
      <alignment horizontal="left" vertical="center"/>
    </xf>
    <xf numFmtId="14" fontId="20" fillId="0" borderId="0" xfId="0" applyNumberFormat="1" applyFont="1" applyBorder="1" applyAlignment="1">
      <alignment horizontal="center" vertical="center"/>
    </xf>
    <xf numFmtId="38" fontId="20" fillId="0" borderId="0" xfId="0" applyNumberFormat="1" applyFont="1" applyBorder="1" applyAlignment="1">
      <alignment horizontal="center" vertical="center"/>
    </xf>
    <xf numFmtId="38" fontId="5" fillId="0" borderId="6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 shrinkToFit="1"/>
    </xf>
    <xf numFmtId="0" fontId="20" fillId="7" borderId="0" xfId="0" applyFont="1" applyFill="1"/>
    <xf numFmtId="0" fontId="20" fillId="6" borderId="0" xfId="0" applyFont="1" applyFill="1"/>
    <xf numFmtId="0" fontId="21" fillId="0" borderId="7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38" fontId="21" fillId="0" borderId="2" xfId="0" applyNumberFormat="1" applyFont="1" applyBorder="1" applyAlignment="1">
      <alignment horizontal="right" vertical="center"/>
    </xf>
    <xf numFmtId="38" fontId="21" fillId="0" borderId="2" xfId="0" applyNumberFormat="1" applyFont="1" applyBorder="1" applyAlignment="1">
      <alignment horizontal="left" vertical="center"/>
    </xf>
    <xf numFmtId="14" fontId="21" fillId="0" borderId="2" xfId="0" applyNumberFormat="1" applyFont="1" applyBorder="1" applyAlignment="1">
      <alignment horizontal="center" vertical="center"/>
    </xf>
    <xf numFmtId="38" fontId="21" fillId="0" borderId="2" xfId="0" applyNumberFormat="1" applyFont="1" applyBorder="1" applyAlignment="1">
      <alignment horizontal="center" vertical="center"/>
    </xf>
    <xf numFmtId="38" fontId="21" fillId="0" borderId="8" xfId="0" applyNumberFormat="1" applyFont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177" fontId="20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77" fontId="20" fillId="0" borderId="0" xfId="0" applyNumberFormat="1" applyFont="1" applyBorder="1" applyAlignment="1">
      <alignment horizontal="left" vertical="center"/>
    </xf>
    <xf numFmtId="177" fontId="20" fillId="0" borderId="0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9" borderId="0" xfId="0" applyFont="1" applyFill="1" applyBorder="1" applyAlignment="1">
      <alignment horizontal="right" vertical="center"/>
    </xf>
    <xf numFmtId="0" fontId="9" fillId="9" borderId="0" xfId="0" applyFont="1" applyFill="1"/>
    <xf numFmtId="38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177" fontId="20" fillId="0" borderId="0" xfId="0" applyNumberFormat="1" applyFont="1" applyFill="1" applyBorder="1" applyAlignment="1">
      <alignment horizontal="right" vertical="center"/>
    </xf>
    <xf numFmtId="177" fontId="20" fillId="0" borderId="0" xfId="0" applyNumberFormat="1" applyFont="1" applyFill="1" applyBorder="1" applyAlignment="1">
      <alignment horizontal="left" vertical="center"/>
    </xf>
    <xf numFmtId="14" fontId="20" fillId="0" borderId="0" xfId="0" applyNumberFormat="1" applyFont="1" applyFill="1" applyBorder="1" applyAlignment="1">
      <alignment horizontal="center" vertical="center"/>
    </xf>
    <xf numFmtId="177" fontId="20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34" fillId="0" borderId="0" xfId="0" applyFont="1" applyAlignment="1">
      <alignment vertical="center"/>
    </xf>
    <xf numFmtId="0" fontId="34" fillId="0" borderId="9" xfId="0" applyFont="1" applyBorder="1" applyAlignment="1">
      <alignment vertical="center"/>
    </xf>
    <xf numFmtId="0" fontId="35" fillId="14" borderId="9" xfId="0" applyFont="1" applyFill="1" applyBorder="1" applyAlignment="1">
      <alignment horizontal="center" vertical="center"/>
    </xf>
    <xf numFmtId="0" fontId="35" fillId="14" borderId="9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shrinkToFi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shrinkToFit="1"/>
    </xf>
    <xf numFmtId="0" fontId="11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1" fillId="4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shrinkToFit="1"/>
    </xf>
    <xf numFmtId="0" fontId="11" fillId="5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shrinkToFit="1"/>
    </xf>
    <xf numFmtId="0" fontId="5" fillId="0" borderId="1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 shrinkToFit="1"/>
    </xf>
    <xf numFmtId="0" fontId="18" fillId="0" borderId="0" xfId="0" applyNumberFormat="1" applyFont="1" applyFill="1" applyBorder="1" applyAlignment="1">
      <alignment horizontal="center" vertical="center" shrinkToFit="1"/>
    </xf>
    <xf numFmtId="0" fontId="6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/>
    </xf>
    <xf numFmtId="0" fontId="20" fillId="0" borderId="0" xfId="0" applyNumberFormat="1" applyFont="1" applyFill="1" applyAlignment="1">
      <alignment horizontal="right"/>
    </xf>
    <xf numFmtId="0" fontId="20" fillId="0" borderId="0" xfId="0" applyNumberFormat="1" applyFont="1" applyFill="1" applyAlignment="1">
      <alignment horizontal="left"/>
    </xf>
    <xf numFmtId="0" fontId="5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/>
    <xf numFmtId="0" fontId="20" fillId="7" borderId="0" xfId="0" applyNumberFormat="1" applyFont="1" applyFill="1" applyAlignment="1">
      <alignment horizontal="right"/>
    </xf>
    <xf numFmtId="0" fontId="20" fillId="6" borderId="0" xfId="0" applyNumberFormat="1" applyFont="1" applyFill="1" applyAlignment="1">
      <alignment horizontal="right"/>
    </xf>
    <xf numFmtId="0" fontId="20" fillId="9" borderId="0" xfId="0" applyNumberFormat="1" applyFont="1" applyFill="1" applyAlignment="1">
      <alignment horizontal="right"/>
    </xf>
    <xf numFmtId="0" fontId="20" fillId="8" borderId="0" xfId="0" applyNumberFormat="1" applyFont="1" applyFill="1" applyAlignment="1">
      <alignment horizontal="center"/>
    </xf>
    <xf numFmtId="0" fontId="20" fillId="2" borderId="0" xfId="0" applyNumberFormat="1" applyFont="1" applyFill="1" applyAlignment="1">
      <alignment horizontal="right"/>
    </xf>
    <xf numFmtId="0" fontId="20" fillId="3" borderId="0" xfId="0" applyNumberFormat="1" applyFont="1" applyFill="1" applyAlignment="1">
      <alignment horizontal="right"/>
    </xf>
    <xf numFmtId="0" fontId="5" fillId="9" borderId="0" xfId="0" applyNumberFormat="1" applyFont="1" applyFill="1" applyBorder="1"/>
    <xf numFmtId="0" fontId="20" fillId="6" borderId="0" xfId="0" applyNumberFormat="1" applyFont="1" applyFill="1" applyAlignment="1">
      <alignment horizontal="center"/>
    </xf>
    <xf numFmtId="0" fontId="20" fillId="6" borderId="0" xfId="0" applyNumberFormat="1" applyFont="1" applyFill="1" applyAlignment="1">
      <alignment horizontal="left"/>
    </xf>
    <xf numFmtId="0" fontId="5" fillId="6" borderId="0" xfId="0" applyNumberFormat="1" applyFont="1" applyFill="1" applyBorder="1" applyAlignment="1">
      <alignment horizontal="right" vertical="center"/>
    </xf>
    <xf numFmtId="0" fontId="9" fillId="2" borderId="0" xfId="0" applyNumberFormat="1" applyFont="1" applyFill="1" applyBorder="1" applyAlignment="1">
      <alignment horizontal="center" vertical="center" shrinkToFit="1"/>
    </xf>
    <xf numFmtId="0" fontId="9" fillId="2" borderId="0" xfId="0" applyFont="1" applyFill="1" applyAlignment="1">
      <alignment vertical="center" shrinkToFit="1"/>
    </xf>
    <xf numFmtId="0" fontId="21" fillId="0" borderId="2" xfId="0" applyNumberFormat="1" applyFont="1" applyFill="1" applyBorder="1" applyAlignment="1">
      <alignment horizontal="center"/>
    </xf>
    <xf numFmtId="0" fontId="21" fillId="0" borderId="2" xfId="0" applyNumberFormat="1" applyFont="1" applyFill="1" applyBorder="1" applyAlignment="1">
      <alignment horizontal="left"/>
    </xf>
    <xf numFmtId="0" fontId="21" fillId="0" borderId="2" xfId="0" applyNumberFormat="1" applyFont="1" applyFill="1" applyBorder="1" applyAlignment="1">
      <alignment horizontal="right"/>
    </xf>
    <xf numFmtId="0" fontId="21" fillId="0" borderId="2" xfId="0" applyNumberFormat="1" applyFont="1" applyFill="1" applyBorder="1" applyAlignment="1">
      <alignment horizontal="right" vertical="center"/>
    </xf>
    <xf numFmtId="0" fontId="21" fillId="0" borderId="2" xfId="0" applyNumberFormat="1" applyFont="1" applyFill="1" applyBorder="1"/>
    <xf numFmtId="0" fontId="37" fillId="0" borderId="0" xfId="0" applyNumberFormat="1" applyFont="1" applyFill="1" applyAlignment="1">
      <alignment horizontal="center"/>
    </xf>
    <xf numFmtId="0" fontId="37" fillId="0" borderId="0" xfId="0" applyNumberFormat="1" applyFont="1" applyFill="1" applyAlignment="1">
      <alignment horizontal="right"/>
    </xf>
    <xf numFmtId="0" fontId="37" fillId="0" borderId="0" xfId="0" applyNumberFormat="1" applyFont="1" applyFill="1" applyAlignment="1">
      <alignment horizontal="left"/>
    </xf>
    <xf numFmtId="0" fontId="37" fillId="0" borderId="0" xfId="0" applyNumberFormat="1" applyFont="1" applyFill="1" applyBorder="1" applyAlignment="1">
      <alignment horizontal="right" vertical="center"/>
    </xf>
    <xf numFmtId="0" fontId="37" fillId="0" borderId="0" xfId="0" applyNumberFormat="1" applyFont="1" applyFill="1" applyBorder="1"/>
    <xf numFmtId="0" fontId="37" fillId="7" borderId="0" xfId="0" applyNumberFormat="1" applyFont="1" applyFill="1" applyAlignment="1">
      <alignment horizontal="right"/>
    </xf>
    <xf numFmtId="0" fontId="21" fillId="6" borderId="0" xfId="0" applyNumberFormat="1" applyFont="1" applyFill="1" applyAlignment="1">
      <alignment horizontal="right"/>
    </xf>
    <xf numFmtId="0" fontId="21" fillId="9" borderId="0" xfId="0" applyNumberFormat="1" applyFont="1" applyFill="1" applyAlignment="1">
      <alignment horizontal="right"/>
    </xf>
    <xf numFmtId="0" fontId="38" fillId="0" borderId="9" xfId="0" applyFont="1" applyBorder="1" applyAlignment="1">
      <alignment vertical="center"/>
    </xf>
    <xf numFmtId="0" fontId="21" fillId="8" borderId="2" xfId="0" applyNumberFormat="1" applyFont="1" applyFill="1" applyBorder="1" applyAlignment="1">
      <alignment horizontal="center"/>
    </xf>
    <xf numFmtId="0" fontId="21" fillId="9" borderId="2" xfId="0" applyNumberFormat="1" applyFont="1" applyFill="1" applyBorder="1" applyAlignment="1">
      <alignment horizontal="right"/>
    </xf>
    <xf numFmtId="0" fontId="21" fillId="0" borderId="0" xfId="0" applyNumberFormat="1" applyFont="1" applyFill="1" applyBorder="1"/>
    <xf numFmtId="0" fontId="38" fillId="0" borderId="0" xfId="0" applyFont="1" applyAlignment="1">
      <alignment vertical="center"/>
    </xf>
    <xf numFmtId="0" fontId="39" fillId="0" borderId="9" xfId="0" applyFont="1" applyBorder="1" applyAlignment="1">
      <alignment vertical="center"/>
    </xf>
    <xf numFmtId="0" fontId="39" fillId="0" borderId="9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9" xfId="0" applyFont="1" applyBorder="1" applyAlignment="1">
      <alignment horizontal="center" vertical="center"/>
    </xf>
    <xf numFmtId="0" fontId="41" fillId="0" borderId="9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shrinkToFit="1"/>
    </xf>
    <xf numFmtId="0" fontId="20" fillId="0" borderId="0" xfId="0" applyFont="1" applyFill="1" applyAlignment="1">
      <alignment horizontal="center" shrinkToFi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/>
    </xf>
    <xf numFmtId="0" fontId="5" fillId="0" borderId="0" xfId="0" applyFont="1" applyFill="1" applyBorder="1"/>
    <xf numFmtId="38" fontId="20" fillId="0" borderId="0" xfId="0" applyNumberFormat="1" applyFont="1" applyFill="1" applyAlignment="1">
      <alignment horizontal="right"/>
    </xf>
    <xf numFmtId="38" fontId="20" fillId="7" borderId="0" xfId="0" applyNumberFormat="1" applyFont="1" applyFill="1" applyAlignment="1">
      <alignment horizontal="right"/>
    </xf>
    <xf numFmtId="0" fontId="5" fillId="6" borderId="0" xfId="0" applyFont="1" applyFill="1" applyBorder="1"/>
    <xf numFmtId="38" fontId="20" fillId="0" borderId="0" xfId="0" applyNumberFormat="1" applyFont="1" applyFill="1" applyAlignment="1">
      <alignment horizontal="left"/>
    </xf>
    <xf numFmtId="14" fontId="20" fillId="0" borderId="0" xfId="0" applyNumberFormat="1" applyFont="1" applyFill="1" applyAlignment="1">
      <alignment horizontal="center"/>
    </xf>
    <xf numFmtId="38" fontId="20" fillId="0" borderId="0" xfId="0" applyNumberFormat="1" applyFont="1" applyFill="1" applyAlignment="1">
      <alignment horizontal="center"/>
    </xf>
    <xf numFmtId="38" fontId="20" fillId="6" borderId="0" xfId="0" applyNumberFormat="1" applyFont="1" applyFill="1" applyAlignment="1">
      <alignment horizontal="right"/>
    </xf>
    <xf numFmtId="0" fontId="20" fillId="8" borderId="0" xfId="0" applyFont="1" applyFill="1" applyAlignment="1">
      <alignment horizontal="left"/>
    </xf>
    <xf numFmtId="0" fontId="20" fillId="6" borderId="0" xfId="0" applyFont="1" applyFill="1" applyAlignment="1">
      <alignment horizontal="center"/>
    </xf>
    <xf numFmtId="0" fontId="20" fillId="6" borderId="0" xfId="0" applyFont="1" applyFill="1" applyAlignment="1">
      <alignment horizontal="left"/>
    </xf>
    <xf numFmtId="38" fontId="20" fillId="6" borderId="0" xfId="0" applyNumberFormat="1" applyFont="1" applyFill="1" applyAlignment="1">
      <alignment horizontal="left"/>
    </xf>
    <xf numFmtId="14" fontId="20" fillId="6" borderId="0" xfId="0" applyNumberFormat="1" applyFont="1" applyFill="1" applyAlignment="1">
      <alignment horizontal="center"/>
    </xf>
    <xf numFmtId="38" fontId="20" fillId="6" borderId="0" xfId="0" applyNumberFormat="1" applyFont="1" applyFill="1" applyAlignment="1">
      <alignment horizontal="center"/>
    </xf>
    <xf numFmtId="0" fontId="20" fillId="0" borderId="2" xfId="0" applyFont="1" applyFill="1" applyBorder="1" applyAlignment="1">
      <alignment horizontal="center" shrinkToFit="1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left"/>
    </xf>
    <xf numFmtId="0" fontId="5" fillId="0" borderId="2" xfId="0" applyFont="1" applyFill="1" applyBorder="1"/>
    <xf numFmtId="38" fontId="20" fillId="0" borderId="2" xfId="0" applyNumberFormat="1" applyFont="1" applyFill="1" applyBorder="1" applyAlignment="1">
      <alignment horizontal="left"/>
    </xf>
    <xf numFmtId="14" fontId="20" fillId="0" borderId="2" xfId="0" applyNumberFormat="1" applyFont="1" applyFill="1" applyBorder="1" applyAlignment="1">
      <alignment horizontal="center"/>
    </xf>
    <xf numFmtId="38" fontId="20" fillId="0" borderId="2" xfId="0" applyNumberFormat="1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left"/>
    </xf>
    <xf numFmtId="38" fontId="21" fillId="0" borderId="2" xfId="0" applyNumberFormat="1" applyFont="1" applyFill="1" applyBorder="1" applyAlignment="1">
      <alignment horizontal="right"/>
    </xf>
    <xf numFmtId="0" fontId="21" fillId="0" borderId="2" xfId="0" applyFont="1" applyFill="1" applyBorder="1"/>
    <xf numFmtId="38" fontId="21" fillId="0" borderId="2" xfId="0" applyNumberFormat="1" applyFont="1" applyFill="1" applyBorder="1" applyAlignment="1">
      <alignment horizontal="left"/>
    </xf>
    <xf numFmtId="14" fontId="21" fillId="0" borderId="2" xfId="0" applyNumberFormat="1" applyFont="1" applyFill="1" applyBorder="1" applyAlignment="1">
      <alignment horizontal="center"/>
    </xf>
    <xf numFmtId="38" fontId="21" fillId="0" borderId="2" xfId="0" applyNumberFormat="1" applyFont="1" applyFill="1" applyBorder="1" applyAlignment="1">
      <alignment horizontal="center"/>
    </xf>
    <xf numFmtId="38" fontId="21" fillId="0" borderId="2" xfId="0" applyNumberFormat="1" applyFont="1" applyFill="1" applyBorder="1" applyAlignment="1">
      <alignment horizontal="right" vertical="center"/>
    </xf>
    <xf numFmtId="0" fontId="21" fillId="0" borderId="0" xfId="0" applyFont="1" applyFill="1" applyBorder="1"/>
    <xf numFmtId="176" fontId="5" fillId="0" borderId="0" xfId="0" applyNumberFormat="1" applyFont="1" applyFill="1" applyBorder="1"/>
    <xf numFmtId="176" fontId="20" fillId="0" borderId="0" xfId="0" applyNumberFormat="1" applyFont="1" applyFill="1" applyAlignment="1">
      <alignment horizontal="right"/>
    </xf>
    <xf numFmtId="176" fontId="20" fillId="7" borderId="0" xfId="0" applyNumberFormat="1" applyFont="1" applyFill="1" applyAlignment="1">
      <alignment horizontal="right"/>
    </xf>
    <xf numFmtId="176" fontId="5" fillId="6" borderId="0" xfId="0" applyNumberFormat="1" applyFont="1" applyFill="1" applyBorder="1"/>
    <xf numFmtId="176" fontId="20" fillId="6" borderId="0" xfId="0" applyNumberFormat="1" applyFont="1" applyFill="1" applyAlignment="1">
      <alignment horizontal="right"/>
    </xf>
    <xf numFmtId="176" fontId="5" fillId="7" borderId="0" xfId="0" applyNumberFormat="1" applyFont="1" applyFill="1" applyBorder="1"/>
    <xf numFmtId="176" fontId="20" fillId="0" borderId="2" xfId="0" applyNumberFormat="1" applyFont="1" applyFill="1" applyBorder="1" applyAlignment="1">
      <alignment horizontal="right"/>
    </xf>
    <xf numFmtId="176" fontId="5" fillId="0" borderId="2" xfId="0" applyNumberFormat="1" applyFont="1" applyFill="1" applyBorder="1"/>
    <xf numFmtId="176" fontId="20" fillId="9" borderId="0" xfId="0" applyNumberFormat="1" applyFont="1" applyFill="1" applyAlignment="1">
      <alignment horizontal="right"/>
    </xf>
    <xf numFmtId="176" fontId="21" fillId="9" borderId="0" xfId="0" applyNumberFormat="1" applyFont="1" applyFill="1" applyAlignment="1">
      <alignment horizontal="right"/>
    </xf>
    <xf numFmtId="176" fontId="5" fillId="9" borderId="0" xfId="0" applyNumberFormat="1" applyFont="1" applyFill="1" applyBorder="1"/>
    <xf numFmtId="176" fontId="21" fillId="9" borderId="0" xfId="0" applyNumberFormat="1" applyFont="1" applyFill="1" applyBorder="1"/>
    <xf numFmtId="0" fontId="41" fillId="3" borderId="9" xfId="0" applyFont="1" applyFill="1" applyBorder="1" applyAlignment="1">
      <alignment vertical="center"/>
    </xf>
    <xf numFmtId="0" fontId="35" fillId="3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38" fontId="20" fillId="9" borderId="0" xfId="0" applyNumberFormat="1" applyFont="1" applyFill="1" applyAlignment="1">
      <alignment horizontal="right"/>
    </xf>
    <xf numFmtId="0" fontId="5" fillId="7" borderId="0" xfId="0" applyFont="1" applyFill="1" applyBorder="1"/>
    <xf numFmtId="0" fontId="5" fillId="9" borderId="0" xfId="0" applyFont="1" applyFill="1" applyBorder="1"/>
    <xf numFmtId="0" fontId="5" fillId="0" borderId="0" xfId="0" applyFont="1" applyFill="1" applyBorder="1" applyAlignment="1">
      <alignment horizontal="center"/>
    </xf>
    <xf numFmtId="0" fontId="20" fillId="9" borderId="0" xfId="0" applyFont="1" applyFill="1" applyAlignment="1">
      <alignment horizontal="center" shrinkToFit="1"/>
    </xf>
    <xf numFmtId="0" fontId="20" fillId="9" borderId="0" xfId="0" applyFont="1" applyFill="1" applyAlignment="1">
      <alignment horizontal="center"/>
    </xf>
    <xf numFmtId="0" fontId="20" fillId="9" borderId="0" xfId="0" applyFont="1" applyFill="1" applyAlignment="1">
      <alignment horizontal="left"/>
    </xf>
    <xf numFmtId="38" fontId="20" fillId="9" borderId="0" xfId="0" applyNumberFormat="1" applyFont="1" applyFill="1" applyAlignment="1">
      <alignment horizontal="left"/>
    </xf>
    <xf numFmtId="14" fontId="20" fillId="9" borderId="0" xfId="0" applyNumberFormat="1" applyFont="1" applyFill="1" applyAlignment="1">
      <alignment horizontal="center"/>
    </xf>
    <xf numFmtId="38" fontId="20" fillId="9" borderId="0" xfId="0" applyNumberFormat="1" applyFont="1" applyFill="1" applyAlignment="1">
      <alignment horizontal="center"/>
    </xf>
    <xf numFmtId="38" fontId="5" fillId="9" borderId="0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shrinkToFit="1"/>
    </xf>
    <xf numFmtId="0" fontId="20" fillId="0" borderId="0" xfId="0" applyFont="1" applyFill="1" applyBorder="1" applyAlignment="1">
      <alignment horizontal="center" shrinkToFit="1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38" fontId="20" fillId="0" borderId="0" xfId="0" applyNumberFormat="1" applyFont="1" applyFill="1" applyBorder="1" applyAlignment="1">
      <alignment horizontal="right"/>
    </xf>
    <xf numFmtId="38" fontId="20" fillId="0" borderId="0" xfId="0" applyNumberFormat="1" applyFont="1" applyFill="1" applyBorder="1" applyAlignment="1">
      <alignment horizontal="left"/>
    </xf>
    <xf numFmtId="14" fontId="20" fillId="0" borderId="0" xfId="0" applyNumberFormat="1" applyFont="1" applyFill="1" applyBorder="1" applyAlignment="1">
      <alignment horizontal="center"/>
    </xf>
    <xf numFmtId="38" fontId="20" fillId="0" borderId="0" xfId="0" applyNumberFormat="1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/>
    </xf>
    <xf numFmtId="38" fontId="20" fillId="0" borderId="10" xfId="0" applyNumberFormat="1" applyFont="1" applyFill="1" applyBorder="1" applyAlignment="1">
      <alignment horizontal="right"/>
    </xf>
    <xf numFmtId="38" fontId="20" fillId="0" borderId="10" xfId="0" applyNumberFormat="1" applyFont="1" applyFill="1" applyBorder="1" applyAlignment="1">
      <alignment horizontal="left"/>
    </xf>
    <xf numFmtId="14" fontId="20" fillId="0" borderId="10" xfId="0" applyNumberFormat="1" applyFont="1" applyFill="1" applyBorder="1" applyAlignment="1">
      <alignment horizontal="center"/>
    </xf>
    <xf numFmtId="38" fontId="20" fillId="0" borderId="10" xfId="0" applyNumberFormat="1" applyFont="1" applyFill="1" applyBorder="1" applyAlignment="1">
      <alignment horizontal="center"/>
    </xf>
    <xf numFmtId="38" fontId="5" fillId="0" borderId="10" xfId="0" applyNumberFormat="1" applyFont="1" applyFill="1" applyBorder="1" applyAlignment="1">
      <alignment horizontal="right" vertical="center"/>
    </xf>
    <xf numFmtId="38" fontId="21" fillId="9" borderId="0" xfId="0" applyNumberFormat="1" applyFont="1" applyFill="1" applyAlignment="1">
      <alignment horizontal="right"/>
    </xf>
    <xf numFmtId="0" fontId="21" fillId="9" borderId="0" xfId="0" applyFont="1" applyFill="1" applyBorder="1"/>
    <xf numFmtId="38" fontId="21" fillId="0" borderId="10" xfId="0" applyNumberFormat="1" applyFont="1" applyFill="1" applyBorder="1" applyAlignment="1">
      <alignment horizontal="right"/>
    </xf>
    <xf numFmtId="0" fontId="21" fillId="0" borderId="2" xfId="0" applyFont="1" applyFill="1" applyBorder="1" applyAlignment="1">
      <alignment horizontal="center" shrinkToFit="1"/>
    </xf>
    <xf numFmtId="38" fontId="22" fillId="0" borderId="0" xfId="0" applyNumberFormat="1" applyFont="1"/>
    <xf numFmtId="0" fontId="44" fillId="0" borderId="11" xfId="0" applyFont="1" applyBorder="1" applyAlignment="1">
      <alignment vertical="center" wrapText="1"/>
    </xf>
    <xf numFmtId="0" fontId="44" fillId="0" borderId="12" xfId="0" applyFont="1" applyBorder="1" applyAlignment="1">
      <alignment horizontal="right" vertical="center" wrapText="1"/>
    </xf>
    <xf numFmtId="0" fontId="44" fillId="0" borderId="13" xfId="0" applyFont="1" applyBorder="1" applyAlignment="1">
      <alignment vertical="center" wrapText="1"/>
    </xf>
    <xf numFmtId="0" fontId="34" fillId="0" borderId="14" xfId="0" applyFont="1" applyBorder="1" applyAlignment="1">
      <alignment vertical="center" wrapText="1"/>
    </xf>
    <xf numFmtId="0" fontId="41" fillId="0" borderId="13" xfId="0" applyFont="1" applyBorder="1" applyAlignment="1">
      <alignment vertical="center" wrapText="1"/>
    </xf>
    <xf numFmtId="0" fontId="43" fillId="0" borderId="14" xfId="0" applyFont="1" applyBorder="1" applyAlignment="1">
      <alignment wrapText="1"/>
    </xf>
    <xf numFmtId="0" fontId="35" fillId="0" borderId="13" xfId="0" applyFont="1" applyBorder="1" applyAlignment="1">
      <alignment vertical="center" wrapText="1"/>
    </xf>
    <xf numFmtId="0" fontId="45" fillId="0" borderId="14" xfId="0" applyFont="1" applyBorder="1" applyAlignment="1">
      <alignment horizontal="right" vertical="center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5" fillId="15" borderId="9" xfId="0" applyFont="1" applyFill="1" applyBorder="1" applyAlignment="1">
      <alignment vertical="center"/>
    </xf>
    <xf numFmtId="0" fontId="35" fillId="15" borderId="9" xfId="0" applyFont="1" applyFill="1" applyBorder="1" applyAlignment="1">
      <alignment horizontal="center" vertical="center"/>
    </xf>
    <xf numFmtId="38" fontId="20" fillId="2" borderId="0" xfId="0" applyNumberFormat="1" applyFont="1" applyFill="1" applyAlignment="1">
      <alignment horizontal="right"/>
    </xf>
    <xf numFmtId="0" fontId="20" fillId="0" borderId="3" xfId="0" applyFont="1" applyFill="1" applyBorder="1" applyAlignment="1">
      <alignment horizontal="center" shrinkToFit="1"/>
    </xf>
    <xf numFmtId="0" fontId="20" fillId="0" borderId="4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left"/>
    </xf>
    <xf numFmtId="38" fontId="20" fillId="0" borderId="4" xfId="0" applyNumberFormat="1" applyFont="1" applyFill="1" applyBorder="1" applyAlignment="1">
      <alignment horizontal="right"/>
    </xf>
    <xf numFmtId="0" fontId="5" fillId="0" borderId="4" xfId="0" applyFont="1" applyFill="1" applyBorder="1"/>
    <xf numFmtId="38" fontId="20" fillId="0" borderId="4" xfId="0" applyNumberFormat="1" applyFont="1" applyFill="1" applyBorder="1" applyAlignment="1">
      <alignment horizontal="left"/>
    </xf>
    <xf numFmtId="14" fontId="20" fillId="0" borderId="4" xfId="0" applyNumberFormat="1" applyFont="1" applyFill="1" applyBorder="1" applyAlignment="1">
      <alignment horizontal="center"/>
    </xf>
    <xf numFmtId="38" fontId="20" fillId="0" borderId="4" xfId="0" applyNumberFormat="1" applyFont="1" applyFill="1" applyBorder="1" applyAlignment="1">
      <alignment horizontal="center"/>
    </xf>
    <xf numFmtId="38" fontId="5" fillId="0" borderId="5" xfId="0" applyNumberFormat="1" applyFont="1" applyFill="1" applyBorder="1" applyAlignment="1">
      <alignment horizontal="right" vertical="center"/>
    </xf>
    <xf numFmtId="0" fontId="20" fillId="6" borderId="1" xfId="0" applyFont="1" applyFill="1" applyBorder="1" applyAlignment="1">
      <alignment horizontal="center" shrinkToFit="1"/>
    </xf>
    <xf numFmtId="0" fontId="20" fillId="6" borderId="0" xfId="0" applyFont="1" applyFill="1" applyBorder="1" applyAlignment="1">
      <alignment horizontal="center"/>
    </xf>
    <xf numFmtId="0" fontId="20" fillId="6" borderId="0" xfId="0" applyFont="1" applyFill="1" applyBorder="1" applyAlignment="1">
      <alignment horizontal="left"/>
    </xf>
    <xf numFmtId="38" fontId="20" fillId="6" borderId="0" xfId="0" applyNumberFormat="1" applyFont="1" applyFill="1" applyBorder="1" applyAlignment="1">
      <alignment horizontal="right"/>
    </xf>
    <xf numFmtId="38" fontId="20" fillId="6" borderId="0" xfId="0" applyNumberFormat="1" applyFont="1" applyFill="1" applyBorder="1" applyAlignment="1">
      <alignment horizontal="left"/>
    </xf>
    <xf numFmtId="14" fontId="20" fillId="6" borderId="0" xfId="0" applyNumberFormat="1" applyFont="1" applyFill="1" applyBorder="1" applyAlignment="1">
      <alignment horizontal="center"/>
    </xf>
    <xf numFmtId="38" fontId="20" fillId="6" borderId="0" xfId="0" applyNumberFormat="1" applyFont="1" applyFill="1" applyBorder="1" applyAlignment="1">
      <alignment horizontal="center"/>
    </xf>
    <xf numFmtId="38" fontId="5" fillId="6" borderId="6" xfId="0" applyNumberFormat="1" applyFont="1" applyFill="1" applyBorder="1" applyAlignment="1">
      <alignment horizontal="right" vertical="center"/>
    </xf>
    <xf numFmtId="0" fontId="21" fillId="0" borderId="7" xfId="0" applyFont="1" applyFill="1" applyBorder="1" applyAlignment="1">
      <alignment horizontal="center" shrinkToFit="1"/>
    </xf>
    <xf numFmtId="38" fontId="21" fillId="0" borderId="8" xfId="0" applyNumberFormat="1" applyFont="1" applyFill="1" applyBorder="1" applyAlignment="1">
      <alignment horizontal="right" vertical="center"/>
    </xf>
    <xf numFmtId="38" fontId="22" fillId="9" borderId="0" xfId="0" applyNumberFormat="1" applyFont="1" applyFill="1" applyAlignment="1">
      <alignment horizontal="righ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1794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FF0000"/>
      </font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FF0000"/>
      </font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FF0000"/>
      </font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ont>
        <color rgb="FFFF0000"/>
      </font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CCCCFF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ont>
        <color rgb="FFFF0000"/>
      </font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I98"/>
  <sheetViews>
    <sheetView workbookViewId="0">
      <pane xSplit="7" ySplit="6" topLeftCell="FV74" activePane="bottomRight" state="frozen"/>
      <selection pane="topRight" activeCell="H1" sqref="H1"/>
      <selection pane="bottomLeft" activeCell="A7" sqref="A7"/>
      <selection pane="bottomRight" activeCell="GD98" sqref="GD98"/>
    </sheetView>
  </sheetViews>
  <sheetFormatPr defaultColWidth="9" defaultRowHeight="10"/>
  <cols>
    <col min="1" max="1" width="4.69921875" style="84" bestFit="1" customWidth="1"/>
    <col min="2" max="2" width="8.8984375" style="84" bestFit="1" customWidth="1"/>
    <col min="3" max="3" width="5.8984375" style="84" bestFit="1" customWidth="1"/>
    <col min="4" max="4" width="5.19921875" style="84" bestFit="1" customWidth="1"/>
    <col min="5" max="5" width="12.09765625" style="84" bestFit="1" customWidth="1"/>
    <col min="6" max="6" width="10.3984375" style="84" bestFit="1" customWidth="1"/>
    <col min="7" max="7" width="10.59765625" style="84" bestFit="1" customWidth="1"/>
    <col min="8" max="8" width="9.69921875" style="84" bestFit="1" customWidth="1"/>
    <col min="9" max="9" width="12.3984375" style="84" bestFit="1" customWidth="1"/>
    <col min="10" max="11" width="10.8984375" style="84" bestFit="1" customWidth="1"/>
    <col min="12" max="12" width="9.69921875" style="84" bestFit="1" customWidth="1"/>
    <col min="13" max="13" width="12.09765625" style="84" bestFit="1" customWidth="1"/>
    <col min="14" max="15" width="10.8984375" style="84" bestFit="1" customWidth="1"/>
    <col min="16" max="16" width="9.8984375" style="84" bestFit="1" customWidth="1"/>
    <col min="17" max="17" width="8" style="84" bestFit="1" customWidth="1"/>
    <col min="18" max="18" width="9.3984375" style="84" bestFit="1" customWidth="1"/>
    <col min="19" max="20" width="9.59765625" style="84" bestFit="1" customWidth="1"/>
    <col min="21" max="21" width="9.69921875" style="84" bestFit="1" customWidth="1"/>
    <col min="22" max="22" width="10.59765625" style="84" bestFit="1" customWidth="1"/>
    <col min="23" max="23" width="10.8984375" style="84" bestFit="1" customWidth="1"/>
    <col min="24" max="24" width="9.69921875" style="84" bestFit="1" customWidth="1"/>
    <col min="25" max="25" width="12.09765625" style="84" bestFit="1" customWidth="1"/>
    <col min="26" max="26" width="10.8984375" style="84" bestFit="1" customWidth="1"/>
    <col min="27" max="27" width="9.69921875" style="84" bestFit="1" customWidth="1"/>
    <col min="28" max="28" width="9.8984375" style="84" bestFit="1" customWidth="1"/>
    <col min="29" max="29" width="9.69921875" style="84" bestFit="1" customWidth="1"/>
    <col min="30" max="30" width="10.8984375" style="84" bestFit="1" customWidth="1"/>
    <col min="31" max="31" width="9.8984375" style="84" bestFit="1" customWidth="1"/>
    <col min="32" max="33" width="9.59765625" style="84" bestFit="1" customWidth="1"/>
    <col min="34" max="34" width="10.8984375" style="84" bestFit="1" customWidth="1"/>
    <col min="35" max="35" width="11" style="84" bestFit="1" customWidth="1"/>
    <col min="36" max="36" width="11.19921875" style="84" bestFit="1" customWidth="1"/>
    <col min="37" max="37" width="10.69921875" style="84" bestFit="1" customWidth="1"/>
    <col min="38" max="38" width="10.3984375" style="84" bestFit="1" customWidth="1"/>
    <col min="39" max="39" width="11.69921875" style="84" bestFit="1" customWidth="1"/>
    <col min="40" max="40" width="11.59765625" style="84" bestFit="1" customWidth="1"/>
    <col min="41" max="41" width="11.19921875" style="84" bestFit="1" customWidth="1"/>
    <col min="42" max="43" width="10.5" style="84" bestFit="1" customWidth="1"/>
    <col min="44" max="44" width="9.8984375" style="84" bestFit="1" customWidth="1"/>
    <col min="45" max="46" width="10.3984375" style="84" bestFit="1" customWidth="1"/>
    <col min="47" max="47" width="11.09765625" style="84" bestFit="1" customWidth="1"/>
    <col min="48" max="48" width="12.3984375" style="84" bestFit="1" customWidth="1"/>
    <col min="49" max="49" width="10.3984375" style="84" bestFit="1" customWidth="1"/>
    <col min="50" max="52" width="10.8984375" style="84" bestFit="1" customWidth="1"/>
    <col min="53" max="54" width="10.69921875" style="84" bestFit="1" customWidth="1"/>
    <col min="55" max="55" width="9.69921875" style="84" bestFit="1" customWidth="1"/>
    <col min="56" max="56" width="9.5" style="84" bestFit="1" customWidth="1"/>
    <col min="57" max="57" width="9.69921875" style="84" bestFit="1" customWidth="1"/>
    <col min="58" max="58" width="9.8984375" style="84" bestFit="1" customWidth="1"/>
    <col min="59" max="60" width="10.3984375" style="84" bestFit="1" customWidth="1"/>
    <col min="61" max="61" width="10.19921875" style="84" bestFit="1" customWidth="1"/>
    <col min="62" max="62" width="11.3984375" style="84" bestFit="1" customWidth="1"/>
    <col min="63" max="63" width="9.69921875" style="84" bestFit="1" customWidth="1"/>
    <col min="64" max="65" width="9" style="84"/>
    <col min="66" max="67" width="9.8984375" style="84" bestFit="1" customWidth="1"/>
    <col min="68" max="68" width="9.59765625" style="84" bestFit="1" customWidth="1"/>
    <col min="69" max="70" width="9.8984375" style="84" bestFit="1" customWidth="1"/>
    <col min="71" max="72" width="10.3984375" style="84" bestFit="1" customWidth="1"/>
    <col min="73" max="73" width="9" style="84"/>
    <col min="74" max="74" width="10.3984375" style="84" bestFit="1" customWidth="1"/>
    <col min="75" max="75" width="11.09765625" style="84" bestFit="1" customWidth="1"/>
    <col min="76" max="76" width="12.3984375" style="84" bestFit="1" customWidth="1"/>
    <col min="77" max="78" width="10.3984375" style="84" bestFit="1" customWidth="1"/>
    <col min="79" max="81" width="10.8984375" style="84" bestFit="1" customWidth="1"/>
    <col min="82" max="82" width="12.5" style="84" bestFit="1" customWidth="1"/>
    <col min="83" max="83" width="10.8984375" style="84" bestFit="1" customWidth="1"/>
    <col min="84" max="85" width="10.69921875" style="84" bestFit="1" customWidth="1"/>
    <col min="86" max="87" width="9.69921875" style="84" bestFit="1" customWidth="1"/>
    <col min="88" max="89" width="9.5" style="84" bestFit="1" customWidth="1"/>
    <col min="90" max="91" width="10.8984375" style="84" bestFit="1" customWidth="1"/>
    <col min="92" max="93" width="10.69921875" style="84" bestFit="1" customWidth="1"/>
    <col min="94" max="94" width="9.69921875" style="84" bestFit="1" customWidth="1"/>
    <col min="95" max="98" width="10.8984375" style="84" bestFit="1" customWidth="1"/>
    <col min="99" max="100" width="10.69921875" style="84" bestFit="1" customWidth="1"/>
    <col min="101" max="101" width="9.69921875" style="84" bestFit="1" customWidth="1"/>
    <col min="102" max="102" width="9" style="84"/>
    <col min="103" max="103" width="10.8984375" style="84" bestFit="1" customWidth="1"/>
    <col min="104" max="104" width="10.59765625" style="84" bestFit="1" customWidth="1"/>
    <col min="105" max="105" width="12.09765625" style="84" bestFit="1" customWidth="1"/>
    <col min="106" max="107" width="10.8984375" style="84" bestFit="1" customWidth="1"/>
    <col min="108" max="109" width="10.69921875" style="84" bestFit="1" customWidth="1"/>
    <col min="110" max="110" width="11.19921875" style="84" bestFit="1" customWidth="1"/>
    <col min="111" max="111" width="10.69921875" style="84" bestFit="1" customWidth="1"/>
    <col min="112" max="112" width="9.8984375" style="84" bestFit="1" customWidth="1"/>
    <col min="113" max="114" width="9.69921875" style="84" bestFit="1" customWidth="1"/>
    <col min="115" max="115" width="9" style="84"/>
    <col min="116" max="116" width="10.59765625" style="84" bestFit="1" customWidth="1"/>
    <col min="117" max="118" width="10.8984375" style="84" bestFit="1" customWidth="1"/>
    <col min="119" max="120" width="10.69921875" style="84" bestFit="1" customWidth="1"/>
    <col min="121" max="121" width="9.69921875" style="84" bestFit="1" customWidth="1"/>
    <col min="122" max="122" width="9" style="84"/>
    <col min="123" max="123" width="9.69921875" style="84" bestFit="1" customWidth="1"/>
    <col min="124" max="124" width="12.19921875" style="84" bestFit="1" customWidth="1"/>
    <col min="125" max="125" width="10.5" style="84" bestFit="1" customWidth="1"/>
    <col min="126" max="126" width="11.69921875" style="84" bestFit="1" customWidth="1"/>
    <col min="127" max="127" width="10.3984375" style="84" bestFit="1" customWidth="1"/>
    <col min="128" max="128" width="10.5" style="84" bestFit="1" customWidth="1"/>
    <col min="129" max="129" width="11.69921875" style="84" bestFit="1" customWidth="1"/>
    <col min="130" max="130" width="10.3984375" style="84" bestFit="1" customWidth="1"/>
    <col min="131" max="131" width="10.5" style="84" bestFit="1" customWidth="1"/>
    <col min="132" max="132" width="12.09765625" style="84" bestFit="1" customWidth="1"/>
    <col min="133" max="133" width="10.69921875" style="84" bestFit="1" customWidth="1"/>
    <col min="134" max="134" width="11.09765625" style="84" bestFit="1" customWidth="1"/>
    <col min="135" max="135" width="10.69921875" style="84" bestFit="1" customWidth="1"/>
    <col min="136" max="136" width="10.59765625" style="84" bestFit="1" customWidth="1"/>
    <col min="137" max="137" width="10.69921875" style="84" bestFit="1" customWidth="1"/>
    <col min="138" max="138" width="10.5" style="84" bestFit="1" customWidth="1"/>
    <col min="139" max="139" width="10.8984375" style="84" bestFit="1" customWidth="1"/>
    <col min="140" max="140" width="10.3984375" style="84" bestFit="1" customWidth="1"/>
    <col min="141" max="141" width="12.5" style="84" bestFit="1" customWidth="1"/>
    <col min="142" max="142" width="10.69921875" style="84" bestFit="1" customWidth="1"/>
    <col min="143" max="143" width="10.59765625" style="84" bestFit="1" customWidth="1"/>
    <col min="144" max="144" width="11.59765625" style="84" bestFit="1" customWidth="1"/>
    <col min="145" max="145" width="12.19921875" style="84" bestFit="1" customWidth="1"/>
    <col min="146" max="146" width="10.5" style="84" bestFit="1" customWidth="1"/>
    <col min="147" max="147" width="11.3984375" style="84" bestFit="1" customWidth="1"/>
    <col min="148" max="148" width="10.3984375" style="84" bestFit="1" customWidth="1"/>
    <col min="149" max="149" width="11.69921875" style="84" bestFit="1" customWidth="1"/>
    <col min="150" max="150" width="11.19921875" style="84" bestFit="1" customWidth="1"/>
    <col min="151" max="152" width="10.3984375" style="84" bestFit="1" customWidth="1"/>
    <col min="153" max="153" width="11.69921875" style="84" bestFit="1" customWidth="1"/>
    <col min="154" max="154" width="10.5" style="84" bestFit="1" customWidth="1"/>
    <col min="155" max="155" width="11.3984375" style="84" bestFit="1" customWidth="1"/>
    <col min="156" max="156" width="10.8984375" style="84" bestFit="1" customWidth="1"/>
    <col min="157" max="157" width="11.69921875" style="84" bestFit="1" customWidth="1"/>
    <col min="158" max="158" width="11.19921875" style="84" bestFit="1" customWidth="1"/>
    <col min="159" max="159" width="10.5" style="84" bestFit="1" customWidth="1"/>
    <col min="160" max="160" width="11.59765625" style="84" bestFit="1" customWidth="1"/>
    <col min="161" max="161" width="11.5" style="84" bestFit="1" customWidth="1"/>
    <col min="162" max="162" width="11.3984375" style="84" bestFit="1" customWidth="1"/>
    <col min="163" max="163" width="10.09765625" style="84" bestFit="1" customWidth="1"/>
    <col min="164" max="164" width="10.8984375" style="84" bestFit="1" customWidth="1"/>
    <col min="165" max="165" width="11.19921875" style="84" bestFit="1" customWidth="1"/>
    <col min="166" max="166" width="11" style="84" bestFit="1" customWidth="1"/>
    <col min="167" max="167" width="11.19921875" style="84" bestFit="1" customWidth="1"/>
    <col min="168" max="168" width="10.69921875" style="84" bestFit="1" customWidth="1"/>
    <col min="169" max="169" width="11.19921875" style="84" bestFit="1" customWidth="1"/>
    <col min="170" max="170" width="10.69921875" style="84" bestFit="1" customWidth="1"/>
    <col min="171" max="171" width="11.19921875" style="84" bestFit="1" customWidth="1"/>
    <col min="172" max="172" width="10.5" style="84" bestFit="1" customWidth="1"/>
    <col min="173" max="173" width="11.19921875" style="84" bestFit="1" customWidth="1"/>
    <col min="174" max="175" width="11.59765625" style="84" bestFit="1" customWidth="1"/>
    <col min="176" max="176" width="11.19921875" style="84" bestFit="1" customWidth="1"/>
    <col min="177" max="177" width="10.59765625" style="84" bestFit="1" customWidth="1"/>
    <col min="178" max="180" width="10.09765625" style="84" bestFit="1" customWidth="1"/>
    <col min="181" max="181" width="9.8984375" style="84" bestFit="1" customWidth="1"/>
    <col min="182" max="182" width="9" style="84" bestFit="1" customWidth="1"/>
    <col min="183" max="184" width="9" style="84"/>
    <col min="185" max="185" width="4.69921875" style="84" bestFit="1" customWidth="1"/>
    <col min="186" max="186" width="9.5" style="84" bestFit="1" customWidth="1"/>
    <col min="187" max="187" width="5.19921875" style="84" bestFit="1" customWidth="1"/>
    <col min="188" max="188" width="12.5" style="84" bestFit="1" customWidth="1"/>
    <col min="189" max="189" width="13.59765625" style="84" bestFit="1" customWidth="1"/>
    <col min="190" max="190" width="6.3984375" style="84" bestFit="1" customWidth="1"/>
    <col min="191" max="191" width="13.5" style="84" bestFit="1" customWidth="1"/>
    <col min="192" max="16384" width="9" style="84"/>
  </cols>
  <sheetData>
    <row r="1" spans="1:191" s="2" customFormat="1" ht="11">
      <c r="A1" s="1"/>
      <c r="D1" s="3"/>
      <c r="E1" s="4"/>
      <c r="F1" s="4"/>
      <c r="G1" s="5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6" t="s">
        <v>1</v>
      </c>
      <c r="FW1" s="6" t="s">
        <v>1</v>
      </c>
      <c r="FX1" s="6" t="s">
        <v>1</v>
      </c>
      <c r="FY1" s="6" t="s">
        <v>1</v>
      </c>
      <c r="FZ1" s="6" t="s">
        <v>1</v>
      </c>
      <c r="GA1" s="6" t="s">
        <v>1</v>
      </c>
      <c r="GB1" s="6" t="s">
        <v>1</v>
      </c>
      <c r="GC1" s="7"/>
      <c r="GD1" s="8"/>
      <c r="GE1" s="9"/>
    </row>
    <row r="2" spans="1:191" s="11" customFormat="1" ht="11">
      <c r="A2" s="10"/>
      <c r="E2" s="5"/>
      <c r="F2" s="5"/>
      <c r="G2" s="5" t="s">
        <v>2</v>
      </c>
      <c r="H2" s="12" t="s">
        <v>3</v>
      </c>
      <c r="I2" s="13" t="s">
        <v>3</v>
      </c>
      <c r="J2" s="12" t="s">
        <v>4</v>
      </c>
      <c r="K2" s="12" t="s">
        <v>4</v>
      </c>
      <c r="L2" s="12" t="s">
        <v>3</v>
      </c>
      <c r="M2" s="12" t="s">
        <v>4</v>
      </c>
      <c r="N2" s="12" t="s">
        <v>4</v>
      </c>
      <c r="O2" s="13" t="s">
        <v>5</v>
      </c>
      <c r="P2" s="12" t="s">
        <v>3</v>
      </c>
      <c r="Q2" s="12" t="s">
        <v>3</v>
      </c>
      <c r="R2" s="13" t="s">
        <v>3</v>
      </c>
      <c r="S2" s="13" t="s">
        <v>5</v>
      </c>
      <c r="T2" s="13" t="s">
        <v>4</v>
      </c>
      <c r="U2" s="12" t="s">
        <v>3</v>
      </c>
      <c r="V2" s="12" t="s">
        <v>4</v>
      </c>
      <c r="W2" s="12" t="s">
        <v>4</v>
      </c>
      <c r="X2" s="12" t="s">
        <v>4</v>
      </c>
      <c r="Y2" s="13" t="s">
        <v>5</v>
      </c>
      <c r="Z2" s="12" t="s">
        <v>4</v>
      </c>
      <c r="AA2" s="13" t="s">
        <v>5</v>
      </c>
      <c r="AB2" s="12" t="s">
        <v>4</v>
      </c>
      <c r="AC2" s="12" t="s">
        <v>4</v>
      </c>
      <c r="AD2" s="12" t="s">
        <v>4</v>
      </c>
      <c r="AE2" s="12" t="s">
        <v>4</v>
      </c>
      <c r="AF2" s="12" t="s">
        <v>4</v>
      </c>
      <c r="AG2" s="12" t="s">
        <v>4</v>
      </c>
      <c r="AH2" s="12" t="s">
        <v>4</v>
      </c>
      <c r="AI2" s="12" t="s">
        <v>4</v>
      </c>
      <c r="AJ2" s="12" t="s">
        <v>4</v>
      </c>
      <c r="AK2" s="12" t="s">
        <v>4</v>
      </c>
      <c r="AL2" s="12" t="s">
        <v>4</v>
      </c>
      <c r="AM2" s="12" t="s">
        <v>4</v>
      </c>
      <c r="AN2" s="12" t="s">
        <v>4</v>
      </c>
      <c r="AO2" s="12" t="s">
        <v>4</v>
      </c>
      <c r="AP2" s="12" t="s">
        <v>4</v>
      </c>
      <c r="AQ2" s="12" t="s">
        <v>4</v>
      </c>
      <c r="AR2" s="12" t="s">
        <v>4</v>
      </c>
      <c r="AS2" s="12" t="s">
        <v>4</v>
      </c>
      <c r="AT2" s="12" t="s">
        <v>4</v>
      </c>
      <c r="AU2" s="13" t="s">
        <v>3</v>
      </c>
      <c r="AV2" s="12" t="s">
        <v>4</v>
      </c>
      <c r="AW2" s="13" t="s">
        <v>5</v>
      </c>
      <c r="AX2" s="12" t="s">
        <v>4</v>
      </c>
      <c r="AY2" s="13" t="s">
        <v>3</v>
      </c>
      <c r="AZ2" s="13" t="s">
        <v>5</v>
      </c>
      <c r="BA2" s="13" t="s">
        <v>5</v>
      </c>
      <c r="BB2" s="13" t="s">
        <v>5</v>
      </c>
      <c r="BC2" s="12" t="s">
        <v>4</v>
      </c>
      <c r="BD2" s="13" t="s">
        <v>5</v>
      </c>
      <c r="BE2" s="12" t="s">
        <v>4</v>
      </c>
      <c r="BF2" s="13" t="s">
        <v>3</v>
      </c>
      <c r="BG2" s="12" t="s">
        <v>4</v>
      </c>
      <c r="BH2" s="12" t="s">
        <v>4</v>
      </c>
      <c r="BI2" s="12" t="s">
        <v>4</v>
      </c>
      <c r="BJ2" s="12" t="s">
        <v>4</v>
      </c>
      <c r="BK2" s="13" t="s">
        <v>5</v>
      </c>
      <c r="BL2" s="13" t="s">
        <v>5</v>
      </c>
      <c r="BM2" s="13" t="s">
        <v>5</v>
      </c>
      <c r="BN2" s="13" t="s">
        <v>5</v>
      </c>
      <c r="BO2" s="12" t="s">
        <v>4</v>
      </c>
      <c r="BP2" s="13" t="s">
        <v>3</v>
      </c>
      <c r="BQ2" s="13" t="s">
        <v>5</v>
      </c>
      <c r="BR2" s="13" t="s">
        <v>3</v>
      </c>
      <c r="BS2" s="13" t="s">
        <v>5</v>
      </c>
      <c r="BT2" s="13" t="s">
        <v>5</v>
      </c>
      <c r="BU2" s="13" t="s">
        <v>5</v>
      </c>
      <c r="BV2" s="13" t="s">
        <v>5</v>
      </c>
      <c r="BW2" s="12" t="s">
        <v>4</v>
      </c>
      <c r="BX2" s="12" t="s">
        <v>4</v>
      </c>
      <c r="BY2" s="13" t="s">
        <v>5</v>
      </c>
      <c r="BZ2" s="13" t="s">
        <v>5</v>
      </c>
      <c r="CA2" s="12" t="s">
        <v>4</v>
      </c>
      <c r="CB2" s="13" t="s">
        <v>5</v>
      </c>
      <c r="CC2" s="12" t="s">
        <v>4</v>
      </c>
      <c r="CD2" s="13" t="s">
        <v>5</v>
      </c>
      <c r="CE2" s="13" t="s">
        <v>5</v>
      </c>
      <c r="CF2" s="13" t="s">
        <v>3</v>
      </c>
      <c r="CG2" s="12" t="s">
        <v>4</v>
      </c>
      <c r="CH2" s="12" t="s">
        <v>4</v>
      </c>
      <c r="CI2" s="12" t="s">
        <v>4</v>
      </c>
      <c r="CJ2" s="13" t="s">
        <v>5</v>
      </c>
      <c r="CK2" s="12" t="s">
        <v>4</v>
      </c>
      <c r="CL2" s="13" t="s">
        <v>5</v>
      </c>
      <c r="CM2" s="13" t="s">
        <v>5</v>
      </c>
      <c r="CN2" s="13" t="s">
        <v>5</v>
      </c>
      <c r="CO2" s="12" t="s">
        <v>4</v>
      </c>
      <c r="CP2" s="13" t="s">
        <v>5</v>
      </c>
      <c r="CQ2" s="13" t="s">
        <v>5</v>
      </c>
      <c r="CR2" s="12" t="s">
        <v>4</v>
      </c>
      <c r="CS2" s="12" t="s">
        <v>4</v>
      </c>
      <c r="CT2" s="13" t="s">
        <v>3</v>
      </c>
      <c r="CU2" s="12" t="s">
        <v>4</v>
      </c>
      <c r="CV2" s="13" t="s">
        <v>5</v>
      </c>
      <c r="CW2" s="12" t="s">
        <v>4</v>
      </c>
      <c r="CX2" s="12" t="s">
        <v>4</v>
      </c>
      <c r="CY2" s="12" t="s">
        <v>4</v>
      </c>
      <c r="CZ2" s="13" t="s">
        <v>5</v>
      </c>
      <c r="DA2" s="13" t="s">
        <v>5</v>
      </c>
      <c r="DB2" s="13" t="s">
        <v>5</v>
      </c>
      <c r="DC2" s="12" t="s">
        <v>4</v>
      </c>
      <c r="DD2" s="12" t="s">
        <v>4</v>
      </c>
      <c r="DE2" s="13" t="s">
        <v>5</v>
      </c>
      <c r="DF2" s="12" t="s">
        <v>4</v>
      </c>
      <c r="DG2" s="12" t="s">
        <v>4</v>
      </c>
      <c r="DH2" s="12" t="s">
        <v>4</v>
      </c>
      <c r="DI2" s="12" t="s">
        <v>4</v>
      </c>
      <c r="DJ2" s="12" t="s">
        <v>4</v>
      </c>
      <c r="DK2" s="12" t="s">
        <v>4</v>
      </c>
      <c r="DL2" s="13" t="s">
        <v>5</v>
      </c>
      <c r="DM2" s="13" t="s">
        <v>6</v>
      </c>
      <c r="DN2" s="13" t="s">
        <v>3</v>
      </c>
      <c r="DO2" s="13" t="s">
        <v>3</v>
      </c>
      <c r="DP2" s="13" t="s">
        <v>7</v>
      </c>
      <c r="DQ2" s="12" t="s">
        <v>4</v>
      </c>
      <c r="DR2" s="12" t="s">
        <v>4</v>
      </c>
      <c r="DS2" s="12" t="s">
        <v>4</v>
      </c>
      <c r="DT2" s="12" t="s">
        <v>4</v>
      </c>
      <c r="DU2" s="12" t="s">
        <v>8</v>
      </c>
      <c r="DV2" s="12" t="s">
        <v>4</v>
      </c>
      <c r="DW2" s="13" t="s">
        <v>8</v>
      </c>
      <c r="DX2" s="12" t="s">
        <v>8</v>
      </c>
      <c r="DY2" s="12" t="s">
        <v>8</v>
      </c>
      <c r="DZ2" s="13" t="s">
        <v>9</v>
      </c>
      <c r="EA2" s="12" t="s">
        <v>8</v>
      </c>
      <c r="EB2" s="12" t="s">
        <v>8</v>
      </c>
      <c r="EC2" s="12" t="s">
        <v>4</v>
      </c>
      <c r="ED2" s="13" t="s">
        <v>8</v>
      </c>
      <c r="EE2" s="13" t="s">
        <v>8</v>
      </c>
      <c r="EF2" s="13" t="s">
        <v>9</v>
      </c>
      <c r="EG2" s="13" t="s">
        <v>8</v>
      </c>
      <c r="EH2" s="13" t="s">
        <v>9</v>
      </c>
      <c r="EI2" s="12" t="s">
        <v>8</v>
      </c>
      <c r="EJ2" s="13" t="s">
        <v>8</v>
      </c>
      <c r="EK2" s="12" t="s">
        <v>8</v>
      </c>
      <c r="EL2" s="12" t="s">
        <v>8</v>
      </c>
      <c r="EM2" s="13" t="s">
        <v>9</v>
      </c>
      <c r="EN2" s="12" t="s">
        <v>4</v>
      </c>
      <c r="EO2" s="13" t="s">
        <v>4</v>
      </c>
      <c r="EP2" s="13" t="s">
        <v>9</v>
      </c>
      <c r="EQ2" s="12" t="s">
        <v>4</v>
      </c>
      <c r="ER2" s="13" t="s">
        <v>4</v>
      </c>
      <c r="ES2" s="13" t="s">
        <v>9</v>
      </c>
      <c r="ET2" s="12" t="s">
        <v>4</v>
      </c>
      <c r="EU2" s="13" t="s">
        <v>9</v>
      </c>
      <c r="EV2" s="13" t="s">
        <v>9</v>
      </c>
      <c r="EW2" s="12" t="s">
        <v>8</v>
      </c>
      <c r="EX2" s="13" t="s">
        <v>8</v>
      </c>
      <c r="EY2" s="12" t="s">
        <v>4</v>
      </c>
      <c r="EZ2" s="12" t="s">
        <v>4</v>
      </c>
      <c r="FA2" s="12" t="s">
        <v>4</v>
      </c>
      <c r="FB2" s="13" t="s">
        <v>4</v>
      </c>
      <c r="FC2" s="13" t="s">
        <v>9</v>
      </c>
      <c r="FD2" s="12" t="s">
        <v>8</v>
      </c>
      <c r="FE2" s="13" t="s">
        <v>4</v>
      </c>
      <c r="FF2" s="12" t="s">
        <v>4</v>
      </c>
      <c r="FG2" s="12" t="s">
        <v>4</v>
      </c>
      <c r="FH2" s="12" t="s">
        <v>8</v>
      </c>
      <c r="FI2" s="12" t="s">
        <v>8</v>
      </c>
      <c r="FJ2" s="12" t="s">
        <v>3</v>
      </c>
      <c r="FK2" s="12" t="s">
        <v>8</v>
      </c>
      <c r="FL2" s="12" t="s">
        <v>8</v>
      </c>
      <c r="FM2" s="12" t="s">
        <v>8</v>
      </c>
      <c r="FN2" s="12" t="s">
        <v>8</v>
      </c>
      <c r="FO2" s="13" t="s">
        <v>8</v>
      </c>
      <c r="FP2" s="13" t="s">
        <v>9</v>
      </c>
      <c r="FQ2" s="12" t="s">
        <v>8</v>
      </c>
      <c r="FR2" s="12" t="s">
        <v>8</v>
      </c>
      <c r="FS2" s="12" t="s">
        <v>8</v>
      </c>
      <c r="FT2" s="13" t="s">
        <v>9</v>
      </c>
      <c r="FU2" s="12" t="s">
        <v>4</v>
      </c>
      <c r="FV2" s="12" t="s">
        <v>3</v>
      </c>
      <c r="FW2" s="12" t="s">
        <v>3</v>
      </c>
      <c r="FX2" s="12" t="s">
        <v>3</v>
      </c>
      <c r="FY2" s="12" t="s">
        <v>3</v>
      </c>
      <c r="FZ2" s="12" t="s">
        <v>3</v>
      </c>
      <c r="GA2" s="12" t="s">
        <v>3</v>
      </c>
      <c r="GB2" s="12" t="s">
        <v>3</v>
      </c>
      <c r="GC2" s="7"/>
      <c r="GD2" s="14"/>
      <c r="GE2" s="15"/>
    </row>
    <row r="3" spans="1:191" s="11" customFormat="1">
      <c r="A3" s="10"/>
      <c r="E3" s="5"/>
      <c r="F3" s="5"/>
      <c r="G3" s="5" t="s">
        <v>10</v>
      </c>
      <c r="H3" s="12">
        <v>10</v>
      </c>
      <c r="I3" s="12">
        <v>5</v>
      </c>
      <c r="J3" s="12">
        <v>5</v>
      </c>
      <c r="K3" s="12">
        <v>10</v>
      </c>
      <c r="L3" s="12">
        <v>10</v>
      </c>
      <c r="M3" s="12">
        <v>5</v>
      </c>
      <c r="N3" s="12">
        <v>5</v>
      </c>
      <c r="O3" s="12">
        <v>10</v>
      </c>
      <c r="P3" s="12">
        <v>10</v>
      </c>
      <c r="Q3" s="12">
        <v>10</v>
      </c>
      <c r="R3" s="12">
        <v>5</v>
      </c>
      <c r="S3" s="12">
        <v>10</v>
      </c>
      <c r="T3" s="12">
        <v>10</v>
      </c>
      <c r="U3" s="12">
        <v>10</v>
      </c>
      <c r="V3" s="12">
        <v>10</v>
      </c>
      <c r="W3" s="12">
        <v>10</v>
      </c>
      <c r="X3" s="12">
        <v>10</v>
      </c>
      <c r="Y3" s="12">
        <v>10</v>
      </c>
      <c r="Z3" s="12">
        <v>10</v>
      </c>
      <c r="AA3" s="12">
        <v>10</v>
      </c>
      <c r="AB3" s="12" t="s">
        <v>11</v>
      </c>
      <c r="AC3" s="12">
        <v>5</v>
      </c>
      <c r="AD3" s="12">
        <v>10</v>
      </c>
      <c r="AE3" s="12">
        <v>10</v>
      </c>
      <c r="AF3" s="12">
        <v>10</v>
      </c>
      <c r="AG3" s="12">
        <v>10</v>
      </c>
      <c r="AH3" s="12">
        <v>10</v>
      </c>
      <c r="AI3" s="12">
        <v>10</v>
      </c>
      <c r="AJ3" s="12">
        <v>10</v>
      </c>
      <c r="AK3" s="12">
        <v>10</v>
      </c>
      <c r="AL3" s="12">
        <v>10</v>
      </c>
      <c r="AM3" s="12">
        <v>10</v>
      </c>
      <c r="AN3" s="12">
        <v>10</v>
      </c>
      <c r="AO3" s="12">
        <v>10</v>
      </c>
      <c r="AP3" s="12">
        <v>10</v>
      </c>
      <c r="AQ3" s="12">
        <v>10</v>
      </c>
      <c r="AR3" s="12">
        <v>1</v>
      </c>
      <c r="AS3" s="12">
        <v>1</v>
      </c>
      <c r="AT3" s="12">
        <v>1</v>
      </c>
      <c r="AU3" s="12">
        <v>4</v>
      </c>
      <c r="AV3" s="12">
        <v>5</v>
      </c>
      <c r="AW3" s="12">
        <v>5</v>
      </c>
      <c r="AX3" s="12">
        <v>5</v>
      </c>
      <c r="AY3" s="12">
        <v>5</v>
      </c>
      <c r="AZ3" s="12">
        <v>10</v>
      </c>
      <c r="BA3" s="12">
        <v>10</v>
      </c>
      <c r="BB3" s="12">
        <v>10</v>
      </c>
      <c r="BC3" s="12">
        <v>10</v>
      </c>
      <c r="BD3" s="12">
        <v>10</v>
      </c>
      <c r="BE3" s="12">
        <v>5</v>
      </c>
      <c r="BF3" s="12">
        <v>1</v>
      </c>
      <c r="BG3" s="12">
        <v>1</v>
      </c>
      <c r="BH3" s="12">
        <v>1</v>
      </c>
      <c r="BI3" s="12">
        <v>4</v>
      </c>
      <c r="BJ3" s="12">
        <v>5</v>
      </c>
      <c r="BK3" s="12">
        <v>5</v>
      </c>
      <c r="BL3" s="12">
        <v>5</v>
      </c>
      <c r="BM3" s="12">
        <v>10</v>
      </c>
      <c r="BN3" s="12">
        <v>10</v>
      </c>
      <c r="BO3" s="12">
        <v>10</v>
      </c>
      <c r="BP3" s="12">
        <v>10</v>
      </c>
      <c r="BQ3" s="12">
        <v>1</v>
      </c>
      <c r="BR3" s="12">
        <v>1</v>
      </c>
      <c r="BS3" s="12">
        <v>1</v>
      </c>
      <c r="BT3" s="12">
        <v>1</v>
      </c>
      <c r="BU3" s="12">
        <v>1</v>
      </c>
      <c r="BV3" s="12">
        <v>1</v>
      </c>
      <c r="BW3" s="12">
        <v>4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10</v>
      </c>
      <c r="CE3" s="12">
        <v>10</v>
      </c>
      <c r="CF3" s="12">
        <v>10</v>
      </c>
      <c r="CG3" s="12">
        <v>10</v>
      </c>
      <c r="CH3" s="12">
        <v>10</v>
      </c>
      <c r="CI3" s="12">
        <v>10</v>
      </c>
      <c r="CJ3" s="12">
        <v>10</v>
      </c>
      <c r="CK3" s="12">
        <v>10</v>
      </c>
      <c r="CL3" s="12">
        <v>5</v>
      </c>
      <c r="CM3" s="12">
        <v>10</v>
      </c>
      <c r="CN3" s="12">
        <v>10</v>
      </c>
      <c r="CO3" s="12">
        <v>10</v>
      </c>
      <c r="CP3" s="12">
        <v>10</v>
      </c>
      <c r="CQ3" s="12">
        <v>5</v>
      </c>
      <c r="CR3" s="12">
        <v>5</v>
      </c>
      <c r="CS3" s="12">
        <v>10</v>
      </c>
      <c r="CT3" s="12">
        <v>10</v>
      </c>
      <c r="CU3" s="12">
        <v>10</v>
      </c>
      <c r="CV3" s="12">
        <v>10</v>
      </c>
      <c r="CW3" s="12">
        <v>10</v>
      </c>
      <c r="CX3" s="12">
        <v>5</v>
      </c>
      <c r="CY3" s="12">
        <v>5</v>
      </c>
      <c r="CZ3" s="12">
        <v>10</v>
      </c>
      <c r="DA3" s="12">
        <v>10</v>
      </c>
      <c r="DB3" s="12">
        <v>10</v>
      </c>
      <c r="DC3" s="12">
        <v>10</v>
      </c>
      <c r="DD3" s="12">
        <v>10</v>
      </c>
      <c r="DE3" s="12">
        <v>10</v>
      </c>
      <c r="DF3" s="12" t="s">
        <v>11</v>
      </c>
      <c r="DG3" s="12">
        <v>10</v>
      </c>
      <c r="DH3" s="12">
        <v>10</v>
      </c>
      <c r="DI3" s="12">
        <v>10</v>
      </c>
      <c r="DJ3" s="12">
        <v>10</v>
      </c>
      <c r="DK3" s="12">
        <v>5</v>
      </c>
      <c r="DL3" s="12">
        <v>10</v>
      </c>
      <c r="DM3" s="12">
        <v>10</v>
      </c>
      <c r="DN3" s="12">
        <v>10</v>
      </c>
      <c r="DO3" s="12">
        <v>10</v>
      </c>
      <c r="DP3" s="12">
        <v>10</v>
      </c>
      <c r="DQ3" s="12">
        <v>10</v>
      </c>
      <c r="DR3" s="12">
        <v>5</v>
      </c>
      <c r="DS3" s="12">
        <v>10</v>
      </c>
      <c r="DT3" s="12">
        <v>10</v>
      </c>
      <c r="DU3" s="12">
        <v>10</v>
      </c>
      <c r="DV3" s="12">
        <v>10</v>
      </c>
      <c r="DW3" s="12">
        <v>10</v>
      </c>
      <c r="DX3" s="12">
        <v>10</v>
      </c>
      <c r="DY3" s="12">
        <v>10</v>
      </c>
      <c r="DZ3" s="12">
        <v>10</v>
      </c>
      <c r="EA3" s="12">
        <v>20</v>
      </c>
      <c r="EB3" s="12">
        <v>10</v>
      </c>
      <c r="EC3" s="12">
        <v>10</v>
      </c>
      <c r="ED3" s="12">
        <v>20</v>
      </c>
      <c r="EE3" s="12">
        <v>10</v>
      </c>
      <c r="EF3" s="12">
        <v>10</v>
      </c>
      <c r="EG3" s="12">
        <v>20</v>
      </c>
      <c r="EH3" s="12">
        <v>10</v>
      </c>
      <c r="EI3" s="12">
        <v>20</v>
      </c>
      <c r="EJ3" s="12">
        <v>10</v>
      </c>
      <c r="EK3" s="12">
        <v>10</v>
      </c>
      <c r="EL3" s="12">
        <v>20</v>
      </c>
      <c r="EM3" s="12">
        <v>20</v>
      </c>
      <c r="EN3" s="12">
        <v>10</v>
      </c>
      <c r="EO3" s="12">
        <v>20</v>
      </c>
      <c r="EP3" s="12">
        <v>20</v>
      </c>
      <c r="EQ3" s="12">
        <v>20</v>
      </c>
      <c r="ER3" s="12">
        <v>10</v>
      </c>
      <c r="ES3" s="12">
        <v>20</v>
      </c>
      <c r="ET3" s="12">
        <v>20</v>
      </c>
      <c r="EU3" s="12">
        <v>20</v>
      </c>
      <c r="EV3" s="12">
        <v>20</v>
      </c>
      <c r="EW3" s="12">
        <v>10</v>
      </c>
      <c r="EX3" s="12">
        <v>20</v>
      </c>
      <c r="EY3" s="12">
        <v>20</v>
      </c>
      <c r="EZ3" s="12">
        <v>20</v>
      </c>
      <c r="FA3" s="12">
        <v>10</v>
      </c>
      <c r="FB3" s="12">
        <v>20</v>
      </c>
      <c r="FC3" s="12">
        <v>20</v>
      </c>
      <c r="FD3" s="12">
        <v>20</v>
      </c>
      <c r="FE3" s="12">
        <v>20</v>
      </c>
      <c r="FF3" s="12">
        <v>20</v>
      </c>
      <c r="FG3" s="12">
        <v>20</v>
      </c>
      <c r="FH3" s="12">
        <v>20</v>
      </c>
      <c r="FI3" s="12">
        <v>20</v>
      </c>
      <c r="FJ3" s="12">
        <v>20</v>
      </c>
      <c r="FK3" s="12">
        <v>20</v>
      </c>
      <c r="FL3" s="12">
        <v>20</v>
      </c>
      <c r="FM3" s="12">
        <v>30</v>
      </c>
      <c r="FN3" s="12">
        <v>20</v>
      </c>
      <c r="FO3" s="12">
        <v>30</v>
      </c>
      <c r="FP3" s="12">
        <v>30</v>
      </c>
      <c r="FQ3" s="12">
        <v>20</v>
      </c>
      <c r="FR3" s="12">
        <v>30</v>
      </c>
      <c r="FS3" s="12">
        <v>30</v>
      </c>
      <c r="FT3" s="12">
        <v>30</v>
      </c>
      <c r="FU3" s="12">
        <v>20</v>
      </c>
      <c r="FV3" s="12">
        <v>4</v>
      </c>
      <c r="FW3" s="12">
        <v>4</v>
      </c>
      <c r="FX3" s="12">
        <v>8</v>
      </c>
      <c r="FY3" s="12">
        <v>5</v>
      </c>
      <c r="FZ3" s="12">
        <v>5</v>
      </c>
      <c r="GA3" s="12">
        <v>5</v>
      </c>
      <c r="GB3" s="12">
        <v>5</v>
      </c>
      <c r="GC3" s="16"/>
      <c r="GD3" s="10"/>
      <c r="GF3" s="14"/>
      <c r="GG3" s="15"/>
    </row>
    <row r="4" spans="1:191" s="18" customFormat="1" ht="40">
      <c r="A4" s="17"/>
      <c r="E4" s="17"/>
      <c r="F4" s="17"/>
      <c r="G4" s="17" t="s">
        <v>12</v>
      </c>
      <c r="H4" s="19" t="s">
        <v>13</v>
      </c>
      <c r="I4" s="19" t="s">
        <v>14</v>
      </c>
      <c r="J4" s="19" t="s">
        <v>15</v>
      </c>
      <c r="K4" s="19" t="s">
        <v>16</v>
      </c>
      <c r="L4" s="19" t="s">
        <v>17</v>
      </c>
      <c r="M4" s="19" t="s">
        <v>18</v>
      </c>
      <c r="N4" s="20" t="s">
        <v>19</v>
      </c>
      <c r="O4" s="19" t="s">
        <v>20</v>
      </c>
      <c r="P4" s="19" t="s">
        <v>21</v>
      </c>
      <c r="Q4" s="19" t="s">
        <v>22</v>
      </c>
      <c r="R4" s="19" t="s">
        <v>23</v>
      </c>
      <c r="S4" s="19" t="s">
        <v>24</v>
      </c>
      <c r="T4" s="19" t="s">
        <v>25</v>
      </c>
      <c r="U4" s="19" t="s">
        <v>26</v>
      </c>
      <c r="V4" s="19" t="s">
        <v>27</v>
      </c>
      <c r="W4" s="19" t="s">
        <v>28</v>
      </c>
      <c r="X4" s="19" t="s">
        <v>29</v>
      </c>
      <c r="Y4" s="19" t="s">
        <v>30</v>
      </c>
      <c r="Z4" s="19" t="s">
        <v>31</v>
      </c>
      <c r="AA4" s="19" t="s">
        <v>32</v>
      </c>
      <c r="AB4" s="19" t="s">
        <v>33</v>
      </c>
      <c r="AC4" s="19" t="s">
        <v>34</v>
      </c>
      <c r="AD4" s="19" t="s">
        <v>35</v>
      </c>
      <c r="AE4" s="19" t="s">
        <v>36</v>
      </c>
      <c r="AF4" s="19" t="s">
        <v>37</v>
      </c>
      <c r="AG4" s="19" t="s">
        <v>38</v>
      </c>
      <c r="AH4" s="19" t="s">
        <v>39</v>
      </c>
      <c r="AI4" s="20" t="s">
        <v>39</v>
      </c>
      <c r="AJ4" s="19" t="s">
        <v>40</v>
      </c>
      <c r="AK4" s="19" t="s">
        <v>41</v>
      </c>
      <c r="AL4" s="19" t="s">
        <v>42</v>
      </c>
      <c r="AM4" s="19" t="s">
        <v>43</v>
      </c>
      <c r="AN4" s="19" t="s">
        <v>44</v>
      </c>
      <c r="AO4" s="19" t="s">
        <v>45</v>
      </c>
      <c r="AP4" s="19" t="s">
        <v>46</v>
      </c>
      <c r="AQ4" s="19" t="s">
        <v>47</v>
      </c>
      <c r="AR4" s="19" t="s">
        <v>48</v>
      </c>
      <c r="AS4" s="19" t="s">
        <v>48</v>
      </c>
      <c r="AT4" s="19" t="s">
        <v>48</v>
      </c>
      <c r="AU4" s="19" t="s">
        <v>49</v>
      </c>
      <c r="AV4" s="19" t="s">
        <v>50</v>
      </c>
      <c r="AW4" s="19" t="s">
        <v>51</v>
      </c>
      <c r="AX4" s="21" t="s">
        <v>52</v>
      </c>
      <c r="AY4" s="21" t="s">
        <v>52</v>
      </c>
      <c r="AZ4" s="20" t="s">
        <v>53</v>
      </c>
      <c r="BA4" s="19" t="s">
        <v>54</v>
      </c>
      <c r="BB4" s="19" t="s">
        <v>55</v>
      </c>
      <c r="BC4" s="19" t="s">
        <v>56</v>
      </c>
      <c r="BD4" s="19" t="s">
        <v>57</v>
      </c>
      <c r="BE4" s="19" t="s">
        <v>57</v>
      </c>
      <c r="BF4" s="19" t="s">
        <v>58</v>
      </c>
      <c r="BG4" s="19" t="s">
        <v>58</v>
      </c>
      <c r="BH4" s="19" t="s">
        <v>58</v>
      </c>
      <c r="BI4" s="19" t="s">
        <v>59</v>
      </c>
      <c r="BJ4" s="19" t="s">
        <v>60</v>
      </c>
      <c r="BK4" s="19" t="s">
        <v>61</v>
      </c>
      <c r="BL4" s="19" t="s">
        <v>62</v>
      </c>
      <c r="BM4" s="19" t="s">
        <v>63</v>
      </c>
      <c r="BN4" s="19" t="s">
        <v>64</v>
      </c>
      <c r="BO4" s="19" t="s">
        <v>65</v>
      </c>
      <c r="BP4" s="19" t="s">
        <v>66</v>
      </c>
      <c r="BQ4" s="21" t="s">
        <v>67</v>
      </c>
      <c r="BR4" s="21" t="s">
        <v>67</v>
      </c>
      <c r="BS4" s="19" t="s">
        <v>67</v>
      </c>
      <c r="BT4" s="19" t="s">
        <v>67</v>
      </c>
      <c r="BU4" s="19" t="s">
        <v>67</v>
      </c>
      <c r="BV4" s="19" t="s">
        <v>67</v>
      </c>
      <c r="BW4" s="19" t="s">
        <v>68</v>
      </c>
      <c r="BX4" s="19" t="s">
        <v>69</v>
      </c>
      <c r="BY4" s="21" t="s">
        <v>70</v>
      </c>
      <c r="BZ4" s="21" t="s">
        <v>70</v>
      </c>
      <c r="CA4" s="21" t="s">
        <v>71</v>
      </c>
      <c r="CB4" s="21" t="s">
        <v>71</v>
      </c>
      <c r="CC4" s="21" t="s">
        <v>71</v>
      </c>
      <c r="CD4" s="19" t="s">
        <v>72</v>
      </c>
      <c r="CE4" s="19" t="s">
        <v>73</v>
      </c>
      <c r="CF4" s="19" t="s">
        <v>74</v>
      </c>
      <c r="CG4" s="19" t="s">
        <v>75</v>
      </c>
      <c r="CH4" s="21" t="s">
        <v>76</v>
      </c>
      <c r="CI4" s="21" t="s">
        <v>76</v>
      </c>
      <c r="CJ4" s="21" t="s">
        <v>77</v>
      </c>
      <c r="CK4" s="21" t="s">
        <v>77</v>
      </c>
      <c r="CL4" s="19" t="s">
        <v>78</v>
      </c>
      <c r="CM4" s="19" t="s">
        <v>79</v>
      </c>
      <c r="CN4" s="19" t="s">
        <v>80</v>
      </c>
      <c r="CO4" s="19" t="s">
        <v>81</v>
      </c>
      <c r="CP4" s="19" t="s">
        <v>82</v>
      </c>
      <c r="CQ4" s="21" t="s">
        <v>83</v>
      </c>
      <c r="CR4" s="21" t="s">
        <v>83</v>
      </c>
      <c r="CS4" s="21" t="s">
        <v>84</v>
      </c>
      <c r="CT4" s="21" t="s">
        <v>84</v>
      </c>
      <c r="CU4" s="19" t="s">
        <v>85</v>
      </c>
      <c r="CV4" s="19" t="s">
        <v>86</v>
      </c>
      <c r="CW4" s="19" t="s">
        <v>87</v>
      </c>
      <c r="CX4" s="19" t="s">
        <v>87</v>
      </c>
      <c r="CY4" s="19" t="s">
        <v>88</v>
      </c>
      <c r="CZ4" s="19" t="s">
        <v>89</v>
      </c>
      <c r="DA4" s="19" t="s">
        <v>90</v>
      </c>
      <c r="DB4" s="21" t="s">
        <v>91</v>
      </c>
      <c r="DC4" s="21" t="s">
        <v>91</v>
      </c>
      <c r="DD4" s="19" t="s">
        <v>92</v>
      </c>
      <c r="DE4" s="20" t="s">
        <v>93</v>
      </c>
      <c r="DF4" s="19" t="s">
        <v>93</v>
      </c>
      <c r="DG4" s="19" t="s">
        <v>94</v>
      </c>
      <c r="DH4" s="19" t="s">
        <v>95</v>
      </c>
      <c r="DI4" s="19" t="s">
        <v>96</v>
      </c>
      <c r="DJ4" s="20" t="s">
        <v>97</v>
      </c>
      <c r="DK4" s="19" t="s">
        <v>97</v>
      </c>
      <c r="DL4" s="19" t="s">
        <v>98</v>
      </c>
      <c r="DM4" s="22" t="s">
        <v>99</v>
      </c>
      <c r="DN4" s="21" t="s">
        <v>99</v>
      </c>
      <c r="DO4" s="19" t="s">
        <v>100</v>
      </c>
      <c r="DP4" s="20" t="s">
        <v>101</v>
      </c>
      <c r="DQ4" s="22" t="s">
        <v>102</v>
      </c>
      <c r="DR4" s="19" t="s">
        <v>102</v>
      </c>
      <c r="DS4" s="21" t="s">
        <v>102</v>
      </c>
      <c r="DT4" s="19" t="s">
        <v>103</v>
      </c>
      <c r="DU4" s="19" t="s">
        <v>104</v>
      </c>
      <c r="DV4" s="19" t="s">
        <v>105</v>
      </c>
      <c r="DW4" s="19" t="s">
        <v>106</v>
      </c>
      <c r="DX4" s="19" t="s">
        <v>107</v>
      </c>
      <c r="DY4" s="19" t="s">
        <v>108</v>
      </c>
      <c r="DZ4" s="19" t="s">
        <v>109</v>
      </c>
      <c r="EA4" s="19" t="s">
        <v>110</v>
      </c>
      <c r="EB4" s="19" t="s">
        <v>111</v>
      </c>
      <c r="EC4" s="19" t="s">
        <v>112</v>
      </c>
      <c r="ED4" s="19" t="s">
        <v>113</v>
      </c>
      <c r="EE4" s="19" t="s">
        <v>114</v>
      </c>
      <c r="EF4" s="19" t="s">
        <v>115</v>
      </c>
      <c r="EG4" s="19" t="s">
        <v>116</v>
      </c>
      <c r="EH4" s="19" t="s">
        <v>117</v>
      </c>
      <c r="EI4" s="19" t="s">
        <v>118</v>
      </c>
      <c r="EJ4" s="19" t="s">
        <v>119</v>
      </c>
      <c r="EK4" s="19" t="s">
        <v>120</v>
      </c>
      <c r="EL4" s="19" t="s">
        <v>121</v>
      </c>
      <c r="EM4" s="19" t="s">
        <v>122</v>
      </c>
      <c r="EN4" s="19" t="s">
        <v>123</v>
      </c>
      <c r="EO4" s="19" t="s">
        <v>124</v>
      </c>
      <c r="EP4" s="20" t="s">
        <v>125</v>
      </c>
      <c r="EQ4" s="19" t="s">
        <v>126</v>
      </c>
      <c r="ER4" s="19" t="s">
        <v>127</v>
      </c>
      <c r="ES4" s="19" t="s">
        <v>128</v>
      </c>
      <c r="ET4" s="19" t="s">
        <v>129</v>
      </c>
      <c r="EU4" s="21" t="s">
        <v>130</v>
      </c>
      <c r="EV4" s="21" t="s">
        <v>130</v>
      </c>
      <c r="EW4" s="19" t="s">
        <v>131</v>
      </c>
      <c r="EX4" s="20" t="s">
        <v>132</v>
      </c>
      <c r="EY4" s="20" t="s">
        <v>133</v>
      </c>
      <c r="EZ4" s="19" t="s">
        <v>134</v>
      </c>
      <c r="FA4" s="19" t="s">
        <v>135</v>
      </c>
      <c r="FB4" s="19" t="s">
        <v>136</v>
      </c>
      <c r="FC4" s="19" t="s">
        <v>137</v>
      </c>
      <c r="FD4" s="19" t="s">
        <v>138</v>
      </c>
      <c r="FE4" s="19" t="s">
        <v>139</v>
      </c>
      <c r="FF4" s="19" t="s">
        <v>140</v>
      </c>
      <c r="FG4" s="19" t="s">
        <v>141</v>
      </c>
      <c r="FH4" s="19" t="s">
        <v>142</v>
      </c>
      <c r="FI4" s="19" t="s">
        <v>143</v>
      </c>
      <c r="FJ4" s="19" t="s">
        <v>144</v>
      </c>
      <c r="FK4" s="19" t="s">
        <v>145</v>
      </c>
      <c r="FL4" s="19" t="s">
        <v>146</v>
      </c>
      <c r="FM4" s="19" t="s">
        <v>147</v>
      </c>
      <c r="FN4" s="19" t="s">
        <v>148</v>
      </c>
      <c r="FO4" s="19" t="s">
        <v>149</v>
      </c>
      <c r="FP4" s="19" t="s">
        <v>150</v>
      </c>
      <c r="FQ4" s="19" t="s">
        <v>151</v>
      </c>
      <c r="FR4" s="21" t="s">
        <v>152</v>
      </c>
      <c r="FS4" s="21" t="s">
        <v>152</v>
      </c>
      <c r="FT4" s="19" t="s">
        <v>153</v>
      </c>
      <c r="FU4" s="19" t="s">
        <v>154</v>
      </c>
      <c r="FV4" s="23" t="s">
        <v>155</v>
      </c>
      <c r="FW4" s="23" t="s">
        <v>156</v>
      </c>
      <c r="FX4" s="23" t="s">
        <v>157</v>
      </c>
      <c r="FY4" s="23" t="s">
        <v>158</v>
      </c>
      <c r="FZ4" s="23" t="s">
        <v>159</v>
      </c>
      <c r="GA4" s="23" t="s">
        <v>160</v>
      </c>
      <c r="GB4" s="23" t="s">
        <v>161</v>
      </c>
      <c r="GC4" s="24"/>
      <c r="GD4" s="17"/>
      <c r="GF4" s="25"/>
    </row>
    <row r="5" spans="1:191" s="2" customFormat="1" ht="20">
      <c r="A5" s="26"/>
      <c r="D5" s="3"/>
      <c r="E5" s="4" t="s">
        <v>162</v>
      </c>
      <c r="F5" s="27" t="s">
        <v>163</v>
      </c>
      <c r="G5" s="4" t="s">
        <v>164</v>
      </c>
      <c r="H5" s="28" t="s">
        <v>165</v>
      </c>
      <c r="I5" s="28" t="s">
        <v>166</v>
      </c>
      <c r="J5" s="28" t="s">
        <v>167</v>
      </c>
      <c r="K5" s="28" t="s">
        <v>168</v>
      </c>
      <c r="L5" s="28" t="s">
        <v>169</v>
      </c>
      <c r="M5" s="28" t="s">
        <v>170</v>
      </c>
      <c r="N5" s="28" t="s">
        <v>171</v>
      </c>
      <c r="O5" s="28" t="s">
        <v>172</v>
      </c>
      <c r="P5" s="28" t="s">
        <v>173</v>
      </c>
      <c r="Q5" s="28" t="s">
        <v>174</v>
      </c>
      <c r="R5" s="28" t="s">
        <v>175</v>
      </c>
      <c r="S5" s="28" t="s">
        <v>176</v>
      </c>
      <c r="T5" s="28" t="s">
        <v>177</v>
      </c>
      <c r="U5" s="28" t="s">
        <v>178</v>
      </c>
      <c r="V5" s="28" t="s">
        <v>179</v>
      </c>
      <c r="W5" s="28" t="s">
        <v>180</v>
      </c>
      <c r="X5" s="28" t="s">
        <v>181</v>
      </c>
      <c r="Y5" s="28" t="s">
        <v>182</v>
      </c>
      <c r="Z5" s="28" t="s">
        <v>183</v>
      </c>
      <c r="AA5" s="28" t="s">
        <v>184</v>
      </c>
      <c r="AB5" s="28" t="s">
        <v>185</v>
      </c>
      <c r="AC5" s="28" t="s">
        <v>186</v>
      </c>
      <c r="AD5" s="28" t="s">
        <v>187</v>
      </c>
      <c r="AE5" s="28" t="s">
        <v>188</v>
      </c>
      <c r="AF5" s="28" t="s">
        <v>189</v>
      </c>
      <c r="AG5" s="28" t="s">
        <v>190</v>
      </c>
      <c r="AH5" s="28" t="s">
        <v>191</v>
      </c>
      <c r="AI5" s="28" t="s">
        <v>192</v>
      </c>
      <c r="AJ5" s="28" t="s">
        <v>193</v>
      </c>
      <c r="AK5" s="28" t="s">
        <v>194</v>
      </c>
      <c r="AL5" s="28" t="s">
        <v>195</v>
      </c>
      <c r="AM5" s="28" t="s">
        <v>196</v>
      </c>
      <c r="AN5" s="28" t="s">
        <v>197</v>
      </c>
      <c r="AO5" s="28" t="s">
        <v>198</v>
      </c>
      <c r="AP5" s="28" t="s">
        <v>199</v>
      </c>
      <c r="AQ5" s="28" t="s">
        <v>200</v>
      </c>
      <c r="AR5" s="28" t="s">
        <v>201</v>
      </c>
      <c r="AS5" s="28" t="s">
        <v>202</v>
      </c>
      <c r="AT5" s="28" t="s">
        <v>203</v>
      </c>
      <c r="AU5" s="28" t="s">
        <v>204</v>
      </c>
      <c r="AV5" s="28" t="s">
        <v>205</v>
      </c>
      <c r="AW5" s="28" t="s">
        <v>206</v>
      </c>
      <c r="AX5" s="28" t="s">
        <v>207</v>
      </c>
      <c r="AY5" s="28" t="s">
        <v>208</v>
      </c>
      <c r="AZ5" s="28" t="s">
        <v>209</v>
      </c>
      <c r="BA5" s="28" t="s">
        <v>210</v>
      </c>
      <c r="BB5" s="28" t="s">
        <v>211</v>
      </c>
      <c r="BC5" s="28" t="s">
        <v>212</v>
      </c>
      <c r="BD5" s="28" t="s">
        <v>213</v>
      </c>
      <c r="BE5" s="28" t="s">
        <v>214</v>
      </c>
      <c r="BF5" s="28" t="s">
        <v>215</v>
      </c>
      <c r="BG5" s="28" t="s">
        <v>216</v>
      </c>
      <c r="BH5" s="28" t="s">
        <v>217</v>
      </c>
      <c r="BI5" s="28" t="s">
        <v>218</v>
      </c>
      <c r="BJ5" s="28" t="s">
        <v>219</v>
      </c>
      <c r="BK5" s="28" t="s">
        <v>220</v>
      </c>
      <c r="BL5" s="28" t="s">
        <v>221</v>
      </c>
      <c r="BM5" s="28" t="s">
        <v>222</v>
      </c>
      <c r="BN5" s="28" t="s">
        <v>223</v>
      </c>
      <c r="BO5" s="28" t="s">
        <v>224</v>
      </c>
      <c r="BP5" s="28" t="s">
        <v>225</v>
      </c>
      <c r="BQ5" s="28" t="s">
        <v>226</v>
      </c>
      <c r="BR5" s="28" t="s">
        <v>227</v>
      </c>
      <c r="BS5" s="28" t="s">
        <v>228</v>
      </c>
      <c r="BT5" s="28" t="s">
        <v>229</v>
      </c>
      <c r="BU5" s="28" t="s">
        <v>230</v>
      </c>
      <c r="BV5" s="28" t="s">
        <v>231</v>
      </c>
      <c r="BW5" s="28" t="s">
        <v>232</v>
      </c>
      <c r="BX5" s="28" t="s">
        <v>233</v>
      </c>
      <c r="BY5" s="28" t="s">
        <v>234</v>
      </c>
      <c r="BZ5" s="28" t="s">
        <v>235</v>
      </c>
      <c r="CA5" s="28" t="s">
        <v>236</v>
      </c>
      <c r="CB5" s="28" t="s">
        <v>237</v>
      </c>
      <c r="CC5" s="28" t="s">
        <v>238</v>
      </c>
      <c r="CD5" s="28" t="s">
        <v>239</v>
      </c>
      <c r="CE5" s="28" t="s">
        <v>240</v>
      </c>
      <c r="CF5" s="28" t="s">
        <v>241</v>
      </c>
      <c r="CG5" s="28" t="s">
        <v>242</v>
      </c>
      <c r="CH5" s="28" t="s">
        <v>243</v>
      </c>
      <c r="CI5" s="28" t="s">
        <v>244</v>
      </c>
      <c r="CJ5" s="28" t="s">
        <v>245</v>
      </c>
      <c r="CK5" s="28" t="s">
        <v>246</v>
      </c>
      <c r="CL5" s="28" t="s">
        <v>247</v>
      </c>
      <c r="CM5" s="28" t="s">
        <v>248</v>
      </c>
      <c r="CN5" s="28" t="s">
        <v>249</v>
      </c>
      <c r="CO5" s="28" t="s">
        <v>250</v>
      </c>
      <c r="CP5" s="28" t="s">
        <v>251</v>
      </c>
      <c r="CQ5" s="28" t="s">
        <v>252</v>
      </c>
      <c r="CR5" s="28" t="s">
        <v>253</v>
      </c>
      <c r="CS5" s="28" t="s">
        <v>254</v>
      </c>
      <c r="CT5" s="28" t="s">
        <v>255</v>
      </c>
      <c r="CU5" s="28" t="s">
        <v>256</v>
      </c>
      <c r="CV5" s="28" t="s">
        <v>257</v>
      </c>
      <c r="CW5" s="28" t="s">
        <v>258</v>
      </c>
      <c r="CX5" s="28" t="s">
        <v>259</v>
      </c>
      <c r="CY5" s="28" t="s">
        <v>260</v>
      </c>
      <c r="CZ5" s="28" t="s">
        <v>261</v>
      </c>
      <c r="DA5" s="28" t="s">
        <v>262</v>
      </c>
      <c r="DB5" s="28" t="s">
        <v>263</v>
      </c>
      <c r="DC5" s="28" t="s">
        <v>264</v>
      </c>
      <c r="DD5" s="28" t="s">
        <v>265</v>
      </c>
      <c r="DE5" s="28" t="s">
        <v>266</v>
      </c>
      <c r="DF5" s="28" t="s">
        <v>267</v>
      </c>
      <c r="DG5" s="28" t="s">
        <v>268</v>
      </c>
      <c r="DH5" s="28" t="s">
        <v>269</v>
      </c>
      <c r="DI5" s="28" t="s">
        <v>270</v>
      </c>
      <c r="DJ5" s="28" t="s">
        <v>271</v>
      </c>
      <c r="DK5" s="28" t="s">
        <v>272</v>
      </c>
      <c r="DL5" s="28" t="s">
        <v>273</v>
      </c>
      <c r="DM5" s="28" t="s">
        <v>274</v>
      </c>
      <c r="DN5" s="28" t="s">
        <v>275</v>
      </c>
      <c r="DO5" s="28" t="s">
        <v>276</v>
      </c>
      <c r="DP5" s="28" t="s">
        <v>277</v>
      </c>
      <c r="DQ5" s="28" t="s">
        <v>278</v>
      </c>
      <c r="DR5" s="28" t="s">
        <v>279</v>
      </c>
      <c r="DS5" s="28" t="s">
        <v>280</v>
      </c>
      <c r="DT5" s="28" t="s">
        <v>281</v>
      </c>
      <c r="DU5" s="28" t="s">
        <v>282</v>
      </c>
      <c r="DV5" s="28" t="s">
        <v>283</v>
      </c>
      <c r="DW5" s="28" t="s">
        <v>284</v>
      </c>
      <c r="DX5" s="28" t="s">
        <v>285</v>
      </c>
      <c r="DY5" s="28" t="s">
        <v>286</v>
      </c>
      <c r="DZ5" s="28" t="s">
        <v>287</v>
      </c>
      <c r="EA5" s="28" t="s">
        <v>288</v>
      </c>
      <c r="EB5" s="28" t="s">
        <v>289</v>
      </c>
      <c r="EC5" s="28" t="s">
        <v>290</v>
      </c>
      <c r="ED5" s="28" t="s">
        <v>291</v>
      </c>
      <c r="EE5" s="28" t="s">
        <v>292</v>
      </c>
      <c r="EF5" s="28" t="s">
        <v>293</v>
      </c>
      <c r="EG5" s="28" t="s">
        <v>294</v>
      </c>
      <c r="EH5" s="28" t="s">
        <v>295</v>
      </c>
      <c r="EI5" s="28" t="s">
        <v>296</v>
      </c>
      <c r="EJ5" s="28" t="s">
        <v>297</v>
      </c>
      <c r="EK5" s="28" t="s">
        <v>298</v>
      </c>
      <c r="EL5" s="28" t="s">
        <v>299</v>
      </c>
      <c r="EM5" s="28" t="s">
        <v>300</v>
      </c>
      <c r="EN5" s="28" t="s">
        <v>301</v>
      </c>
      <c r="EO5" s="28" t="s">
        <v>302</v>
      </c>
      <c r="EP5" s="28" t="s">
        <v>303</v>
      </c>
      <c r="EQ5" s="28" t="s">
        <v>304</v>
      </c>
      <c r="ER5" s="28" t="s">
        <v>305</v>
      </c>
      <c r="ES5" s="28" t="s">
        <v>306</v>
      </c>
      <c r="ET5" s="28" t="s">
        <v>307</v>
      </c>
      <c r="EU5" s="28" t="s">
        <v>308</v>
      </c>
      <c r="EV5" s="28" t="s">
        <v>309</v>
      </c>
      <c r="EW5" s="28" t="s">
        <v>310</v>
      </c>
      <c r="EX5" s="28" t="s">
        <v>311</v>
      </c>
      <c r="EY5" s="28" t="s">
        <v>312</v>
      </c>
      <c r="EZ5" s="28" t="s">
        <v>313</v>
      </c>
      <c r="FA5" s="28" t="s">
        <v>314</v>
      </c>
      <c r="FB5" s="28" t="s">
        <v>315</v>
      </c>
      <c r="FC5" s="28" t="s">
        <v>316</v>
      </c>
      <c r="FD5" s="28" t="s">
        <v>317</v>
      </c>
      <c r="FE5" s="28" t="s">
        <v>318</v>
      </c>
      <c r="FF5" s="28" t="s">
        <v>319</v>
      </c>
      <c r="FG5" s="28" t="s">
        <v>320</v>
      </c>
      <c r="FH5" s="28" t="s">
        <v>321</v>
      </c>
      <c r="FI5" s="28" t="s">
        <v>322</v>
      </c>
      <c r="FJ5" s="28" t="s">
        <v>323</v>
      </c>
      <c r="FK5" s="28" t="s">
        <v>324</v>
      </c>
      <c r="FL5" s="28" t="s">
        <v>325</v>
      </c>
      <c r="FM5" s="28" t="s">
        <v>326</v>
      </c>
      <c r="FN5" s="28" t="s">
        <v>327</v>
      </c>
      <c r="FO5" s="28" t="s">
        <v>328</v>
      </c>
      <c r="FP5" s="28" t="s">
        <v>329</v>
      </c>
      <c r="FQ5" s="28" t="s">
        <v>330</v>
      </c>
      <c r="FR5" s="28" t="s">
        <v>331</v>
      </c>
      <c r="FS5" s="28" t="s">
        <v>332</v>
      </c>
      <c r="FT5" s="28" t="s">
        <v>333</v>
      </c>
      <c r="FU5" s="28" t="s">
        <v>334</v>
      </c>
      <c r="FV5" s="28" t="s">
        <v>335</v>
      </c>
      <c r="FW5" s="28" t="s">
        <v>336</v>
      </c>
      <c r="FX5" s="28" t="s">
        <v>337</v>
      </c>
      <c r="FY5" s="28" t="s">
        <v>338</v>
      </c>
      <c r="FZ5" s="28" t="s">
        <v>339</v>
      </c>
      <c r="GA5" s="28" t="s">
        <v>340</v>
      </c>
      <c r="GB5" s="28" t="s">
        <v>341</v>
      </c>
      <c r="GC5" s="29"/>
      <c r="GD5" s="8"/>
      <c r="GE5" s="9"/>
    </row>
    <row r="6" spans="1:191" s="10" customFormat="1" ht="11">
      <c r="A6" s="30" t="s">
        <v>342</v>
      </c>
      <c r="B6" s="3" t="s">
        <v>343</v>
      </c>
      <c r="C6" s="3" t="s">
        <v>344</v>
      </c>
      <c r="D6" s="3" t="s">
        <v>345</v>
      </c>
      <c r="E6" s="31" t="s">
        <v>346</v>
      </c>
      <c r="F6" s="31"/>
      <c r="G6" s="32" t="s">
        <v>347</v>
      </c>
      <c r="H6" s="33" t="s">
        <v>348</v>
      </c>
      <c r="I6" s="33" t="s">
        <v>349</v>
      </c>
      <c r="J6" s="33" t="s">
        <v>350</v>
      </c>
      <c r="K6" s="33" t="s">
        <v>351</v>
      </c>
      <c r="L6" s="33" t="s">
        <v>352</v>
      </c>
      <c r="M6" s="33" t="s">
        <v>353</v>
      </c>
      <c r="N6" s="33" t="s">
        <v>354</v>
      </c>
      <c r="O6" s="33" t="s">
        <v>355</v>
      </c>
      <c r="P6" s="33" t="s">
        <v>356</v>
      </c>
      <c r="Q6" s="33" t="s">
        <v>357</v>
      </c>
      <c r="R6" s="33" t="s">
        <v>358</v>
      </c>
      <c r="S6" s="33" t="s">
        <v>359</v>
      </c>
      <c r="T6" s="33" t="s">
        <v>360</v>
      </c>
      <c r="U6" s="33" t="s">
        <v>361</v>
      </c>
      <c r="V6" s="33" t="s">
        <v>362</v>
      </c>
      <c r="W6" s="33" t="s">
        <v>363</v>
      </c>
      <c r="X6" s="33" t="s">
        <v>364</v>
      </c>
      <c r="Y6" s="33" t="s">
        <v>365</v>
      </c>
      <c r="Z6" s="33" t="s">
        <v>366</v>
      </c>
      <c r="AA6" s="33" t="s">
        <v>367</v>
      </c>
      <c r="AB6" s="33" t="s">
        <v>368</v>
      </c>
      <c r="AC6" s="33" t="s">
        <v>369</v>
      </c>
      <c r="AD6" s="33" t="s">
        <v>370</v>
      </c>
      <c r="AE6" s="33" t="s">
        <v>371</v>
      </c>
      <c r="AF6" s="33" t="s">
        <v>372</v>
      </c>
      <c r="AG6" s="33" t="s">
        <v>373</v>
      </c>
      <c r="AH6" s="33" t="s">
        <v>374</v>
      </c>
      <c r="AI6" s="33" t="s">
        <v>375</v>
      </c>
      <c r="AJ6" s="33" t="s">
        <v>376</v>
      </c>
      <c r="AK6" s="33" t="s">
        <v>377</v>
      </c>
      <c r="AL6" s="33" t="s">
        <v>378</v>
      </c>
      <c r="AM6" s="33" t="s">
        <v>379</v>
      </c>
      <c r="AN6" s="33" t="s">
        <v>380</v>
      </c>
      <c r="AO6" s="33" t="s">
        <v>381</v>
      </c>
      <c r="AP6" s="33" t="s">
        <v>382</v>
      </c>
      <c r="AQ6" s="33" t="s">
        <v>383</v>
      </c>
      <c r="AR6" s="33" t="s">
        <v>384</v>
      </c>
      <c r="AS6" s="33" t="s">
        <v>385</v>
      </c>
      <c r="AT6" s="33" t="s">
        <v>386</v>
      </c>
      <c r="AU6" s="33" t="s">
        <v>387</v>
      </c>
      <c r="AV6" s="33" t="s">
        <v>388</v>
      </c>
      <c r="AW6" s="33" t="s">
        <v>389</v>
      </c>
      <c r="AX6" s="33" t="s">
        <v>390</v>
      </c>
      <c r="AY6" s="33" t="s">
        <v>390</v>
      </c>
      <c r="AZ6" s="33" t="s">
        <v>391</v>
      </c>
      <c r="BA6" s="33" t="s">
        <v>392</v>
      </c>
      <c r="BB6" s="33" t="s">
        <v>393</v>
      </c>
      <c r="BC6" s="33" t="s">
        <v>394</v>
      </c>
      <c r="BD6" s="33" t="s">
        <v>395</v>
      </c>
      <c r="BE6" s="33" t="s">
        <v>396</v>
      </c>
      <c r="BF6" s="33" t="s">
        <v>397</v>
      </c>
      <c r="BG6" s="33" t="s">
        <v>398</v>
      </c>
      <c r="BH6" s="33" t="s">
        <v>399</v>
      </c>
      <c r="BI6" s="33" t="s">
        <v>400</v>
      </c>
      <c r="BJ6" s="33" t="s">
        <v>401</v>
      </c>
      <c r="BK6" s="33" t="s">
        <v>402</v>
      </c>
      <c r="BL6" s="33" t="s">
        <v>403</v>
      </c>
      <c r="BM6" s="33" t="s">
        <v>404</v>
      </c>
      <c r="BN6" s="33" t="s">
        <v>405</v>
      </c>
      <c r="BO6" s="33" t="s">
        <v>406</v>
      </c>
      <c r="BP6" s="33" t="s">
        <v>407</v>
      </c>
      <c r="BQ6" s="33" t="s">
        <v>408</v>
      </c>
      <c r="BR6" s="33" t="s">
        <v>408</v>
      </c>
      <c r="BS6" s="33" t="s">
        <v>409</v>
      </c>
      <c r="BT6" s="33" t="s">
        <v>410</v>
      </c>
      <c r="BU6" s="33" t="s">
        <v>411</v>
      </c>
      <c r="BV6" s="33" t="s">
        <v>412</v>
      </c>
      <c r="BW6" s="33" t="s">
        <v>413</v>
      </c>
      <c r="BX6" s="33" t="s">
        <v>414</v>
      </c>
      <c r="BY6" s="33" t="s">
        <v>415</v>
      </c>
      <c r="BZ6" s="33" t="s">
        <v>415</v>
      </c>
      <c r="CA6" s="33" t="s">
        <v>416</v>
      </c>
      <c r="CB6" s="33" t="s">
        <v>416</v>
      </c>
      <c r="CC6" s="33" t="s">
        <v>416</v>
      </c>
      <c r="CD6" s="33" t="s">
        <v>417</v>
      </c>
      <c r="CE6" s="33" t="s">
        <v>418</v>
      </c>
      <c r="CF6" s="33" t="s">
        <v>419</v>
      </c>
      <c r="CG6" s="33" t="s">
        <v>420</v>
      </c>
      <c r="CH6" s="33" t="s">
        <v>421</v>
      </c>
      <c r="CI6" s="33" t="s">
        <v>421</v>
      </c>
      <c r="CJ6" s="33" t="s">
        <v>422</v>
      </c>
      <c r="CK6" s="33" t="s">
        <v>422</v>
      </c>
      <c r="CL6" s="33" t="s">
        <v>423</v>
      </c>
      <c r="CM6" s="33" t="s">
        <v>424</v>
      </c>
      <c r="CN6" s="33" t="s">
        <v>425</v>
      </c>
      <c r="CO6" s="33" t="s">
        <v>426</v>
      </c>
      <c r="CP6" s="33" t="s">
        <v>427</v>
      </c>
      <c r="CQ6" s="33" t="s">
        <v>428</v>
      </c>
      <c r="CR6" s="33" t="s">
        <v>428</v>
      </c>
      <c r="CS6" s="33" t="s">
        <v>429</v>
      </c>
      <c r="CT6" s="33" t="s">
        <v>429</v>
      </c>
      <c r="CU6" s="33" t="s">
        <v>430</v>
      </c>
      <c r="CV6" s="33" t="s">
        <v>431</v>
      </c>
      <c r="CW6" s="33" t="s">
        <v>432</v>
      </c>
      <c r="CX6" s="33" t="s">
        <v>433</v>
      </c>
      <c r="CY6" s="33" t="s">
        <v>434</v>
      </c>
      <c r="CZ6" s="33" t="s">
        <v>435</v>
      </c>
      <c r="DA6" s="33" t="s">
        <v>436</v>
      </c>
      <c r="DB6" s="33" t="s">
        <v>437</v>
      </c>
      <c r="DC6" s="33" t="s">
        <v>437</v>
      </c>
      <c r="DD6" s="33" t="s">
        <v>438</v>
      </c>
      <c r="DE6" s="33" t="s">
        <v>439</v>
      </c>
      <c r="DF6" s="33" t="s">
        <v>440</v>
      </c>
      <c r="DG6" s="33" t="s">
        <v>441</v>
      </c>
      <c r="DH6" s="33" t="s">
        <v>442</v>
      </c>
      <c r="DI6" s="33" t="s">
        <v>443</v>
      </c>
      <c r="DJ6" s="33" t="s">
        <v>444</v>
      </c>
      <c r="DK6" s="33" t="s">
        <v>445</v>
      </c>
      <c r="DL6" s="33" t="s">
        <v>446</v>
      </c>
      <c r="DM6" s="33" t="s">
        <v>447</v>
      </c>
      <c r="DN6" s="33" t="s">
        <v>447</v>
      </c>
      <c r="DO6" s="33" t="s">
        <v>448</v>
      </c>
      <c r="DP6" s="33" t="s">
        <v>449</v>
      </c>
      <c r="DQ6" s="33" t="s">
        <v>450</v>
      </c>
      <c r="DR6" s="33" t="s">
        <v>451</v>
      </c>
      <c r="DS6" s="33" t="s">
        <v>450</v>
      </c>
      <c r="DT6" s="33" t="s">
        <v>452</v>
      </c>
      <c r="DU6" s="33" t="s">
        <v>453</v>
      </c>
      <c r="DV6" s="33" t="s">
        <v>454</v>
      </c>
      <c r="DW6" s="33" t="s">
        <v>455</v>
      </c>
      <c r="DX6" s="33" t="s">
        <v>456</v>
      </c>
      <c r="DY6" s="33" t="s">
        <v>457</v>
      </c>
      <c r="DZ6" s="33" t="s">
        <v>458</v>
      </c>
      <c r="EA6" s="33" t="s">
        <v>459</v>
      </c>
      <c r="EB6" s="33" t="s">
        <v>460</v>
      </c>
      <c r="EC6" s="33" t="s">
        <v>461</v>
      </c>
      <c r="ED6" s="33" t="s">
        <v>462</v>
      </c>
      <c r="EE6" s="33" t="s">
        <v>463</v>
      </c>
      <c r="EF6" s="33" t="s">
        <v>464</v>
      </c>
      <c r="EG6" s="33" t="s">
        <v>465</v>
      </c>
      <c r="EH6" s="33" t="s">
        <v>466</v>
      </c>
      <c r="EI6" s="33" t="s">
        <v>467</v>
      </c>
      <c r="EJ6" s="33" t="s">
        <v>468</v>
      </c>
      <c r="EK6" s="33" t="s">
        <v>469</v>
      </c>
      <c r="EL6" s="33" t="s">
        <v>470</v>
      </c>
      <c r="EM6" s="33" t="s">
        <v>471</v>
      </c>
      <c r="EN6" s="33" t="s">
        <v>472</v>
      </c>
      <c r="EO6" s="33" t="s">
        <v>473</v>
      </c>
      <c r="EP6" s="33" t="s">
        <v>474</v>
      </c>
      <c r="EQ6" s="33" t="s">
        <v>475</v>
      </c>
      <c r="ER6" s="33" t="s">
        <v>476</v>
      </c>
      <c r="ES6" s="33" t="s">
        <v>477</v>
      </c>
      <c r="ET6" s="33" t="s">
        <v>478</v>
      </c>
      <c r="EU6" s="33" t="s">
        <v>479</v>
      </c>
      <c r="EV6" s="33" t="s">
        <v>479</v>
      </c>
      <c r="EW6" s="33" t="s">
        <v>480</v>
      </c>
      <c r="EX6" s="33" t="s">
        <v>481</v>
      </c>
      <c r="EY6" s="33" t="s">
        <v>482</v>
      </c>
      <c r="EZ6" s="33" t="s">
        <v>483</v>
      </c>
      <c r="FA6" s="33" t="s">
        <v>484</v>
      </c>
      <c r="FB6" s="33" t="s">
        <v>485</v>
      </c>
      <c r="FC6" s="33" t="s">
        <v>486</v>
      </c>
      <c r="FD6" s="33" t="s">
        <v>487</v>
      </c>
      <c r="FE6" s="33" t="s">
        <v>488</v>
      </c>
      <c r="FF6" s="33" t="s">
        <v>489</v>
      </c>
      <c r="FG6" s="33" t="s">
        <v>490</v>
      </c>
      <c r="FH6" s="33" t="s">
        <v>491</v>
      </c>
      <c r="FI6" s="33" t="s">
        <v>492</v>
      </c>
      <c r="FJ6" s="33" t="s">
        <v>493</v>
      </c>
      <c r="FK6" s="33" t="s">
        <v>494</v>
      </c>
      <c r="FL6" s="33" t="s">
        <v>495</v>
      </c>
      <c r="FM6" s="33" t="s">
        <v>496</v>
      </c>
      <c r="FN6" s="33" t="s">
        <v>497</v>
      </c>
      <c r="FO6" s="33" t="s">
        <v>498</v>
      </c>
      <c r="FP6" s="33" t="s">
        <v>499</v>
      </c>
      <c r="FQ6" s="33" t="s">
        <v>500</v>
      </c>
      <c r="FR6" s="33" t="s">
        <v>501</v>
      </c>
      <c r="FS6" s="33" t="s">
        <v>501</v>
      </c>
      <c r="FT6" s="33" t="s">
        <v>502</v>
      </c>
      <c r="FU6" s="33" t="s">
        <v>503</v>
      </c>
      <c r="FV6" s="33" t="s">
        <v>504</v>
      </c>
      <c r="FW6" s="33" t="s">
        <v>505</v>
      </c>
      <c r="FX6" s="33" t="s">
        <v>506</v>
      </c>
      <c r="FY6" s="33" t="s">
        <v>507</v>
      </c>
      <c r="FZ6" s="33" t="s">
        <v>508</v>
      </c>
      <c r="GA6" s="33" t="s">
        <v>509</v>
      </c>
      <c r="GB6" s="33" t="s">
        <v>510</v>
      </c>
      <c r="GC6" s="34" t="s">
        <v>511</v>
      </c>
      <c r="GD6" s="34" t="s">
        <v>512</v>
      </c>
      <c r="GE6" s="34" t="s">
        <v>513</v>
      </c>
      <c r="GF6" s="34" t="s">
        <v>514</v>
      </c>
      <c r="GG6" s="34" t="s">
        <v>515</v>
      </c>
      <c r="GH6" s="11"/>
      <c r="GI6" s="10" t="s">
        <v>516</v>
      </c>
    </row>
    <row r="7" spans="1:191" s="40" customFormat="1">
      <c r="A7" s="35" t="s">
        <v>517</v>
      </c>
      <c r="B7" s="35" t="s">
        <v>517</v>
      </c>
      <c r="C7" s="35" t="s">
        <v>518</v>
      </c>
      <c r="D7" s="35" t="s">
        <v>8</v>
      </c>
      <c r="E7" s="36" t="s">
        <v>519</v>
      </c>
      <c r="F7" s="35" t="s">
        <v>520</v>
      </c>
      <c r="G7" s="35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8">
        <f>5000-5000+4040-500-500+90-1250</f>
        <v>1880</v>
      </c>
      <c r="DN7" s="37"/>
      <c r="DO7" s="37"/>
      <c r="DP7" s="38">
        <f>5000-5000+1930-670</f>
        <v>1260</v>
      </c>
      <c r="DQ7" s="37"/>
      <c r="DR7" s="37"/>
      <c r="DS7" s="37"/>
      <c r="DT7" s="37"/>
      <c r="DU7" s="38">
        <f>1000-1000+7-7</f>
        <v>0</v>
      </c>
      <c r="DV7" s="37"/>
      <c r="DW7" s="37"/>
      <c r="DX7" s="38">
        <f>1000-1000</f>
        <v>0</v>
      </c>
      <c r="DY7" s="38">
        <f>7-7</f>
        <v>0</v>
      </c>
      <c r="DZ7" s="37"/>
      <c r="EA7" s="38">
        <f>28-28</f>
        <v>0</v>
      </c>
      <c r="EB7" s="37"/>
      <c r="EC7" s="37"/>
      <c r="ED7" s="37"/>
      <c r="EE7" s="37"/>
      <c r="EF7" s="37"/>
      <c r="EG7" s="38">
        <f>13-13</f>
        <v>0</v>
      </c>
      <c r="EH7" s="37"/>
      <c r="EI7" s="37"/>
      <c r="EJ7" s="38">
        <f>500-500+10-10</f>
        <v>0</v>
      </c>
      <c r="EK7" s="38">
        <f>5000-5000+20-20</f>
        <v>0</v>
      </c>
      <c r="EL7" s="39">
        <f>2000-2000</f>
        <v>0</v>
      </c>
      <c r="EM7" s="38">
        <f>80-80</f>
        <v>0</v>
      </c>
      <c r="EN7" s="37"/>
      <c r="EP7" s="38">
        <f>5000-5000+5490-1000-2800</f>
        <v>1690</v>
      </c>
      <c r="EQ7" s="37"/>
      <c r="ER7" s="37"/>
      <c r="ES7" s="38">
        <f>500-500+10-10</f>
        <v>0</v>
      </c>
      <c r="ET7" s="37"/>
      <c r="EU7" s="37"/>
      <c r="EV7" s="38">
        <f>20-20</f>
        <v>0</v>
      </c>
      <c r="EW7" s="37"/>
      <c r="EX7" s="41">
        <f>3000-3000+340-340</f>
        <v>0</v>
      </c>
      <c r="EY7" s="37"/>
      <c r="EZ7" s="37"/>
      <c r="FA7" s="37"/>
      <c r="FB7" s="37"/>
      <c r="FC7" s="38">
        <f>5-5</f>
        <v>0</v>
      </c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42"/>
      <c r="GD7" s="43" t="s">
        <v>521</v>
      </c>
      <c r="GE7" s="44" t="s">
        <v>522</v>
      </c>
      <c r="GF7" s="44"/>
      <c r="GG7" s="44" t="s">
        <v>523</v>
      </c>
      <c r="GH7" s="45">
        <f t="shared" ref="GH7:GH38" si="0">SUM(H7:GB7)</f>
        <v>4830</v>
      </c>
      <c r="GI7" s="40" t="s">
        <v>524</v>
      </c>
    </row>
    <row r="8" spans="1:191" s="40" customFormat="1">
      <c r="A8" s="35" t="s">
        <v>517</v>
      </c>
      <c r="B8" s="35" t="s">
        <v>517</v>
      </c>
      <c r="C8" s="35" t="s">
        <v>518</v>
      </c>
      <c r="D8" s="35" t="s">
        <v>4</v>
      </c>
      <c r="E8" s="36" t="s">
        <v>519</v>
      </c>
      <c r="F8" s="35" t="s">
        <v>520</v>
      </c>
      <c r="G8" s="35"/>
      <c r="H8" s="37"/>
      <c r="I8" s="37"/>
      <c r="J8" s="39">
        <f>200-200</f>
        <v>0</v>
      </c>
      <c r="K8" s="39">
        <f>500-500</f>
        <v>0</v>
      </c>
      <c r="L8" s="37"/>
      <c r="M8" s="39">
        <f>300-300</f>
        <v>0</v>
      </c>
      <c r="N8" s="41">
        <f>500-500+3</f>
        <v>3</v>
      </c>
      <c r="O8" s="39">
        <f>1000-1000+420</f>
        <v>420</v>
      </c>
      <c r="P8" s="37"/>
      <c r="Q8" s="37"/>
      <c r="R8" s="39">
        <f>1000-1000</f>
        <v>0</v>
      </c>
      <c r="S8" s="39">
        <f>1000-1000+390</f>
        <v>390</v>
      </c>
      <c r="T8" s="39">
        <v>12</v>
      </c>
      <c r="U8" s="37"/>
      <c r="V8" s="39">
        <f>1000-1000+215</f>
        <v>215</v>
      </c>
      <c r="W8" s="39">
        <f>2000-2000+450</f>
        <v>450</v>
      </c>
      <c r="X8" s="39">
        <f>2000-2000+7</f>
        <v>7</v>
      </c>
      <c r="Y8" s="39">
        <f>2000-2000+390</f>
        <v>390</v>
      </c>
      <c r="Z8" s="39">
        <f>2000-2000</f>
        <v>0</v>
      </c>
      <c r="AA8" s="39">
        <f>1000-1000+390</f>
        <v>390</v>
      </c>
      <c r="AB8" s="39">
        <f>1000-1000</f>
        <v>0</v>
      </c>
      <c r="AC8" s="38">
        <f>500-500+4-4</f>
        <v>0</v>
      </c>
      <c r="AD8" s="39">
        <f>1000-1000</f>
        <v>0</v>
      </c>
      <c r="AE8" s="39">
        <f>500-500</f>
        <v>0</v>
      </c>
      <c r="AF8" s="39">
        <f>1000-1000</f>
        <v>0</v>
      </c>
      <c r="AG8" s="37"/>
      <c r="AH8" s="37"/>
      <c r="AI8" s="38">
        <f>20-20</f>
        <v>0</v>
      </c>
      <c r="AJ8" s="37"/>
      <c r="AK8" s="37"/>
      <c r="AL8" s="37"/>
      <c r="AM8" s="37"/>
      <c r="AN8" s="37"/>
      <c r="AO8" s="37"/>
      <c r="AP8" s="37"/>
      <c r="AQ8" s="37"/>
      <c r="AR8" s="39">
        <f>50-50</f>
        <v>0</v>
      </c>
      <c r="AS8" s="37"/>
      <c r="AT8" s="37"/>
      <c r="AV8" s="39">
        <f>200-200</f>
        <v>0</v>
      </c>
      <c r="AW8" s="39">
        <f>400-400+470</f>
        <v>470</v>
      </c>
      <c r="AX8" s="39">
        <f>500-500+3</f>
        <v>3</v>
      </c>
      <c r="AY8" s="37"/>
      <c r="AZ8" s="39">
        <f>680-40</f>
        <v>640</v>
      </c>
      <c r="BA8" s="39">
        <f>800-800+660</f>
        <v>660</v>
      </c>
      <c r="BB8" s="39">
        <f>800-800+160</f>
        <v>160</v>
      </c>
      <c r="BC8" s="39">
        <f>500-500+20</f>
        <v>20</v>
      </c>
      <c r="BD8" s="39">
        <f>1000-1000+490</f>
        <v>490</v>
      </c>
      <c r="BE8" s="37"/>
      <c r="BG8" s="37"/>
      <c r="BH8" s="37"/>
      <c r="BI8" s="39">
        <f>200-200</f>
        <v>0</v>
      </c>
      <c r="BJ8" s="39">
        <f>200-200</f>
        <v>0</v>
      </c>
      <c r="BK8" s="39">
        <f>500-500+200</f>
        <v>200</v>
      </c>
      <c r="BL8" s="39">
        <f>500-500+235</f>
        <v>235</v>
      </c>
      <c r="BM8" s="39">
        <f>800-800+1380</f>
        <v>1380</v>
      </c>
      <c r="BN8" s="39">
        <f>300-300+465</f>
        <v>465</v>
      </c>
      <c r="BO8" s="39">
        <f>300-300</f>
        <v>0</v>
      </c>
      <c r="BQ8" s="46">
        <v>2</v>
      </c>
      <c r="BR8" s="37"/>
      <c r="BS8" s="37"/>
      <c r="BT8" s="37"/>
      <c r="BU8" s="37"/>
      <c r="BV8" s="37"/>
      <c r="BW8" s="39">
        <f>500-500+14</f>
        <v>14</v>
      </c>
      <c r="BX8" s="39">
        <f>500-500+2</f>
        <v>2</v>
      </c>
      <c r="BY8" s="39">
        <f>1000-1000+420</f>
        <v>420</v>
      </c>
      <c r="BZ8" s="39">
        <v>25</v>
      </c>
      <c r="CA8" s="39">
        <f>1200-1200</f>
        <v>0</v>
      </c>
      <c r="CB8" s="37"/>
      <c r="CC8" s="37"/>
      <c r="CD8" s="39">
        <f>600-600+300</f>
        <v>300</v>
      </c>
      <c r="CE8" s="39">
        <f>3000-3000+1240</f>
        <v>1240</v>
      </c>
      <c r="CG8" s="39">
        <f>2000-2000+1</f>
        <v>1</v>
      </c>
      <c r="CH8" s="39">
        <f>1000-1000+25</f>
        <v>25</v>
      </c>
      <c r="CI8" s="39">
        <v>40</v>
      </c>
      <c r="CJ8" s="39">
        <f>1500-1500+720</f>
        <v>720</v>
      </c>
      <c r="CK8" s="39">
        <v>5</v>
      </c>
      <c r="CL8" s="39">
        <f>1000-1000+240</f>
        <v>240</v>
      </c>
      <c r="CM8" s="39">
        <f>3000-3000+340</f>
        <v>340</v>
      </c>
      <c r="CN8" s="39">
        <f>1000-1000+170</f>
        <v>170</v>
      </c>
      <c r="CO8" s="39">
        <f>1000-1000</f>
        <v>0</v>
      </c>
      <c r="CP8" s="39">
        <f>3000-3000+150</f>
        <v>150</v>
      </c>
      <c r="CQ8" s="39">
        <f>2000-2000+770</f>
        <v>770</v>
      </c>
      <c r="CR8" s="37"/>
      <c r="CS8" s="39">
        <f>5000-5000+3560</f>
        <v>3560</v>
      </c>
      <c r="CT8" s="37"/>
      <c r="CU8" s="39">
        <f>1500-1500</f>
        <v>0</v>
      </c>
      <c r="CV8" s="39">
        <f>4000-4000+390</f>
        <v>390</v>
      </c>
      <c r="CW8" s="39">
        <f>1000-1000</f>
        <v>0</v>
      </c>
      <c r="CX8" s="37"/>
      <c r="CY8" s="38">
        <f>3000-3000+3-3</f>
        <v>0</v>
      </c>
      <c r="CZ8" s="39">
        <f>1000-1000+1775</f>
        <v>1775</v>
      </c>
      <c r="DA8" s="39">
        <f>5000-5000+1150</f>
        <v>1150</v>
      </c>
      <c r="DB8" s="39">
        <f>3000-3000+4510</f>
        <v>4510</v>
      </c>
      <c r="DC8" s="37"/>
      <c r="DD8" s="39">
        <f>2000-2000</f>
        <v>0</v>
      </c>
      <c r="DE8" s="41">
        <f>5000-5000+3110-1600-360</f>
        <v>1150</v>
      </c>
      <c r="DF8" s="37"/>
      <c r="DG8" s="38">
        <f>500-500+1-1</f>
        <v>0</v>
      </c>
      <c r="DH8" s="38">
        <f>500-500+1-1</f>
        <v>0</v>
      </c>
      <c r="DI8" s="38">
        <f>1-1</f>
        <v>0</v>
      </c>
      <c r="DJ8" s="41">
        <f>2000-2000+410+1000</f>
        <v>1410</v>
      </c>
      <c r="DK8" s="37"/>
      <c r="DL8" s="38">
        <f>2000-2000+1550-560</f>
        <v>990</v>
      </c>
      <c r="DM8" s="47">
        <v>410</v>
      </c>
      <c r="DN8" s="37"/>
      <c r="DQ8" s="38">
        <f>1000-1000+440+500-110</f>
        <v>830</v>
      </c>
      <c r="DR8" s="37"/>
      <c r="DS8" s="38">
        <f>20-20</f>
        <v>0</v>
      </c>
      <c r="DT8" s="37"/>
      <c r="DU8" s="37"/>
      <c r="DV8" s="37"/>
      <c r="DW8" s="39">
        <f>1000-1000</f>
        <v>0</v>
      </c>
      <c r="DX8" s="37"/>
      <c r="DY8" s="37"/>
      <c r="DZ8" s="38">
        <f>10-10</f>
        <v>0</v>
      </c>
      <c r="EA8" s="37"/>
      <c r="EB8" s="37"/>
      <c r="EC8" s="39">
        <f>5000-5000</f>
        <v>0</v>
      </c>
      <c r="ED8" s="37"/>
      <c r="EE8" s="37"/>
      <c r="EF8" s="39">
        <f>2000-2000</f>
        <v>0</v>
      </c>
      <c r="EG8" s="37"/>
      <c r="EH8" s="38">
        <f>3000-3000+160-160</f>
        <v>0</v>
      </c>
      <c r="EI8" s="37"/>
      <c r="EK8" s="37"/>
      <c r="EL8" s="37"/>
      <c r="EM8" s="37"/>
      <c r="EN8" s="39">
        <f>1000-1000</f>
        <v>0</v>
      </c>
      <c r="EO8" s="38">
        <f>3000-3000+890-460</f>
        <v>430</v>
      </c>
      <c r="EQ8" s="39">
        <f>3000-3000</f>
        <v>0</v>
      </c>
      <c r="ER8" s="38">
        <f>1-1</f>
        <v>0</v>
      </c>
      <c r="ET8" s="38">
        <f>1000-1000+9-9</f>
        <v>0</v>
      </c>
      <c r="EU8" s="37"/>
      <c r="EV8" s="38">
        <f>2-2</f>
        <v>0</v>
      </c>
      <c r="EW8" s="37"/>
      <c r="EY8" s="38">
        <f>200-200+340-170</f>
        <v>170</v>
      </c>
      <c r="EZ8" s="39">
        <f>500-500</f>
        <v>0</v>
      </c>
      <c r="FA8" s="37"/>
      <c r="FB8" s="37"/>
      <c r="FC8" s="38">
        <f>10-10</f>
        <v>0</v>
      </c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9">
        <f>100-100</f>
        <v>0</v>
      </c>
      <c r="FV8" s="37"/>
      <c r="FW8" s="37"/>
      <c r="FX8" s="37"/>
      <c r="FY8" s="37"/>
      <c r="FZ8" s="37"/>
      <c r="GA8" s="37"/>
      <c r="GB8" s="37"/>
      <c r="GC8" s="42"/>
      <c r="GD8" s="43" t="s">
        <v>521</v>
      </c>
      <c r="GE8" s="44" t="s">
        <v>522</v>
      </c>
      <c r="GF8" s="44"/>
      <c r="GG8" s="44" t="s">
        <v>523</v>
      </c>
      <c r="GH8" s="45">
        <f t="shared" si="0"/>
        <v>28239</v>
      </c>
      <c r="GI8" s="40" t="s">
        <v>524</v>
      </c>
    </row>
    <row r="9" spans="1:191" s="40" customFormat="1">
      <c r="A9" s="35" t="s">
        <v>517</v>
      </c>
      <c r="B9" s="35" t="s">
        <v>517</v>
      </c>
      <c r="C9" s="35" t="s">
        <v>518</v>
      </c>
      <c r="D9" s="35" t="s">
        <v>3</v>
      </c>
      <c r="E9" s="36" t="s">
        <v>519</v>
      </c>
      <c r="F9" s="35" t="s">
        <v>520</v>
      </c>
      <c r="G9" s="35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9">
        <f>200-200+4</f>
        <v>4</v>
      </c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9">
        <f>100-100+7</f>
        <v>7</v>
      </c>
      <c r="BG9" s="37"/>
      <c r="BH9" s="37"/>
      <c r="BI9" s="37"/>
      <c r="BJ9" s="37"/>
      <c r="BK9" s="37"/>
      <c r="BL9" s="37"/>
      <c r="BM9" s="37"/>
      <c r="BN9" s="37"/>
      <c r="BO9" s="37"/>
      <c r="BP9" s="39">
        <f>1000-1000+200</f>
        <v>200</v>
      </c>
      <c r="BQ9" s="39">
        <f>100-100+5</f>
        <v>5</v>
      </c>
      <c r="BR9" s="39">
        <v>1</v>
      </c>
      <c r="BS9" s="37"/>
      <c r="BT9" s="37"/>
      <c r="BU9" s="37"/>
      <c r="BV9" s="37"/>
      <c r="BW9" s="37"/>
      <c r="BX9" s="37"/>
      <c r="BY9" s="37"/>
      <c r="BZ9" s="37"/>
      <c r="CA9" s="37"/>
      <c r="CB9" s="39">
        <v>65</v>
      </c>
      <c r="CC9" s="37"/>
      <c r="CD9" s="37"/>
      <c r="CE9" s="37"/>
      <c r="CF9" s="39">
        <f>1500-1500+200</f>
        <v>200</v>
      </c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B9" s="37"/>
      <c r="DC9" s="37"/>
      <c r="DD9" s="37"/>
      <c r="DE9" s="47">
        <v>360</v>
      </c>
      <c r="DF9" s="37"/>
      <c r="DG9" s="37"/>
      <c r="DH9" s="37"/>
      <c r="DI9" s="37"/>
      <c r="DJ9" s="37"/>
      <c r="DK9" s="37"/>
      <c r="DL9" s="37"/>
      <c r="DM9" s="37"/>
      <c r="DN9" s="38">
        <f>2-2</f>
        <v>0</v>
      </c>
      <c r="DO9" s="38">
        <f>3000-3000+1-1</f>
        <v>0</v>
      </c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42"/>
      <c r="GD9" s="43" t="s">
        <v>521</v>
      </c>
      <c r="GE9" s="44" t="s">
        <v>522</v>
      </c>
      <c r="GF9" s="44"/>
      <c r="GG9" s="44" t="s">
        <v>523</v>
      </c>
      <c r="GH9" s="45">
        <f t="shared" si="0"/>
        <v>842</v>
      </c>
      <c r="GI9" s="40" t="s">
        <v>524</v>
      </c>
    </row>
    <row r="10" spans="1:191" s="40" customFormat="1">
      <c r="A10" s="35" t="s">
        <v>517</v>
      </c>
      <c r="B10" s="35" t="s">
        <v>525</v>
      </c>
      <c r="C10" s="35" t="s">
        <v>518</v>
      </c>
      <c r="D10" s="35" t="s">
        <v>8</v>
      </c>
      <c r="E10" s="48" t="s">
        <v>519</v>
      </c>
      <c r="F10" s="35" t="s">
        <v>520</v>
      </c>
      <c r="G10" s="35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8">
        <f>6000-6000+320-100</f>
        <v>220</v>
      </c>
      <c r="FF10" s="37"/>
      <c r="FG10" s="37"/>
      <c r="FH10" s="39">
        <f>2000-2000</f>
        <v>0</v>
      </c>
      <c r="FI10" s="39">
        <f>2000-2000</f>
        <v>0</v>
      </c>
      <c r="FJ10" s="37"/>
      <c r="FK10" s="37"/>
      <c r="FL10" s="38">
        <f>500-500+20-20</f>
        <v>0</v>
      </c>
      <c r="FM10" s="38">
        <f>500-500+19-19</f>
        <v>0</v>
      </c>
      <c r="FN10" s="37"/>
      <c r="FO10" s="37"/>
      <c r="FP10" s="39">
        <f>3000-3000</f>
        <v>0</v>
      </c>
      <c r="FQ10" s="38">
        <f>3000-3000+3-3</f>
        <v>0</v>
      </c>
      <c r="FR10" s="39">
        <f>5000-5000</f>
        <v>0</v>
      </c>
      <c r="FS10" s="37"/>
      <c r="FT10" s="49">
        <f>4000-4000+15-15+15</f>
        <v>15</v>
      </c>
      <c r="FU10" s="37"/>
      <c r="FV10" s="37"/>
      <c r="FW10" s="37"/>
      <c r="FX10" s="37"/>
      <c r="FY10" s="37"/>
      <c r="FZ10" s="37"/>
      <c r="GA10" s="37"/>
      <c r="GB10" s="37"/>
      <c r="GC10" s="42"/>
      <c r="GD10" s="43" t="s">
        <v>521</v>
      </c>
      <c r="GE10" s="44" t="s">
        <v>522</v>
      </c>
      <c r="GF10" s="44"/>
      <c r="GG10" s="44" t="s">
        <v>523</v>
      </c>
      <c r="GH10" s="45">
        <f t="shared" si="0"/>
        <v>235</v>
      </c>
      <c r="GI10" s="40" t="s">
        <v>524</v>
      </c>
    </row>
    <row r="11" spans="1:191" s="40" customFormat="1">
      <c r="A11" s="35" t="s">
        <v>517</v>
      </c>
      <c r="B11" s="35" t="s">
        <v>525</v>
      </c>
      <c r="C11" s="35" t="s">
        <v>518</v>
      </c>
      <c r="D11" s="35" t="s">
        <v>4</v>
      </c>
      <c r="E11" s="48" t="s">
        <v>519</v>
      </c>
      <c r="F11" s="35" t="s">
        <v>520</v>
      </c>
      <c r="G11" s="35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9">
        <f>1000-1000</f>
        <v>0</v>
      </c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8">
        <f>8000-8000+970-680</f>
        <v>290</v>
      </c>
      <c r="FF11" s="38">
        <f>6000-6000+320-200</f>
        <v>120</v>
      </c>
      <c r="FG11" s="37"/>
      <c r="FH11" s="37"/>
      <c r="FI11" s="37"/>
      <c r="FJ11" s="37"/>
      <c r="FK11" s="37"/>
      <c r="FL11" s="37"/>
      <c r="FM11" s="37"/>
      <c r="FN11" s="37"/>
      <c r="FO11" s="39">
        <f>3000-3000</f>
        <v>0</v>
      </c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42"/>
      <c r="GD11" s="43" t="s">
        <v>521</v>
      </c>
      <c r="GE11" s="44" t="s">
        <v>522</v>
      </c>
      <c r="GF11" s="44"/>
      <c r="GG11" s="44" t="s">
        <v>523</v>
      </c>
      <c r="GH11" s="45">
        <f t="shared" si="0"/>
        <v>410</v>
      </c>
      <c r="GI11" s="40" t="s">
        <v>524</v>
      </c>
    </row>
    <row r="12" spans="1:191" s="40" customFormat="1">
      <c r="A12" s="35" t="s">
        <v>517</v>
      </c>
      <c r="B12" s="35" t="s">
        <v>525</v>
      </c>
      <c r="C12" s="35" t="s">
        <v>518</v>
      </c>
      <c r="D12" s="35" t="s">
        <v>3</v>
      </c>
      <c r="E12" s="48" t="s">
        <v>519</v>
      </c>
      <c r="F12" s="35" t="s">
        <v>520</v>
      </c>
      <c r="G12" s="35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9">
        <f>2000-2000</f>
        <v>0</v>
      </c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42"/>
      <c r="GD12" s="43" t="s">
        <v>521</v>
      </c>
      <c r="GE12" s="44" t="s">
        <v>522</v>
      </c>
      <c r="GF12" s="44"/>
      <c r="GG12" s="44" t="s">
        <v>523</v>
      </c>
      <c r="GH12" s="45">
        <f t="shared" si="0"/>
        <v>0</v>
      </c>
      <c r="GI12" s="40" t="s">
        <v>524</v>
      </c>
    </row>
    <row r="13" spans="1:191" s="40" customFormat="1" hidden="1">
      <c r="A13" s="35" t="s">
        <v>526</v>
      </c>
      <c r="B13" s="35" t="s">
        <v>517</v>
      </c>
      <c r="C13" s="35" t="s">
        <v>527</v>
      </c>
      <c r="D13" s="35" t="s">
        <v>8</v>
      </c>
      <c r="E13" s="36" t="s">
        <v>528</v>
      </c>
      <c r="F13" s="35" t="s">
        <v>520</v>
      </c>
      <c r="G13" s="35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9">
        <f>100-100</f>
        <v>0</v>
      </c>
      <c r="EL13" s="39">
        <f>100-100</f>
        <v>0</v>
      </c>
      <c r="EM13" s="37"/>
      <c r="EN13" s="37"/>
      <c r="EO13" s="39">
        <f>50-50</f>
        <v>0</v>
      </c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42"/>
      <c r="GD13" s="43" t="s">
        <v>521</v>
      </c>
      <c r="GE13" s="44" t="s">
        <v>522</v>
      </c>
      <c r="GF13" s="44"/>
      <c r="GG13" s="44" t="s">
        <v>529</v>
      </c>
      <c r="GH13" s="45">
        <f t="shared" si="0"/>
        <v>0</v>
      </c>
      <c r="GI13" s="40" t="s">
        <v>530</v>
      </c>
    </row>
    <row r="14" spans="1:191" s="40" customFormat="1" hidden="1">
      <c r="A14" s="35" t="s">
        <v>526</v>
      </c>
      <c r="B14" s="35" t="s">
        <v>517</v>
      </c>
      <c r="C14" s="35" t="s">
        <v>527</v>
      </c>
      <c r="D14" s="35" t="s">
        <v>4</v>
      </c>
      <c r="E14" s="36" t="s">
        <v>528</v>
      </c>
      <c r="F14" s="35" t="s">
        <v>520</v>
      </c>
      <c r="G14" s="35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9">
        <f>200-200</f>
        <v>0</v>
      </c>
      <c r="EQ14" s="39">
        <f>20-20</f>
        <v>0</v>
      </c>
      <c r="ER14" s="37"/>
      <c r="ES14" s="37"/>
      <c r="ET14" s="37"/>
      <c r="EU14" s="39">
        <f>50-50</f>
        <v>0</v>
      </c>
      <c r="EV14" s="37"/>
      <c r="EW14" s="37"/>
      <c r="EX14" s="39">
        <f>200-200</f>
        <v>0</v>
      </c>
      <c r="EY14" s="37" t="s">
        <v>531</v>
      </c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42"/>
      <c r="GD14" s="43" t="s">
        <v>521</v>
      </c>
      <c r="GE14" s="44" t="s">
        <v>522</v>
      </c>
      <c r="GF14" s="44"/>
      <c r="GG14" s="44" t="s">
        <v>529</v>
      </c>
      <c r="GH14" s="45">
        <f t="shared" si="0"/>
        <v>0</v>
      </c>
      <c r="GI14" s="40" t="s">
        <v>530</v>
      </c>
    </row>
    <row r="15" spans="1:191" s="40" customFormat="1" hidden="1">
      <c r="A15" s="35" t="s">
        <v>526</v>
      </c>
      <c r="B15" s="35" t="s">
        <v>517</v>
      </c>
      <c r="C15" s="35" t="s">
        <v>527</v>
      </c>
      <c r="D15" s="35" t="s">
        <v>8</v>
      </c>
      <c r="E15" s="36" t="s">
        <v>532</v>
      </c>
      <c r="F15" s="35" t="s">
        <v>520</v>
      </c>
      <c r="G15" s="35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8">
        <v>80</v>
      </c>
      <c r="DN15" s="37"/>
      <c r="DO15" s="37"/>
      <c r="DP15" s="38">
        <v>40</v>
      </c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9">
        <f>100-100</f>
        <v>0</v>
      </c>
      <c r="EC15" s="37"/>
      <c r="ED15" s="37"/>
      <c r="EE15" s="37"/>
      <c r="EF15" s="37"/>
      <c r="EG15" s="37"/>
      <c r="EH15" s="37"/>
      <c r="EI15" s="39">
        <f>100-100</f>
        <v>0</v>
      </c>
      <c r="EJ15" s="37"/>
      <c r="EK15" s="39">
        <f>100-100</f>
        <v>0</v>
      </c>
      <c r="EL15" s="39">
        <f>100-100</f>
        <v>0</v>
      </c>
      <c r="EM15" s="37"/>
      <c r="EN15" s="37"/>
      <c r="EO15" s="39">
        <f>100-100</f>
        <v>0</v>
      </c>
      <c r="EP15" s="38">
        <f>140</f>
        <v>140</v>
      </c>
      <c r="EQ15" s="37"/>
      <c r="ER15" s="37"/>
      <c r="ES15" s="38">
        <f>10</f>
        <v>10</v>
      </c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9">
        <f>100-100</f>
        <v>0</v>
      </c>
      <c r="FE15" s="39">
        <f>100-100</f>
        <v>0</v>
      </c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42"/>
      <c r="GD15" s="43" t="s">
        <v>521</v>
      </c>
      <c r="GE15" s="44" t="s">
        <v>522</v>
      </c>
      <c r="GF15" s="44"/>
      <c r="GG15" s="44" t="s">
        <v>533</v>
      </c>
      <c r="GH15" s="45">
        <f t="shared" si="0"/>
        <v>270</v>
      </c>
      <c r="GI15" s="40" t="s">
        <v>524</v>
      </c>
    </row>
    <row r="16" spans="1:191" s="40" customFormat="1" hidden="1">
      <c r="A16" s="35" t="s">
        <v>526</v>
      </c>
      <c r="B16" s="35" t="s">
        <v>517</v>
      </c>
      <c r="C16" s="35" t="s">
        <v>527</v>
      </c>
      <c r="D16" s="35" t="s">
        <v>4</v>
      </c>
      <c r="E16" s="36" t="s">
        <v>532</v>
      </c>
      <c r="F16" s="35" t="s">
        <v>520</v>
      </c>
      <c r="G16" s="35"/>
      <c r="H16" s="37"/>
      <c r="I16" s="37"/>
      <c r="J16" s="39">
        <f>50-50</f>
        <v>0</v>
      </c>
      <c r="K16" s="39">
        <f>50-50</f>
        <v>0</v>
      </c>
      <c r="L16" s="37"/>
      <c r="M16" s="39">
        <f>50-50</f>
        <v>0</v>
      </c>
      <c r="N16" s="39">
        <f>50-50</f>
        <v>0</v>
      </c>
      <c r="O16" s="39">
        <f>50-50+10</f>
        <v>10</v>
      </c>
      <c r="P16" s="37"/>
      <c r="Q16" s="37"/>
      <c r="R16" s="39">
        <f>50-50</f>
        <v>0</v>
      </c>
      <c r="S16" s="39">
        <f>50-50</f>
        <v>0</v>
      </c>
      <c r="T16" s="37"/>
      <c r="U16" s="37"/>
      <c r="V16" s="39">
        <f>50-50</f>
        <v>0</v>
      </c>
      <c r="W16" s="39">
        <f>50-50</f>
        <v>0</v>
      </c>
      <c r="X16" s="39">
        <f>50-50</f>
        <v>0</v>
      </c>
      <c r="Y16" s="37"/>
      <c r="Z16" s="37"/>
      <c r="AA16" s="37"/>
      <c r="AB16" s="37"/>
      <c r="AC16" s="39">
        <f>50-50</f>
        <v>0</v>
      </c>
      <c r="AD16" s="39">
        <f>50-50</f>
        <v>0</v>
      </c>
      <c r="AE16" s="39">
        <f>50-50</f>
        <v>0</v>
      </c>
      <c r="AF16" s="39">
        <f>50-50</f>
        <v>0</v>
      </c>
      <c r="AG16" s="39">
        <f>50-50</f>
        <v>0</v>
      </c>
      <c r="AH16" s="37"/>
      <c r="AI16" s="37"/>
      <c r="AJ16" s="39">
        <f>50-50</f>
        <v>0</v>
      </c>
      <c r="AK16" s="39">
        <f>50-50</f>
        <v>0</v>
      </c>
      <c r="AL16" s="39">
        <f>50-50</f>
        <v>0</v>
      </c>
      <c r="AM16" s="37"/>
      <c r="AN16" s="39">
        <f>50-50</f>
        <v>0</v>
      </c>
      <c r="AO16" s="39">
        <f>50-50</f>
        <v>0</v>
      </c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8">
        <v>30</v>
      </c>
      <c r="DM16" s="37"/>
      <c r="DN16" s="37"/>
      <c r="DO16" s="37"/>
      <c r="DP16" s="37"/>
      <c r="DQ16" s="37"/>
      <c r="DR16" s="37"/>
      <c r="DS16" s="38">
        <v>20</v>
      </c>
      <c r="DT16" s="37"/>
      <c r="DU16" s="37"/>
      <c r="DV16" s="37"/>
      <c r="DW16" s="37"/>
      <c r="DX16" s="37"/>
      <c r="DY16" s="37"/>
      <c r="DZ16" s="37"/>
      <c r="EA16" s="37"/>
      <c r="EB16" s="37"/>
      <c r="EC16" s="39">
        <f t="shared" ref="EC16:EG16" si="1">100-100</f>
        <v>0</v>
      </c>
      <c r="ED16" s="39">
        <f t="shared" si="1"/>
        <v>0</v>
      </c>
      <c r="EE16" s="39">
        <f t="shared" si="1"/>
        <v>0</v>
      </c>
      <c r="EF16" s="39">
        <f t="shared" si="1"/>
        <v>0</v>
      </c>
      <c r="EG16" s="39">
        <f t="shared" si="1"/>
        <v>0</v>
      </c>
      <c r="EH16" s="38">
        <f>100-100+40</f>
        <v>40</v>
      </c>
      <c r="EI16" s="37"/>
      <c r="EJ16" s="39">
        <f>100-100</f>
        <v>0</v>
      </c>
      <c r="EK16" s="37"/>
      <c r="EL16" s="37"/>
      <c r="EM16" s="39">
        <f>100-100</f>
        <v>0</v>
      </c>
      <c r="EN16" s="39">
        <f>100-100</f>
        <v>0</v>
      </c>
      <c r="EO16" s="38">
        <f>50</f>
        <v>50</v>
      </c>
      <c r="EP16" s="39">
        <f>100-100</f>
        <v>0</v>
      </c>
      <c r="EQ16" s="39">
        <f>100-100</f>
        <v>0</v>
      </c>
      <c r="ER16" s="37"/>
      <c r="ES16" s="39">
        <f>100-100</f>
        <v>0</v>
      </c>
      <c r="ET16" s="39">
        <f>100-100</f>
        <v>0</v>
      </c>
      <c r="EU16" s="37"/>
      <c r="EV16" s="37"/>
      <c r="EW16" s="37"/>
      <c r="EX16" s="39">
        <f>100-100</f>
        <v>0</v>
      </c>
      <c r="EY16" s="38">
        <f>100-100+20</f>
        <v>20</v>
      </c>
      <c r="EZ16" s="39">
        <f>100-100</f>
        <v>0</v>
      </c>
      <c r="FA16" s="37"/>
      <c r="FB16" s="37"/>
      <c r="FC16" s="37"/>
      <c r="FD16" s="37"/>
      <c r="FE16" s="38">
        <f>20</f>
        <v>20</v>
      </c>
      <c r="FF16" s="39">
        <f>100-100</f>
        <v>0</v>
      </c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42"/>
      <c r="GD16" s="43" t="s">
        <v>521</v>
      </c>
      <c r="GE16" s="44" t="s">
        <v>522</v>
      </c>
      <c r="GF16" s="44"/>
      <c r="GG16" s="44" t="s">
        <v>533</v>
      </c>
      <c r="GH16" s="45">
        <f t="shared" si="0"/>
        <v>190</v>
      </c>
      <c r="GI16" s="40" t="s">
        <v>524</v>
      </c>
    </row>
    <row r="17" spans="1:191" s="40" customFormat="1" hidden="1">
      <c r="A17" s="35" t="s">
        <v>526</v>
      </c>
      <c r="B17" s="35" t="s">
        <v>517</v>
      </c>
      <c r="C17" s="35" t="s">
        <v>527</v>
      </c>
      <c r="D17" s="35" t="s">
        <v>3</v>
      </c>
      <c r="E17" s="36" t="s">
        <v>532</v>
      </c>
      <c r="F17" s="35" t="s">
        <v>520</v>
      </c>
      <c r="G17" s="35"/>
      <c r="H17" s="39">
        <f>50-50</f>
        <v>0</v>
      </c>
      <c r="I17" s="37"/>
      <c r="J17" s="37"/>
      <c r="K17" s="37"/>
      <c r="L17" s="39">
        <f>50-50</f>
        <v>0</v>
      </c>
      <c r="M17" s="37"/>
      <c r="N17" s="37"/>
      <c r="O17" s="37"/>
      <c r="P17" s="37"/>
      <c r="Q17" s="39">
        <f>50-50</f>
        <v>0</v>
      </c>
      <c r="R17" s="37"/>
      <c r="S17" s="37"/>
      <c r="T17" s="37"/>
      <c r="U17" s="39">
        <f>50-50</f>
        <v>0</v>
      </c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42"/>
      <c r="GD17" s="43" t="s">
        <v>521</v>
      </c>
      <c r="GE17" s="44" t="s">
        <v>522</v>
      </c>
      <c r="GF17" s="44"/>
      <c r="GG17" s="44" t="s">
        <v>533</v>
      </c>
      <c r="GH17" s="45">
        <f t="shared" si="0"/>
        <v>0</v>
      </c>
      <c r="GI17" s="40" t="s">
        <v>524</v>
      </c>
    </row>
    <row r="18" spans="1:191" s="40" customFormat="1" hidden="1">
      <c r="A18" s="35" t="s">
        <v>526</v>
      </c>
      <c r="B18" s="35" t="s">
        <v>517</v>
      </c>
      <c r="C18" s="35" t="s">
        <v>527</v>
      </c>
      <c r="D18" s="35" t="s">
        <v>8</v>
      </c>
      <c r="E18" s="36" t="s">
        <v>534</v>
      </c>
      <c r="F18" s="35" t="s">
        <v>520</v>
      </c>
      <c r="G18" s="35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8">
        <v>40</v>
      </c>
      <c r="DO18" s="37"/>
      <c r="DP18" s="38">
        <v>20</v>
      </c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8">
        <f>50-50+20</f>
        <v>20</v>
      </c>
      <c r="EL18" s="39">
        <f>100-100</f>
        <v>0</v>
      </c>
      <c r="EM18" s="37"/>
      <c r="EN18" s="37"/>
      <c r="EO18" s="39">
        <f>50-50</f>
        <v>0</v>
      </c>
      <c r="EP18" s="38">
        <f>100</f>
        <v>100</v>
      </c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42"/>
      <c r="GD18" s="43" t="s">
        <v>521</v>
      </c>
      <c r="GE18" s="44" t="s">
        <v>522</v>
      </c>
      <c r="GF18" s="44"/>
      <c r="GG18" s="44" t="s">
        <v>535</v>
      </c>
      <c r="GH18" s="45">
        <f t="shared" si="0"/>
        <v>180</v>
      </c>
      <c r="GI18" s="40" t="s">
        <v>530</v>
      </c>
    </row>
    <row r="19" spans="1:191" s="40" customFormat="1" hidden="1">
      <c r="A19" s="35" t="s">
        <v>526</v>
      </c>
      <c r="B19" s="35" t="s">
        <v>517</v>
      </c>
      <c r="C19" s="35" t="s">
        <v>527</v>
      </c>
      <c r="D19" s="35" t="s">
        <v>4</v>
      </c>
      <c r="E19" s="36" t="s">
        <v>534</v>
      </c>
      <c r="F19" s="35" t="s">
        <v>520</v>
      </c>
      <c r="G19" s="35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8">
        <v>10</v>
      </c>
      <c r="DM19" s="37"/>
      <c r="DN19" s="37"/>
      <c r="DO19" s="37"/>
      <c r="DP19" s="37"/>
      <c r="DQ19" s="38">
        <v>10</v>
      </c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8">
        <f>60</f>
        <v>60</v>
      </c>
      <c r="EP19" s="39">
        <f>100-100</f>
        <v>0</v>
      </c>
      <c r="EQ19" s="39">
        <f>50-50</f>
        <v>0</v>
      </c>
      <c r="ER19" s="37"/>
      <c r="ES19" s="37"/>
      <c r="ET19" s="39">
        <f>50-50+9</f>
        <v>9</v>
      </c>
      <c r="EU19" s="39">
        <f>20-20</f>
        <v>0</v>
      </c>
      <c r="EV19" s="37"/>
      <c r="EW19" s="37"/>
      <c r="EX19" s="39">
        <f>50-50</f>
        <v>0</v>
      </c>
      <c r="EY19" s="38">
        <f>10</f>
        <v>10</v>
      </c>
      <c r="EZ19" s="37"/>
      <c r="FA19" s="37"/>
      <c r="FB19" s="37"/>
      <c r="FC19" s="37"/>
      <c r="FD19" s="37"/>
      <c r="FE19" s="37"/>
      <c r="FF19" s="38">
        <f>50-50+20</f>
        <v>20</v>
      </c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42"/>
      <c r="GD19" s="43" t="s">
        <v>521</v>
      </c>
      <c r="GE19" s="44" t="s">
        <v>522</v>
      </c>
      <c r="GF19" s="44"/>
      <c r="GG19" s="44" t="s">
        <v>535</v>
      </c>
      <c r="GH19" s="45">
        <f t="shared" si="0"/>
        <v>119</v>
      </c>
      <c r="GI19" s="40" t="s">
        <v>530</v>
      </c>
    </row>
    <row r="20" spans="1:191" s="40" customFormat="1" hidden="1">
      <c r="A20" s="35" t="s">
        <v>526</v>
      </c>
      <c r="B20" s="35" t="s">
        <v>517</v>
      </c>
      <c r="C20" s="35" t="s">
        <v>527</v>
      </c>
      <c r="D20" s="35" t="s">
        <v>8</v>
      </c>
      <c r="E20" s="36" t="s">
        <v>536</v>
      </c>
      <c r="F20" s="35" t="s">
        <v>520</v>
      </c>
      <c r="G20" s="35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9">
        <f>1000-1000</f>
        <v>0</v>
      </c>
      <c r="EC20" s="37"/>
      <c r="ED20" s="37"/>
      <c r="EE20" s="37"/>
      <c r="EF20" s="37"/>
      <c r="EG20" s="37"/>
      <c r="EH20" s="37"/>
      <c r="EI20" s="37"/>
      <c r="EJ20" s="37"/>
      <c r="EK20" s="39">
        <f>1000-1000</f>
        <v>0</v>
      </c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9">
        <f>500-500</f>
        <v>0</v>
      </c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42"/>
      <c r="GD20" s="43" t="s">
        <v>521</v>
      </c>
      <c r="GE20" s="44" t="s">
        <v>522</v>
      </c>
      <c r="GF20" s="44" t="s">
        <v>537</v>
      </c>
      <c r="GG20" s="44" t="s">
        <v>538</v>
      </c>
      <c r="GH20" s="45">
        <f t="shared" si="0"/>
        <v>0</v>
      </c>
      <c r="GI20" s="40" t="s">
        <v>539</v>
      </c>
    </row>
    <row r="21" spans="1:191" s="40" customFormat="1" hidden="1">
      <c r="A21" s="35" t="s">
        <v>526</v>
      </c>
      <c r="B21" s="35" t="s">
        <v>517</v>
      </c>
      <c r="C21" s="35" t="s">
        <v>527</v>
      </c>
      <c r="D21" s="35" t="s">
        <v>4</v>
      </c>
      <c r="E21" s="36" t="s">
        <v>536</v>
      </c>
      <c r="F21" s="35" t="s">
        <v>520</v>
      </c>
      <c r="G21" s="35"/>
      <c r="H21" s="37"/>
      <c r="I21" s="37"/>
      <c r="J21" s="39">
        <f>10-10</f>
        <v>0</v>
      </c>
      <c r="K21" s="39">
        <f>10-10</f>
        <v>0</v>
      </c>
      <c r="L21" s="37"/>
      <c r="M21" s="39">
        <f>20-20</f>
        <v>0</v>
      </c>
      <c r="N21" s="39">
        <f>20-20</f>
        <v>0</v>
      </c>
      <c r="O21" s="39">
        <f>50-50</f>
        <v>0</v>
      </c>
      <c r="P21" s="37"/>
      <c r="Q21" s="37"/>
      <c r="R21" s="39">
        <f>10-10</f>
        <v>0</v>
      </c>
      <c r="S21" s="39">
        <f>50-50</f>
        <v>0</v>
      </c>
      <c r="T21" s="37"/>
      <c r="U21" s="37"/>
      <c r="V21" s="39">
        <f>20-20</f>
        <v>0</v>
      </c>
      <c r="W21" s="39">
        <f>50-50</f>
        <v>0</v>
      </c>
      <c r="X21" s="39">
        <f>50-50</f>
        <v>0</v>
      </c>
      <c r="Y21" s="37"/>
      <c r="Z21" s="37"/>
      <c r="AA21" s="37"/>
      <c r="AB21" s="37"/>
      <c r="AC21" s="39">
        <f>500-500</f>
        <v>0</v>
      </c>
      <c r="AD21" s="39">
        <f>500-500</f>
        <v>0</v>
      </c>
      <c r="AE21" s="37"/>
      <c r="AF21" s="37"/>
      <c r="AG21" s="37"/>
      <c r="AH21" s="39">
        <f>500-500</f>
        <v>0</v>
      </c>
      <c r="AI21" s="39">
        <f>500-500</f>
        <v>0</v>
      </c>
      <c r="AJ21" s="39">
        <f>500-500</f>
        <v>0</v>
      </c>
      <c r="AK21" s="39">
        <f>500-500</f>
        <v>0</v>
      </c>
      <c r="AL21" s="37"/>
      <c r="AM21" s="39">
        <f>500-500</f>
        <v>0</v>
      </c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9">
        <f>600-600</f>
        <v>0</v>
      </c>
      <c r="DX21" s="37"/>
      <c r="DY21" s="37"/>
      <c r="DZ21" s="37"/>
      <c r="EA21" s="37"/>
      <c r="EB21" s="37"/>
      <c r="EC21" s="37"/>
      <c r="ED21" s="37"/>
      <c r="EE21" s="39">
        <f>1000-1000</f>
        <v>0</v>
      </c>
      <c r="EF21" s="37"/>
      <c r="EG21" s="37"/>
      <c r="EH21" s="39">
        <f>1000-1000</f>
        <v>0</v>
      </c>
      <c r="EI21" s="37"/>
      <c r="EJ21" s="37"/>
      <c r="EK21" s="37"/>
      <c r="EL21" s="37"/>
      <c r="EM21" s="37"/>
      <c r="EN21" s="39">
        <f>1000-1000</f>
        <v>0</v>
      </c>
      <c r="EO21" s="37"/>
      <c r="EP21" s="39">
        <f>1000-1000</f>
        <v>0</v>
      </c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42"/>
      <c r="GD21" s="43" t="s">
        <v>521</v>
      </c>
      <c r="GE21" s="44" t="s">
        <v>522</v>
      </c>
      <c r="GF21" s="44" t="s">
        <v>537</v>
      </c>
      <c r="GG21" s="44" t="s">
        <v>538</v>
      </c>
      <c r="GH21" s="45">
        <f t="shared" si="0"/>
        <v>0</v>
      </c>
      <c r="GI21" s="40" t="s">
        <v>539</v>
      </c>
    </row>
    <row r="22" spans="1:191" s="40" customFormat="1" hidden="1">
      <c r="A22" s="35" t="s">
        <v>540</v>
      </c>
      <c r="B22" s="35" t="s">
        <v>517</v>
      </c>
      <c r="C22" s="35" t="s">
        <v>527</v>
      </c>
      <c r="D22" s="35" t="s">
        <v>8</v>
      </c>
      <c r="E22" s="36" t="s">
        <v>541</v>
      </c>
      <c r="F22" s="35" t="s">
        <v>520</v>
      </c>
      <c r="G22" s="35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9">
        <f>50-50</f>
        <v>0</v>
      </c>
      <c r="EL22" s="37"/>
      <c r="EM22" s="37"/>
      <c r="EN22" s="37"/>
      <c r="EO22" s="39">
        <f>50-50</f>
        <v>0</v>
      </c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42"/>
      <c r="GD22" s="43" t="s">
        <v>521</v>
      </c>
      <c r="GE22" s="44" t="s">
        <v>522</v>
      </c>
      <c r="GF22" s="44"/>
      <c r="GG22" s="44" t="s">
        <v>542</v>
      </c>
      <c r="GH22" s="45">
        <f t="shared" si="0"/>
        <v>0</v>
      </c>
      <c r="GI22" s="40" t="s">
        <v>530</v>
      </c>
    </row>
    <row r="23" spans="1:191" s="40" customFormat="1" hidden="1">
      <c r="A23" s="35" t="s">
        <v>540</v>
      </c>
      <c r="B23" s="35" t="s">
        <v>517</v>
      </c>
      <c r="C23" s="35" t="s">
        <v>527</v>
      </c>
      <c r="D23" s="35" t="s">
        <v>4</v>
      </c>
      <c r="E23" s="36" t="s">
        <v>541</v>
      </c>
      <c r="F23" s="35" t="s">
        <v>520</v>
      </c>
      <c r="G23" s="35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9">
        <f>50-50</f>
        <v>0</v>
      </c>
      <c r="EQ23" s="37"/>
      <c r="ER23" s="37"/>
      <c r="ES23" s="37"/>
      <c r="ET23" s="39">
        <f>20-20</f>
        <v>0</v>
      </c>
      <c r="EU23" s="39">
        <f>20-20</f>
        <v>0</v>
      </c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9">
        <f>50-50</f>
        <v>0</v>
      </c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42"/>
      <c r="GD23" s="43" t="s">
        <v>521</v>
      </c>
      <c r="GE23" s="44" t="s">
        <v>522</v>
      </c>
      <c r="GF23" s="44"/>
      <c r="GG23" s="44" t="s">
        <v>542</v>
      </c>
      <c r="GH23" s="45">
        <f t="shared" si="0"/>
        <v>0</v>
      </c>
      <c r="GI23" s="40" t="s">
        <v>530</v>
      </c>
    </row>
    <row r="24" spans="1:191" s="40" customFormat="1" hidden="1">
      <c r="A24" s="35" t="s">
        <v>517</v>
      </c>
      <c r="B24" s="35" t="s">
        <v>517</v>
      </c>
      <c r="C24" s="35" t="s">
        <v>527</v>
      </c>
      <c r="D24" s="35" t="s">
        <v>8</v>
      </c>
      <c r="E24" s="36" t="s">
        <v>543</v>
      </c>
      <c r="F24" s="35" t="s">
        <v>520</v>
      </c>
      <c r="G24" s="35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9">
        <f>50-50</f>
        <v>0</v>
      </c>
      <c r="DV24" s="37"/>
      <c r="DW24" s="37"/>
      <c r="DX24" s="37"/>
      <c r="DY24" s="37"/>
      <c r="DZ24" s="37"/>
      <c r="EA24" s="37"/>
      <c r="EB24" s="39">
        <f>300-300</f>
        <v>0</v>
      </c>
      <c r="EC24" s="37"/>
      <c r="ED24" s="37"/>
      <c r="EE24" s="37"/>
      <c r="EF24" s="37"/>
      <c r="EG24" s="37"/>
      <c r="EH24" s="37"/>
      <c r="EI24" s="37"/>
      <c r="EJ24" s="37"/>
      <c r="EK24" s="39">
        <f>300-300</f>
        <v>0</v>
      </c>
      <c r="EL24" s="37"/>
      <c r="EM24" s="37"/>
      <c r="EN24" s="37"/>
      <c r="EO24" s="39">
        <f>300-300</f>
        <v>0</v>
      </c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9">
        <f>200-200</f>
        <v>0</v>
      </c>
      <c r="FE24" s="39">
        <f>200-200</f>
        <v>0</v>
      </c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42"/>
      <c r="GD24" s="43" t="s">
        <v>521</v>
      </c>
      <c r="GE24" s="44" t="s">
        <v>522</v>
      </c>
      <c r="GF24" s="44"/>
      <c r="GG24" s="44" t="s">
        <v>533</v>
      </c>
      <c r="GH24" s="45">
        <f t="shared" si="0"/>
        <v>0</v>
      </c>
      <c r="GI24" s="40" t="s">
        <v>524</v>
      </c>
    </row>
    <row r="25" spans="1:191" s="40" customFormat="1" hidden="1">
      <c r="A25" s="35" t="s">
        <v>517</v>
      </c>
      <c r="B25" s="35" t="s">
        <v>517</v>
      </c>
      <c r="C25" s="35" t="s">
        <v>527</v>
      </c>
      <c r="D25" s="35" t="s">
        <v>4</v>
      </c>
      <c r="E25" s="36" t="s">
        <v>543</v>
      </c>
      <c r="F25" s="35" t="s">
        <v>520</v>
      </c>
      <c r="G25" s="35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9">
        <f>30-30</f>
        <v>0</v>
      </c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9">
        <f>50-50</f>
        <v>0</v>
      </c>
      <c r="DX25" s="37"/>
      <c r="DY25" s="37"/>
      <c r="DZ25" s="37"/>
      <c r="EA25" s="37"/>
      <c r="EB25" s="37"/>
      <c r="EC25" s="39">
        <f>300-300</f>
        <v>0</v>
      </c>
      <c r="ED25" s="37"/>
      <c r="EE25" s="39">
        <f>300-300</f>
        <v>0</v>
      </c>
      <c r="EF25" s="39">
        <f>300-300</f>
        <v>0</v>
      </c>
      <c r="EG25" s="37"/>
      <c r="EH25" s="39">
        <f>200-200</f>
        <v>0</v>
      </c>
      <c r="EI25" s="37"/>
      <c r="EJ25" s="39">
        <f>200-200</f>
        <v>0</v>
      </c>
      <c r="EK25" s="37"/>
      <c r="EL25" s="37"/>
      <c r="EM25" s="39">
        <f>300-300</f>
        <v>0</v>
      </c>
      <c r="EN25" s="39">
        <f>300-300</f>
        <v>0</v>
      </c>
      <c r="EO25" s="37"/>
      <c r="EP25" s="37"/>
      <c r="EQ25" s="39">
        <f>300-300</f>
        <v>0</v>
      </c>
      <c r="ER25" s="37"/>
      <c r="ES25" s="39">
        <f>300-300</f>
        <v>0</v>
      </c>
      <c r="ET25" s="39">
        <f>300-300</f>
        <v>0</v>
      </c>
      <c r="EU25" s="37"/>
      <c r="EV25" s="37"/>
      <c r="EW25" s="37"/>
      <c r="EX25" s="39">
        <f>300-300</f>
        <v>0</v>
      </c>
      <c r="EY25" s="39">
        <f>300-300</f>
        <v>0</v>
      </c>
      <c r="EZ25" s="39">
        <f>300-300</f>
        <v>0</v>
      </c>
      <c r="FA25" s="37"/>
      <c r="FB25" s="37"/>
      <c r="FC25" s="37"/>
      <c r="FD25" s="37"/>
      <c r="FE25" s="37"/>
      <c r="FF25" s="39">
        <f>200-200</f>
        <v>0</v>
      </c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42"/>
      <c r="GD25" s="43" t="s">
        <v>521</v>
      </c>
      <c r="GE25" s="44" t="s">
        <v>522</v>
      </c>
      <c r="GF25" s="44"/>
      <c r="GG25" s="44" t="s">
        <v>533</v>
      </c>
      <c r="GH25" s="45">
        <f t="shared" si="0"/>
        <v>0</v>
      </c>
      <c r="GI25" s="40" t="s">
        <v>524</v>
      </c>
    </row>
    <row r="26" spans="1:191" s="40" customFormat="1" hidden="1">
      <c r="A26" s="35" t="s">
        <v>526</v>
      </c>
      <c r="B26" s="35" t="s">
        <v>517</v>
      </c>
      <c r="C26" s="35" t="s">
        <v>544</v>
      </c>
      <c r="D26" s="35" t="s">
        <v>8</v>
      </c>
      <c r="E26" s="36" t="s">
        <v>545</v>
      </c>
      <c r="F26" s="35" t="s">
        <v>520</v>
      </c>
      <c r="G26" s="3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8">
        <v>350</v>
      </c>
      <c r="DN26" s="37"/>
      <c r="DO26" s="37"/>
      <c r="DP26" s="38">
        <v>190</v>
      </c>
      <c r="DQ26" s="37"/>
      <c r="DR26" s="37"/>
      <c r="DS26" s="37"/>
      <c r="DT26" s="37"/>
      <c r="DU26" s="39">
        <f>2000-2000</f>
        <v>0</v>
      </c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8">
        <f>370</f>
        <v>370</v>
      </c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9">
        <f>500-500</f>
        <v>0</v>
      </c>
      <c r="FF26" s="37"/>
      <c r="FG26" s="37"/>
      <c r="FH26" s="37"/>
      <c r="FI26" s="39">
        <f>200-200</f>
        <v>0</v>
      </c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42"/>
      <c r="GD26" s="43" t="s">
        <v>521</v>
      </c>
      <c r="GE26" s="44" t="s">
        <v>522</v>
      </c>
      <c r="GF26" s="44"/>
      <c r="GG26" s="44" t="s">
        <v>546</v>
      </c>
      <c r="GH26" s="45">
        <f t="shared" si="0"/>
        <v>910</v>
      </c>
      <c r="GI26" s="40" t="s">
        <v>547</v>
      </c>
    </row>
    <row r="27" spans="1:191" s="40" customFormat="1" hidden="1">
      <c r="A27" s="35" t="s">
        <v>526</v>
      </c>
      <c r="B27" s="35" t="s">
        <v>517</v>
      </c>
      <c r="C27" s="35" t="s">
        <v>544</v>
      </c>
      <c r="D27" s="35" t="s">
        <v>4</v>
      </c>
      <c r="E27" s="36" t="s">
        <v>545</v>
      </c>
      <c r="F27" s="35" t="s">
        <v>520</v>
      </c>
      <c r="G27" s="35"/>
      <c r="H27" s="37"/>
      <c r="I27" s="37"/>
      <c r="J27" s="37"/>
      <c r="K27" s="37"/>
      <c r="L27" s="37"/>
      <c r="M27" s="37"/>
      <c r="N27" s="37"/>
      <c r="O27" s="38">
        <f>50</f>
        <v>50</v>
      </c>
      <c r="P27" s="37"/>
      <c r="Q27" s="37"/>
      <c r="R27" s="37"/>
      <c r="S27" s="38">
        <f>50</f>
        <v>50</v>
      </c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8">
        <v>160</v>
      </c>
      <c r="DM27" s="37"/>
      <c r="DN27" s="37"/>
      <c r="DO27" s="37"/>
      <c r="DP27" s="37"/>
      <c r="DQ27" s="38">
        <v>40</v>
      </c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9">
        <f>2000-2000</f>
        <v>0</v>
      </c>
      <c r="ED27" s="37"/>
      <c r="EE27" s="37"/>
      <c r="EF27" s="37"/>
      <c r="EG27" s="37"/>
      <c r="EH27" s="38">
        <f>500-500+40</f>
        <v>40</v>
      </c>
      <c r="EI27" s="37"/>
      <c r="EJ27" s="37"/>
      <c r="EK27" s="37"/>
      <c r="EL27" s="37"/>
      <c r="EM27" s="37"/>
      <c r="EN27" s="37"/>
      <c r="EO27" s="38">
        <f>40</f>
        <v>40</v>
      </c>
      <c r="EP27" s="39">
        <f>1500-1500</f>
        <v>0</v>
      </c>
      <c r="EQ27" s="37"/>
      <c r="ER27" s="37"/>
      <c r="ES27" s="37"/>
      <c r="ET27" s="37"/>
      <c r="EU27" s="37"/>
      <c r="EV27" s="37"/>
      <c r="EW27" s="37"/>
      <c r="EX27" s="37"/>
      <c r="EY27" s="38">
        <f>40</f>
        <v>40</v>
      </c>
      <c r="EZ27" s="37"/>
      <c r="FA27" s="37"/>
      <c r="FB27" s="37"/>
      <c r="FC27" s="37"/>
      <c r="FD27" s="37"/>
      <c r="FE27" s="38">
        <f>60</f>
        <v>60</v>
      </c>
      <c r="FF27" s="39">
        <f>500-500</f>
        <v>0</v>
      </c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42"/>
      <c r="GD27" s="43" t="s">
        <v>521</v>
      </c>
      <c r="GE27" s="44" t="s">
        <v>522</v>
      </c>
      <c r="GF27" s="44"/>
      <c r="GG27" s="44" t="s">
        <v>546</v>
      </c>
      <c r="GH27" s="45">
        <f t="shared" si="0"/>
        <v>480</v>
      </c>
      <c r="GI27" s="40" t="s">
        <v>547</v>
      </c>
    </row>
    <row r="28" spans="1:191" s="40" customFormat="1" hidden="1">
      <c r="A28" s="35" t="s">
        <v>517</v>
      </c>
      <c r="B28" s="35" t="s">
        <v>517</v>
      </c>
      <c r="C28" s="35" t="s">
        <v>548</v>
      </c>
      <c r="D28" s="35" t="s">
        <v>4</v>
      </c>
      <c r="E28" s="36" t="s">
        <v>549</v>
      </c>
      <c r="F28" s="35" t="s">
        <v>520</v>
      </c>
      <c r="G28" s="35" t="s">
        <v>550</v>
      </c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9">
        <f>50-50</f>
        <v>0</v>
      </c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42"/>
      <c r="GD28" s="43" t="s">
        <v>521</v>
      </c>
      <c r="GE28" s="44" t="s">
        <v>522</v>
      </c>
      <c r="GF28" s="44"/>
      <c r="GG28" s="44" t="s">
        <v>551</v>
      </c>
      <c r="GH28" s="45">
        <f t="shared" si="0"/>
        <v>0</v>
      </c>
      <c r="GI28" s="40" t="s">
        <v>547</v>
      </c>
    </row>
    <row r="29" spans="1:191" s="40" customFormat="1" hidden="1">
      <c r="A29" s="35" t="s">
        <v>526</v>
      </c>
      <c r="B29" s="35" t="s">
        <v>517</v>
      </c>
      <c r="C29" s="35" t="s">
        <v>548</v>
      </c>
      <c r="D29" s="35" t="s">
        <v>8</v>
      </c>
      <c r="E29" s="36" t="s">
        <v>552</v>
      </c>
      <c r="F29" s="35" t="s">
        <v>520</v>
      </c>
      <c r="G29" s="3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8">
        <f>500</f>
        <v>500</v>
      </c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9">
        <f>400-400</f>
        <v>0</v>
      </c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42"/>
      <c r="GD29" s="43" t="s">
        <v>521</v>
      </c>
      <c r="GE29" s="44" t="s">
        <v>522</v>
      </c>
      <c r="GF29" s="44"/>
      <c r="GG29" s="44" t="s">
        <v>553</v>
      </c>
      <c r="GH29" s="45">
        <f t="shared" si="0"/>
        <v>500</v>
      </c>
      <c r="GI29" s="40" t="s">
        <v>554</v>
      </c>
    </row>
    <row r="30" spans="1:191" s="40" customFormat="1" hidden="1">
      <c r="A30" s="35" t="s">
        <v>526</v>
      </c>
      <c r="B30" s="35" t="s">
        <v>517</v>
      </c>
      <c r="C30" s="35" t="s">
        <v>548</v>
      </c>
      <c r="D30" s="35" t="s">
        <v>4</v>
      </c>
      <c r="E30" s="36" t="s">
        <v>552</v>
      </c>
      <c r="F30" s="35" t="s">
        <v>520</v>
      </c>
      <c r="G30" s="35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9">
        <f>500-500</f>
        <v>0</v>
      </c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8">
        <f>400</f>
        <v>400</v>
      </c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42"/>
      <c r="GD30" s="43" t="s">
        <v>521</v>
      </c>
      <c r="GE30" s="44" t="s">
        <v>522</v>
      </c>
      <c r="GF30" s="44"/>
      <c r="GG30" s="44" t="s">
        <v>553</v>
      </c>
      <c r="GH30" s="45">
        <f t="shared" si="0"/>
        <v>400</v>
      </c>
      <c r="GI30" s="40" t="s">
        <v>554</v>
      </c>
    </row>
    <row r="31" spans="1:191" s="40" customFormat="1">
      <c r="A31" s="35" t="s">
        <v>526</v>
      </c>
      <c r="B31" s="35" t="s">
        <v>517</v>
      </c>
      <c r="C31" s="35" t="s">
        <v>555</v>
      </c>
      <c r="D31" s="35" t="s">
        <v>8</v>
      </c>
      <c r="E31" s="36" t="s">
        <v>556</v>
      </c>
      <c r="F31" s="35" t="s">
        <v>520</v>
      </c>
      <c r="G31" s="35" t="s">
        <v>557</v>
      </c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49">
        <v>20</v>
      </c>
      <c r="DN31" s="37"/>
      <c r="DO31" s="37"/>
      <c r="DP31" s="37"/>
      <c r="DQ31" s="37"/>
      <c r="DR31" s="37"/>
      <c r="DS31" s="37"/>
      <c r="DT31" s="37"/>
      <c r="DU31" s="39">
        <f>30-30</f>
        <v>0</v>
      </c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9">
        <f>60-60</f>
        <v>0</v>
      </c>
      <c r="EL31" s="39">
        <f>60-60</f>
        <v>0</v>
      </c>
      <c r="EM31" s="49">
        <v>20</v>
      </c>
      <c r="EN31" s="37"/>
      <c r="EO31" s="39">
        <f>20-20</f>
        <v>0</v>
      </c>
      <c r="EP31" s="49">
        <v>20</v>
      </c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42"/>
      <c r="GD31" s="43" t="s">
        <v>521</v>
      </c>
      <c r="GE31" s="44" t="s">
        <v>522</v>
      </c>
      <c r="GF31" s="44" t="s">
        <v>558</v>
      </c>
      <c r="GG31" s="44" t="s">
        <v>559</v>
      </c>
      <c r="GH31" s="45">
        <f t="shared" si="0"/>
        <v>60</v>
      </c>
      <c r="GI31" s="40" t="s">
        <v>560</v>
      </c>
    </row>
    <row r="32" spans="1:191" s="40" customFormat="1">
      <c r="A32" s="35" t="s">
        <v>526</v>
      </c>
      <c r="B32" s="35" t="s">
        <v>517</v>
      </c>
      <c r="C32" s="35" t="s">
        <v>555</v>
      </c>
      <c r="D32" s="35" t="s">
        <v>4</v>
      </c>
      <c r="E32" s="36" t="s">
        <v>556</v>
      </c>
      <c r="F32" s="35" t="s">
        <v>520</v>
      </c>
      <c r="G32" s="35" t="s">
        <v>557</v>
      </c>
      <c r="H32" s="37"/>
      <c r="I32" s="37"/>
      <c r="J32" s="37"/>
      <c r="K32" s="37"/>
      <c r="L32" s="37"/>
      <c r="M32" s="39">
        <f>5-5</f>
        <v>0</v>
      </c>
      <c r="N32" s="39">
        <f>5-5+3</f>
        <v>3</v>
      </c>
      <c r="O32" s="37"/>
      <c r="P32" s="37"/>
      <c r="Q32" s="37"/>
      <c r="R32" s="39">
        <f>5-5</f>
        <v>0</v>
      </c>
      <c r="S32" s="39">
        <f>5-5+5</f>
        <v>5</v>
      </c>
      <c r="T32" s="49">
        <v>2</v>
      </c>
      <c r="U32" s="37"/>
      <c r="V32" s="39">
        <f>30-30+10</f>
        <v>10</v>
      </c>
      <c r="W32" s="39">
        <f>30-30+5</f>
        <v>5</v>
      </c>
      <c r="X32" s="39">
        <f>20-20</f>
        <v>0</v>
      </c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9">
        <f>10-10</f>
        <v>0</v>
      </c>
      <c r="AY32" s="37"/>
      <c r="AZ32" s="37"/>
      <c r="BA32" s="39">
        <f>5-5+5</f>
        <v>5</v>
      </c>
      <c r="BB32" s="39">
        <f>5-5</f>
        <v>0</v>
      </c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9">
        <f>10-10</f>
        <v>0</v>
      </c>
      <c r="BX32" s="37"/>
      <c r="BY32" s="39">
        <f>10-10+10</f>
        <v>10</v>
      </c>
      <c r="BZ32" s="37"/>
      <c r="CA32" s="39">
        <f>40-40</f>
        <v>0</v>
      </c>
      <c r="CB32" s="37"/>
      <c r="CC32" s="37"/>
      <c r="CD32" s="37"/>
      <c r="CE32" s="39">
        <f>100-100+20</f>
        <v>20</v>
      </c>
      <c r="CF32" s="39">
        <f>10-10</f>
        <v>0</v>
      </c>
      <c r="CG32" s="39">
        <f>10-10</f>
        <v>0</v>
      </c>
      <c r="CH32" s="39">
        <f>10-10+5</f>
        <v>5</v>
      </c>
      <c r="CI32" s="37"/>
      <c r="CJ32" s="37"/>
      <c r="CK32" s="37"/>
      <c r="CL32" s="37"/>
      <c r="CM32" s="37"/>
      <c r="CN32" s="39">
        <f>5-5+2</f>
        <v>2</v>
      </c>
      <c r="CO32" s="39">
        <f>5-5</f>
        <v>0</v>
      </c>
      <c r="CP32" s="37"/>
      <c r="CQ32" s="39">
        <f>100-100+10</f>
        <v>10</v>
      </c>
      <c r="CR32" s="37"/>
      <c r="CS32" s="39">
        <f>30-30+30</f>
        <v>30</v>
      </c>
      <c r="CT32" s="37"/>
      <c r="CU32" s="39">
        <f>20-20</f>
        <v>0</v>
      </c>
      <c r="CV32" s="39">
        <f>10-10+10</f>
        <v>10</v>
      </c>
      <c r="CW32" s="39">
        <f>10-10</f>
        <v>0</v>
      </c>
      <c r="CX32" s="37"/>
      <c r="CY32" s="39">
        <f>40-40+1</f>
        <v>1</v>
      </c>
      <c r="CZ32" s="39">
        <f>10-10+10</f>
        <v>10</v>
      </c>
      <c r="DA32" s="49">
        <v>10</v>
      </c>
      <c r="DB32" s="39">
        <f>10-10+10</f>
        <v>10</v>
      </c>
      <c r="DC32" s="37"/>
      <c r="DD32" s="37"/>
      <c r="DE32" s="49">
        <v>10</v>
      </c>
      <c r="DF32" s="37"/>
      <c r="DG32" s="39">
        <f>10-10+1</f>
        <v>1</v>
      </c>
      <c r="DH32" s="39">
        <f>30-30</f>
        <v>0</v>
      </c>
      <c r="DI32" s="37"/>
      <c r="DJ32" s="37"/>
      <c r="DK32" s="37"/>
      <c r="DL32" s="37"/>
      <c r="DM32" s="39">
        <f>20-20</f>
        <v>0</v>
      </c>
      <c r="DN32" s="37"/>
      <c r="DO32" s="39">
        <f>20-20</f>
        <v>0</v>
      </c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9">
        <f>30-30</f>
        <v>0</v>
      </c>
      <c r="ED32" s="37"/>
      <c r="EE32" s="37"/>
      <c r="EF32" s="39">
        <f>30-30</f>
        <v>0</v>
      </c>
      <c r="EG32" s="37"/>
      <c r="EH32" s="37"/>
      <c r="EI32" s="37"/>
      <c r="EJ32" s="37"/>
      <c r="EK32" s="37"/>
      <c r="EL32" s="37"/>
      <c r="EM32" s="39">
        <f>60-60</f>
        <v>0</v>
      </c>
      <c r="EN32" s="37"/>
      <c r="EO32" s="49">
        <v>20</v>
      </c>
      <c r="EP32" s="39">
        <f>20-20</f>
        <v>0</v>
      </c>
      <c r="EQ32" s="39">
        <f>20-20</f>
        <v>0</v>
      </c>
      <c r="ER32" s="37"/>
      <c r="ES32" s="39">
        <f>20-20</f>
        <v>0</v>
      </c>
      <c r="ET32" s="39">
        <f>20-20</f>
        <v>0</v>
      </c>
      <c r="EU32" s="39">
        <f>20-20</f>
        <v>0</v>
      </c>
      <c r="EV32" s="49">
        <v>20</v>
      </c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42"/>
      <c r="GD32" s="43" t="s">
        <v>521</v>
      </c>
      <c r="GE32" s="44" t="s">
        <v>522</v>
      </c>
      <c r="GF32" s="44" t="s">
        <v>558</v>
      </c>
      <c r="GG32" s="44" t="s">
        <v>559</v>
      </c>
      <c r="GH32" s="45">
        <f t="shared" si="0"/>
        <v>199</v>
      </c>
      <c r="GI32" s="40" t="s">
        <v>560</v>
      </c>
    </row>
    <row r="33" spans="1:191" s="40" customFormat="1" ht="10.5">
      <c r="A33" s="35" t="s">
        <v>526</v>
      </c>
      <c r="B33" s="35" t="s">
        <v>517</v>
      </c>
      <c r="C33" s="35" t="s">
        <v>555</v>
      </c>
      <c r="D33" s="35" t="s">
        <v>3</v>
      </c>
      <c r="E33" s="36" t="s">
        <v>556</v>
      </c>
      <c r="F33" s="35" t="s">
        <v>520</v>
      </c>
      <c r="G33" s="35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9">
        <f>5-5</f>
        <v>0</v>
      </c>
      <c r="U33" s="39">
        <f>20-20</f>
        <v>0</v>
      </c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50">
        <v>5</v>
      </c>
      <c r="CC33" s="37"/>
      <c r="CD33" s="37"/>
      <c r="CE33" s="37"/>
      <c r="CF33" s="50">
        <v>10</v>
      </c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9">
        <f>10-10</f>
        <v>0</v>
      </c>
      <c r="DB33" s="37"/>
      <c r="DC33" s="37"/>
      <c r="DD33" s="37"/>
      <c r="DE33" s="39">
        <f>10-10</f>
        <v>0</v>
      </c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9">
        <f>20-20</f>
        <v>0</v>
      </c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42"/>
      <c r="GD33" s="43" t="s">
        <v>521</v>
      </c>
      <c r="GE33" s="44" t="s">
        <v>522</v>
      </c>
      <c r="GF33" s="44" t="s">
        <v>558</v>
      </c>
      <c r="GG33" s="44" t="s">
        <v>559</v>
      </c>
      <c r="GH33" s="45">
        <f t="shared" si="0"/>
        <v>15</v>
      </c>
      <c r="GI33" s="40" t="s">
        <v>560</v>
      </c>
    </row>
    <row r="34" spans="1:191" s="40" customFormat="1">
      <c r="A34" s="35" t="s">
        <v>526</v>
      </c>
      <c r="B34" s="35" t="s">
        <v>517</v>
      </c>
      <c r="C34" s="35" t="s">
        <v>555</v>
      </c>
      <c r="D34" s="35" t="s">
        <v>8</v>
      </c>
      <c r="E34" s="36" t="s">
        <v>561</v>
      </c>
      <c r="F34" s="35" t="s">
        <v>520</v>
      </c>
      <c r="G34" s="35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49">
        <v>20</v>
      </c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9">
        <f>30-30</f>
        <v>0</v>
      </c>
      <c r="EL34" s="39">
        <f>30-30</f>
        <v>0</v>
      </c>
      <c r="EM34" s="49">
        <v>10</v>
      </c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9">
        <f>100-100</f>
        <v>0</v>
      </c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42"/>
      <c r="GD34" s="43" t="s">
        <v>521</v>
      </c>
      <c r="GE34" s="44" t="s">
        <v>522</v>
      </c>
      <c r="GF34" s="44"/>
      <c r="GG34" s="44" t="s">
        <v>562</v>
      </c>
      <c r="GH34" s="45">
        <f t="shared" si="0"/>
        <v>30</v>
      </c>
      <c r="GI34" s="40" t="s">
        <v>563</v>
      </c>
    </row>
    <row r="35" spans="1:191" s="40" customFormat="1">
      <c r="A35" s="35" t="s">
        <v>526</v>
      </c>
      <c r="B35" s="35" t="s">
        <v>517</v>
      </c>
      <c r="C35" s="35" t="s">
        <v>555</v>
      </c>
      <c r="D35" s="35" t="s">
        <v>4</v>
      </c>
      <c r="E35" s="36" t="s">
        <v>561</v>
      </c>
      <c r="F35" s="35" t="s">
        <v>520</v>
      </c>
      <c r="G35" s="35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9">
        <f>20-20</f>
        <v>0</v>
      </c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9">
        <f>5-5+5</f>
        <v>5</v>
      </c>
      <c r="AX35" s="39">
        <f>5-5</f>
        <v>0</v>
      </c>
      <c r="AY35" s="37"/>
      <c r="AZ35" s="39">
        <f>20-20+10</f>
        <v>10</v>
      </c>
      <c r="BA35" s="39">
        <f>20-20+10</f>
        <v>10</v>
      </c>
      <c r="BB35" s="39">
        <f>10-10</f>
        <v>0</v>
      </c>
      <c r="BC35" s="39">
        <f>10-10</f>
        <v>0</v>
      </c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9">
        <f>10-10+10</f>
        <v>10</v>
      </c>
      <c r="CT35" s="37"/>
      <c r="CU35" s="37"/>
      <c r="CV35" s="39">
        <f>10-10+3</f>
        <v>3</v>
      </c>
      <c r="CW35" s="37"/>
      <c r="CX35" s="37"/>
      <c r="CY35" s="37"/>
      <c r="CZ35" s="37"/>
      <c r="DA35" s="37"/>
      <c r="DB35" s="39">
        <f>10-10+10</f>
        <v>10</v>
      </c>
      <c r="DC35" s="37"/>
      <c r="DD35" s="37"/>
      <c r="DE35" s="37"/>
      <c r="DF35" s="37"/>
      <c r="DG35" s="37"/>
      <c r="DH35" s="37"/>
      <c r="DI35" s="37"/>
      <c r="DJ35" s="37"/>
      <c r="DK35" s="37"/>
      <c r="DL35" s="39">
        <f>10-10+10</f>
        <v>10</v>
      </c>
      <c r="DM35" s="39">
        <f>20-20</f>
        <v>0</v>
      </c>
      <c r="DN35" s="37"/>
      <c r="DO35" s="37"/>
      <c r="DP35" s="37"/>
      <c r="DQ35" s="39">
        <f>20-20+5</f>
        <v>5</v>
      </c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9">
        <f>20-20+10</f>
        <v>10</v>
      </c>
      <c r="EI35" s="37"/>
      <c r="EJ35" s="37"/>
      <c r="EK35" s="37"/>
      <c r="EL35" s="37"/>
      <c r="EM35" s="39">
        <f>20-20</f>
        <v>0</v>
      </c>
      <c r="EN35" s="37"/>
      <c r="EO35" s="37"/>
      <c r="EP35" s="37"/>
      <c r="EQ35" s="37"/>
      <c r="ER35" s="37"/>
      <c r="ES35" s="39">
        <f>20-20</f>
        <v>0</v>
      </c>
      <c r="ET35" s="39">
        <f>20-20</f>
        <v>0</v>
      </c>
      <c r="EU35" s="39">
        <f>100-100</f>
        <v>0</v>
      </c>
      <c r="EV35" s="37"/>
      <c r="EW35" s="37"/>
      <c r="EX35" s="39">
        <f>100-100</f>
        <v>0</v>
      </c>
      <c r="EY35" s="39">
        <f>20-20+20</f>
        <v>20</v>
      </c>
      <c r="EZ35" s="37"/>
      <c r="FA35" s="37"/>
      <c r="FB35" s="37"/>
      <c r="FC35" s="37"/>
      <c r="FD35" s="37"/>
      <c r="FE35" s="49">
        <v>20</v>
      </c>
      <c r="FF35" s="39">
        <f>50-50+20</f>
        <v>20</v>
      </c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42"/>
      <c r="GD35" s="43" t="s">
        <v>521</v>
      </c>
      <c r="GE35" s="44" t="s">
        <v>522</v>
      </c>
      <c r="GF35" s="44"/>
      <c r="GG35" s="44" t="s">
        <v>562</v>
      </c>
      <c r="GH35" s="45">
        <f t="shared" si="0"/>
        <v>133</v>
      </c>
      <c r="GI35" s="40" t="s">
        <v>563</v>
      </c>
    </row>
    <row r="36" spans="1:191" s="40" customFormat="1">
      <c r="A36" s="35" t="s">
        <v>517</v>
      </c>
      <c r="B36" s="35" t="s">
        <v>517</v>
      </c>
      <c r="C36" s="35" t="s">
        <v>555</v>
      </c>
      <c r="D36" s="35" t="s">
        <v>8</v>
      </c>
      <c r="E36" s="36" t="s">
        <v>564</v>
      </c>
      <c r="F36" s="35" t="s">
        <v>520</v>
      </c>
      <c r="G36" s="35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49">
        <v>20</v>
      </c>
      <c r="DN36" s="37"/>
      <c r="DO36" s="37"/>
      <c r="DP36" s="49">
        <v>20</v>
      </c>
      <c r="DQ36" s="37"/>
      <c r="DR36" s="37"/>
      <c r="DS36" s="37"/>
      <c r="DT36" s="37"/>
      <c r="DU36" s="37"/>
      <c r="DV36" s="37"/>
      <c r="DW36" s="37"/>
      <c r="DX36" s="39">
        <f>10-10</f>
        <v>0</v>
      </c>
      <c r="DY36" s="39">
        <f>10-10+2</f>
        <v>2</v>
      </c>
      <c r="DZ36" s="37"/>
      <c r="EA36" s="37"/>
      <c r="EB36" s="39">
        <f>50-50</f>
        <v>0</v>
      </c>
      <c r="EC36" s="37"/>
      <c r="ED36" s="37"/>
      <c r="EE36" s="37"/>
      <c r="EF36" s="37"/>
      <c r="EG36" s="37"/>
      <c r="EH36" s="37"/>
      <c r="EI36" s="37"/>
      <c r="EJ36" s="37"/>
      <c r="EK36" s="39">
        <f>100-100</f>
        <v>0</v>
      </c>
      <c r="EL36" s="39">
        <f>100-100</f>
        <v>0</v>
      </c>
      <c r="EM36" s="49">
        <v>10</v>
      </c>
      <c r="EN36" s="37"/>
      <c r="EO36" s="39">
        <f>100-100</f>
        <v>0</v>
      </c>
      <c r="EP36" s="49">
        <v>40</v>
      </c>
      <c r="EQ36" s="37"/>
      <c r="ER36" s="37"/>
      <c r="ES36" s="37"/>
      <c r="ET36" s="37"/>
      <c r="EU36" s="37"/>
      <c r="EV36" s="37"/>
      <c r="EW36" s="39">
        <f>50-50</f>
        <v>0</v>
      </c>
      <c r="EX36" s="37"/>
      <c r="EY36" s="37"/>
      <c r="EZ36" s="37"/>
      <c r="FA36" s="37"/>
      <c r="FB36" s="39">
        <f>5-5</f>
        <v>0</v>
      </c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42"/>
      <c r="GD36" s="43" t="s">
        <v>521</v>
      </c>
      <c r="GE36" s="44" t="s">
        <v>522</v>
      </c>
      <c r="GF36" s="44"/>
      <c r="GG36" s="44" t="s">
        <v>565</v>
      </c>
      <c r="GH36" s="45">
        <f t="shared" si="0"/>
        <v>92</v>
      </c>
      <c r="GI36" s="40" t="s">
        <v>563</v>
      </c>
    </row>
    <row r="37" spans="1:191" s="40" customFormat="1">
      <c r="A37" s="35" t="s">
        <v>517</v>
      </c>
      <c r="B37" s="35" t="s">
        <v>517</v>
      </c>
      <c r="C37" s="35" t="s">
        <v>555</v>
      </c>
      <c r="D37" s="35" t="s">
        <v>4</v>
      </c>
      <c r="E37" s="36" t="s">
        <v>564</v>
      </c>
      <c r="F37" s="35" t="s">
        <v>520</v>
      </c>
      <c r="G37" s="35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49">
        <v>5</v>
      </c>
      <c r="Z37" s="39">
        <f>5-5</f>
        <v>0</v>
      </c>
      <c r="AA37" s="39">
        <f>5-5</f>
        <v>0</v>
      </c>
      <c r="AB37" s="37"/>
      <c r="AC37" s="39">
        <f>10-10</f>
        <v>0</v>
      </c>
      <c r="AD37" s="39">
        <f>10-10</f>
        <v>0</v>
      </c>
      <c r="AE37" s="39">
        <f>10-10</f>
        <v>0</v>
      </c>
      <c r="AF37" s="39">
        <f>10-10</f>
        <v>0</v>
      </c>
      <c r="AG37" s="39">
        <f>10-10</f>
        <v>0</v>
      </c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9">
        <f>5-5+5</f>
        <v>5</v>
      </c>
      <c r="AX37" s="39">
        <f>5-5</f>
        <v>0</v>
      </c>
      <c r="AY37" s="37"/>
      <c r="AZ37" s="39">
        <f>5-5+5</f>
        <v>5</v>
      </c>
      <c r="BA37" s="39">
        <f>5-5+5</f>
        <v>5</v>
      </c>
      <c r="BB37" s="39">
        <f>5-5</f>
        <v>0</v>
      </c>
      <c r="BC37" s="39">
        <f>5-5</f>
        <v>0</v>
      </c>
      <c r="BD37" s="37"/>
      <c r="BE37" s="37"/>
      <c r="BF37" s="37"/>
      <c r="BG37" s="37"/>
      <c r="BH37" s="37"/>
      <c r="BI37" s="37"/>
      <c r="BJ37" s="37"/>
      <c r="BK37" s="39">
        <f>10-10+5</f>
        <v>5</v>
      </c>
      <c r="BL37" s="39">
        <f>10-10+5</f>
        <v>5</v>
      </c>
      <c r="BM37" s="39">
        <f>10-10+10</f>
        <v>10</v>
      </c>
      <c r="BN37" s="39">
        <f>10-10+10</f>
        <v>10</v>
      </c>
      <c r="BO37" s="39">
        <f t="shared" ref="BO37:BP37" si="2">10-10</f>
        <v>0</v>
      </c>
      <c r="BP37" s="39">
        <f t="shared" si="2"/>
        <v>0</v>
      </c>
      <c r="BQ37" s="37"/>
      <c r="BR37" s="37"/>
      <c r="BS37" s="37"/>
      <c r="BT37" s="37"/>
      <c r="BU37" s="37"/>
      <c r="BV37" s="37"/>
      <c r="BW37" s="37"/>
      <c r="BX37" s="37"/>
      <c r="BY37" s="39">
        <f>10-10+5</f>
        <v>5</v>
      </c>
      <c r="BZ37" s="37"/>
      <c r="CA37" s="39">
        <f>10-10</f>
        <v>0</v>
      </c>
      <c r="CB37" s="37"/>
      <c r="CC37" s="37"/>
      <c r="CD37" s="37"/>
      <c r="CE37" s="39">
        <f>10-10+5</f>
        <v>5</v>
      </c>
      <c r="CF37" s="39">
        <f>10-10</f>
        <v>0</v>
      </c>
      <c r="CG37" s="39">
        <f>10-10</f>
        <v>0</v>
      </c>
      <c r="CH37" s="39">
        <f>10-10</f>
        <v>0</v>
      </c>
      <c r="CI37" s="37"/>
      <c r="CJ37" s="39">
        <f>5-5+5</f>
        <v>5</v>
      </c>
      <c r="CK37" s="37"/>
      <c r="CL37" s="39">
        <f>10-10+5</f>
        <v>5</v>
      </c>
      <c r="CM37" s="39">
        <f>10-10+2</f>
        <v>2</v>
      </c>
      <c r="CN37" s="39">
        <f>10-10+1</f>
        <v>1</v>
      </c>
      <c r="CO37" s="39">
        <f t="shared" ref="CO37:CP37" si="3">10-10</f>
        <v>0</v>
      </c>
      <c r="CP37" s="39">
        <f t="shared" si="3"/>
        <v>0</v>
      </c>
      <c r="CQ37" s="39">
        <f>10-10+5</f>
        <v>5</v>
      </c>
      <c r="CR37" s="37"/>
      <c r="CS37" s="39">
        <f>10-10+10</f>
        <v>10</v>
      </c>
      <c r="CT37" s="37"/>
      <c r="CU37" s="39">
        <f>1-1</f>
        <v>0</v>
      </c>
      <c r="CV37" s="39">
        <f>1-1</f>
        <v>0</v>
      </c>
      <c r="CW37" s="39">
        <f>10-10</f>
        <v>0</v>
      </c>
      <c r="CX37" s="37"/>
      <c r="CY37" s="37"/>
      <c r="CZ37" s="39">
        <f>20-20+20</f>
        <v>20</v>
      </c>
      <c r="DA37" s="49">
        <v>20</v>
      </c>
      <c r="DB37" s="39">
        <f>20-20+20</f>
        <v>20</v>
      </c>
      <c r="DC37" s="37"/>
      <c r="DD37" s="39">
        <f>20-20</f>
        <v>0</v>
      </c>
      <c r="DE37" s="49">
        <v>20</v>
      </c>
      <c r="DF37" s="37"/>
      <c r="DG37" s="37"/>
      <c r="DH37" s="37"/>
      <c r="DI37" s="39">
        <f>20-20</f>
        <v>0</v>
      </c>
      <c r="DJ37" s="39">
        <f>20-20+10</f>
        <v>10</v>
      </c>
      <c r="DK37" s="37"/>
      <c r="DL37" s="39">
        <f>20-20+10</f>
        <v>10</v>
      </c>
      <c r="DM37" s="39">
        <f>20-20</f>
        <v>0</v>
      </c>
      <c r="DN37" s="37"/>
      <c r="DO37" s="39">
        <f>20-20</f>
        <v>0</v>
      </c>
      <c r="DP37" s="39">
        <f>20-20</f>
        <v>0</v>
      </c>
      <c r="DQ37" s="39">
        <f>20-20</f>
        <v>0</v>
      </c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9">
        <f>50-50</f>
        <v>0</v>
      </c>
      <c r="EF37" s="37"/>
      <c r="EG37" s="37"/>
      <c r="EH37" s="37"/>
      <c r="EI37" s="37"/>
      <c r="EJ37" s="37"/>
      <c r="EK37" s="37"/>
      <c r="EL37" s="37"/>
      <c r="EM37" s="39">
        <f>50-50</f>
        <v>0</v>
      </c>
      <c r="EN37" s="39">
        <f>50-50</f>
        <v>0</v>
      </c>
      <c r="EO37" s="49">
        <v>10</v>
      </c>
      <c r="EP37" s="39">
        <f>100-100</f>
        <v>0</v>
      </c>
      <c r="EQ37" s="39">
        <f>100-100</f>
        <v>0</v>
      </c>
      <c r="ER37" s="37"/>
      <c r="ES37" s="39">
        <f>100-100</f>
        <v>0</v>
      </c>
      <c r="ET37" s="39">
        <f>50-50</f>
        <v>0</v>
      </c>
      <c r="EU37" s="39">
        <f>50-50</f>
        <v>0</v>
      </c>
      <c r="EV37" s="37"/>
      <c r="EW37" s="37"/>
      <c r="EX37" s="39">
        <f>50-50</f>
        <v>0</v>
      </c>
      <c r="EY37" s="39">
        <f>50-50+20</f>
        <v>20</v>
      </c>
      <c r="EZ37" s="37"/>
      <c r="FA37" s="37"/>
      <c r="FB37" s="37"/>
      <c r="FC37" s="37"/>
      <c r="FD37" s="37"/>
      <c r="FE37" s="37"/>
      <c r="FF37" s="39">
        <f>100-100+20</f>
        <v>20</v>
      </c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42"/>
      <c r="GD37" s="43" t="s">
        <v>521</v>
      </c>
      <c r="GE37" s="44" t="s">
        <v>522</v>
      </c>
      <c r="GF37" s="44"/>
      <c r="GG37" s="44" t="s">
        <v>565</v>
      </c>
      <c r="GH37" s="45">
        <f t="shared" si="0"/>
        <v>238</v>
      </c>
      <c r="GI37" s="40" t="s">
        <v>563</v>
      </c>
    </row>
    <row r="38" spans="1:191" s="40" customFormat="1" ht="10.5">
      <c r="A38" s="35" t="s">
        <v>517</v>
      </c>
      <c r="B38" s="35" t="s">
        <v>517</v>
      </c>
      <c r="C38" s="35" t="s">
        <v>555</v>
      </c>
      <c r="D38" s="35" t="s">
        <v>3</v>
      </c>
      <c r="E38" s="36" t="s">
        <v>564</v>
      </c>
      <c r="F38" s="35" t="s">
        <v>520</v>
      </c>
      <c r="G38" s="35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9">
        <f>5-5</f>
        <v>0</v>
      </c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50">
        <v>10</v>
      </c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9">
        <f>20-20</f>
        <v>0</v>
      </c>
      <c r="DB38" s="37"/>
      <c r="DC38" s="37"/>
      <c r="DD38" s="37"/>
      <c r="DE38" s="39">
        <f>20-20</f>
        <v>0</v>
      </c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9">
        <f>50-50</f>
        <v>0</v>
      </c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42"/>
      <c r="GD38" s="43" t="s">
        <v>521</v>
      </c>
      <c r="GE38" s="44" t="s">
        <v>522</v>
      </c>
      <c r="GF38" s="44"/>
      <c r="GG38" s="44" t="s">
        <v>565</v>
      </c>
      <c r="GH38" s="45">
        <f t="shared" si="0"/>
        <v>10</v>
      </c>
      <c r="GI38" s="40" t="s">
        <v>563</v>
      </c>
    </row>
    <row r="39" spans="1:191" s="40" customFormat="1">
      <c r="A39" s="35" t="s">
        <v>526</v>
      </c>
      <c r="B39" s="35" t="s">
        <v>517</v>
      </c>
      <c r="C39" s="35" t="s">
        <v>555</v>
      </c>
      <c r="D39" s="35" t="s">
        <v>4</v>
      </c>
      <c r="E39" s="36" t="s">
        <v>566</v>
      </c>
      <c r="F39" s="35" t="s">
        <v>520</v>
      </c>
      <c r="G39" s="35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9">
        <f>10-10</f>
        <v>0</v>
      </c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9">
        <f>10-10</f>
        <v>0</v>
      </c>
      <c r="CB39" s="37"/>
      <c r="CC39" s="37"/>
      <c r="CD39" s="37"/>
      <c r="CE39" s="37"/>
      <c r="CF39" s="37"/>
      <c r="CG39" s="37"/>
      <c r="CH39" s="39">
        <f>10-10</f>
        <v>0</v>
      </c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9">
        <f>20-20</f>
        <v>0</v>
      </c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9">
        <f>10-10</f>
        <v>0</v>
      </c>
      <c r="DJ39" s="37"/>
      <c r="DK39" s="37"/>
      <c r="DL39" s="37"/>
      <c r="DM39" s="37"/>
      <c r="DN39" s="37"/>
      <c r="DO39" s="37"/>
      <c r="DP39" s="37"/>
      <c r="DQ39" s="39">
        <f>50-50</f>
        <v>0</v>
      </c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9">
        <f>20-20</f>
        <v>0</v>
      </c>
      <c r="EK39" s="37"/>
      <c r="EL39" s="37"/>
      <c r="EM39" s="37"/>
      <c r="EN39" s="37"/>
      <c r="EO39" s="37"/>
      <c r="EP39" s="37"/>
      <c r="EQ39" s="39">
        <f>20-20</f>
        <v>0</v>
      </c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42"/>
      <c r="GD39" s="43" t="s">
        <v>521</v>
      </c>
      <c r="GE39" s="44" t="s">
        <v>522</v>
      </c>
      <c r="GF39" s="44"/>
      <c r="GG39" s="44" t="s">
        <v>567</v>
      </c>
      <c r="GH39" s="45">
        <f t="shared" ref="GH39:GH90" si="4">SUM(H39:GB39)</f>
        <v>0</v>
      </c>
      <c r="GI39" s="40" t="s">
        <v>563</v>
      </c>
    </row>
    <row r="40" spans="1:191" s="40" customFormat="1" ht="10.5">
      <c r="A40" s="35"/>
      <c r="B40" s="35"/>
      <c r="C40" s="35"/>
      <c r="D40" s="35" t="s">
        <v>3</v>
      </c>
      <c r="E40" s="36" t="s">
        <v>566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50">
        <v>10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43"/>
      <c r="GE40" s="44"/>
      <c r="GF40" s="44"/>
      <c r="GG40" s="44"/>
      <c r="GH40" s="45"/>
    </row>
    <row r="41" spans="1:191" s="40" customFormat="1">
      <c r="A41" s="35" t="s">
        <v>526</v>
      </c>
      <c r="B41" s="35" t="s">
        <v>517</v>
      </c>
      <c r="C41" s="35" t="s">
        <v>555</v>
      </c>
      <c r="D41" s="35" t="s">
        <v>8</v>
      </c>
      <c r="E41" s="36" t="s">
        <v>568</v>
      </c>
      <c r="F41" s="35" t="s">
        <v>520</v>
      </c>
      <c r="G41" s="35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9">
        <f>20-20</f>
        <v>0</v>
      </c>
      <c r="DV41" s="37"/>
      <c r="DW41" s="37"/>
      <c r="DX41" s="39">
        <f>20-20</f>
        <v>0</v>
      </c>
      <c r="DY41" s="39">
        <f>20-20</f>
        <v>0</v>
      </c>
      <c r="DZ41" s="37"/>
      <c r="EA41" s="37"/>
      <c r="EB41" s="39">
        <f>50-50</f>
        <v>0</v>
      </c>
      <c r="EC41" s="37"/>
      <c r="ED41" s="37"/>
      <c r="EE41" s="37"/>
      <c r="EF41" s="37"/>
      <c r="EG41" s="37"/>
      <c r="EH41" s="37"/>
      <c r="EI41" s="37"/>
      <c r="EJ41" s="37"/>
      <c r="EK41" s="39">
        <f>50-50</f>
        <v>0</v>
      </c>
      <c r="EL41" s="39">
        <f>50-50</f>
        <v>0</v>
      </c>
      <c r="EM41" s="49">
        <v>10</v>
      </c>
      <c r="EN41" s="37"/>
      <c r="EO41" s="37"/>
      <c r="EP41" s="49">
        <v>40</v>
      </c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42"/>
      <c r="GD41" s="43" t="s">
        <v>521</v>
      </c>
      <c r="GE41" s="44" t="s">
        <v>522</v>
      </c>
      <c r="GF41" s="44"/>
      <c r="GG41" s="44" t="s">
        <v>565</v>
      </c>
      <c r="GH41" s="45">
        <f t="shared" si="4"/>
        <v>50</v>
      </c>
      <c r="GI41" s="40" t="s">
        <v>563</v>
      </c>
    </row>
    <row r="42" spans="1:191" s="40" customFormat="1">
      <c r="A42" s="35" t="s">
        <v>526</v>
      </c>
      <c r="B42" s="35" t="s">
        <v>517</v>
      </c>
      <c r="C42" s="35" t="s">
        <v>555</v>
      </c>
      <c r="D42" s="35" t="s">
        <v>4</v>
      </c>
      <c r="E42" s="36" t="s">
        <v>568</v>
      </c>
      <c r="F42" s="35" t="s">
        <v>520</v>
      </c>
      <c r="G42" s="35"/>
      <c r="H42" s="37"/>
      <c r="I42" s="37"/>
      <c r="J42" s="37"/>
      <c r="K42" s="37"/>
      <c r="L42" s="37"/>
      <c r="M42" s="37"/>
      <c r="N42" s="39">
        <f>10-10</f>
        <v>0</v>
      </c>
      <c r="O42" s="37"/>
      <c r="P42" s="37"/>
      <c r="Q42" s="37"/>
      <c r="R42" s="39">
        <f>10-10</f>
        <v>0</v>
      </c>
      <c r="S42" s="39">
        <f>10-10+5</f>
        <v>5</v>
      </c>
      <c r="T42" s="37"/>
      <c r="U42" s="37"/>
      <c r="V42" s="37"/>
      <c r="W42" s="39">
        <f>30-30+10</f>
        <v>10</v>
      </c>
      <c r="X42" s="37"/>
      <c r="Y42" s="37"/>
      <c r="Z42" s="37"/>
      <c r="AA42" s="37"/>
      <c r="AB42" s="37"/>
      <c r="AC42" s="39">
        <f>10-10+2</f>
        <v>2</v>
      </c>
      <c r="AD42" s="39">
        <f>20-20</f>
        <v>0</v>
      </c>
      <c r="AE42" s="37"/>
      <c r="AF42" s="37"/>
      <c r="AG42" s="37"/>
      <c r="AH42" s="39">
        <f>20-20</f>
        <v>0</v>
      </c>
      <c r="AI42" s="39">
        <f>20-20+10</f>
        <v>10</v>
      </c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9">
        <f>10-10+5</f>
        <v>5</v>
      </c>
      <c r="CM42" s="39">
        <f>10-10+5</f>
        <v>5</v>
      </c>
      <c r="CN42" s="39">
        <f>5-5+2</f>
        <v>2</v>
      </c>
      <c r="CO42" s="39">
        <f>5-5</f>
        <v>0</v>
      </c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9">
        <f>20-20</f>
        <v>0</v>
      </c>
      <c r="DX42" s="37"/>
      <c r="DY42" s="37"/>
      <c r="DZ42" s="37"/>
      <c r="EA42" s="37"/>
      <c r="EB42" s="37"/>
      <c r="EC42" s="39">
        <f>50-50</f>
        <v>0</v>
      </c>
      <c r="ED42" s="37"/>
      <c r="EE42" s="37"/>
      <c r="EF42" s="37"/>
      <c r="EG42" s="37"/>
      <c r="EH42" s="37"/>
      <c r="EI42" s="37"/>
      <c r="EJ42" s="37"/>
      <c r="EK42" s="37"/>
      <c r="EL42" s="37"/>
      <c r="EM42" s="39">
        <f>50-50</f>
        <v>0</v>
      </c>
      <c r="EN42" s="39">
        <f>50-50</f>
        <v>0</v>
      </c>
      <c r="EO42" s="37"/>
      <c r="EP42" s="39">
        <f>50-50</f>
        <v>0</v>
      </c>
      <c r="EQ42" s="37"/>
      <c r="ER42" s="37"/>
      <c r="ES42" s="39">
        <f>50-50</f>
        <v>0</v>
      </c>
      <c r="ET42" s="37"/>
      <c r="EU42" s="37"/>
      <c r="EV42" s="37"/>
      <c r="EW42" s="37"/>
      <c r="EX42" s="39">
        <f>50-50</f>
        <v>0</v>
      </c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42"/>
      <c r="GD42" s="43" t="s">
        <v>521</v>
      </c>
      <c r="GE42" s="44" t="s">
        <v>522</v>
      </c>
      <c r="GF42" s="44"/>
      <c r="GG42" s="44" t="s">
        <v>565</v>
      </c>
      <c r="GH42" s="45">
        <f t="shared" si="4"/>
        <v>39</v>
      </c>
      <c r="GI42" s="40" t="s">
        <v>563</v>
      </c>
    </row>
    <row r="43" spans="1:191" s="37" customFormat="1">
      <c r="D43" s="35" t="s">
        <v>8</v>
      </c>
      <c r="E43" s="36" t="s">
        <v>569</v>
      </c>
      <c r="DM43" s="49">
        <v>20</v>
      </c>
      <c r="DP43" s="49">
        <v>20</v>
      </c>
    </row>
    <row r="44" spans="1:191" s="40" customFormat="1">
      <c r="A44" s="35" t="s">
        <v>526</v>
      </c>
      <c r="B44" s="35" t="s">
        <v>517</v>
      </c>
      <c r="C44" s="35" t="s">
        <v>555</v>
      </c>
      <c r="D44" s="35" t="s">
        <v>4</v>
      </c>
      <c r="E44" s="36" t="s">
        <v>569</v>
      </c>
      <c r="F44" s="35" t="s">
        <v>520</v>
      </c>
      <c r="G44" s="35" t="s">
        <v>570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9">
        <f>10-10+5</f>
        <v>5</v>
      </c>
      <c r="BM44" s="37"/>
      <c r="BN44" s="39">
        <f>10-10+5</f>
        <v>5</v>
      </c>
      <c r="BO44" s="37"/>
      <c r="BP44" s="39">
        <f>10-10</f>
        <v>0</v>
      </c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9">
        <f>20-20</f>
        <v>0</v>
      </c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9">
        <f>20-20+5</f>
        <v>5</v>
      </c>
      <c r="CM44" s="39">
        <f>20-20+10</f>
        <v>10</v>
      </c>
      <c r="CN44" s="39">
        <f>5-5+2</f>
        <v>2</v>
      </c>
      <c r="CO44" s="37"/>
      <c r="CP44" s="37"/>
      <c r="CQ44" s="39">
        <f>20-20+10</f>
        <v>10</v>
      </c>
      <c r="CR44" s="37"/>
      <c r="CS44" s="39">
        <f>20-20+10</f>
        <v>10</v>
      </c>
      <c r="CT44" s="37"/>
      <c r="CU44" s="39">
        <f>10-10</f>
        <v>0</v>
      </c>
      <c r="CV44" s="39">
        <f>20-20+10</f>
        <v>10</v>
      </c>
      <c r="CW44" s="37"/>
      <c r="CX44" s="37"/>
      <c r="CY44" s="39">
        <f>20-20+1</f>
        <v>1</v>
      </c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9">
        <f>30-30+20</f>
        <v>20</v>
      </c>
      <c r="DM44" s="39">
        <f>30-30</f>
        <v>0</v>
      </c>
      <c r="DN44" s="37"/>
      <c r="DO44" s="37"/>
      <c r="DP44" s="39">
        <f>20-20</f>
        <v>0</v>
      </c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9">
        <f>50-50</f>
        <v>0</v>
      </c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42"/>
      <c r="GD44" s="43" t="s">
        <v>521</v>
      </c>
      <c r="GE44" s="44" t="s">
        <v>522</v>
      </c>
      <c r="GF44" s="44" t="s">
        <v>571</v>
      </c>
      <c r="GG44" s="44" t="s">
        <v>572</v>
      </c>
      <c r="GH44" s="45">
        <f>SUM(H44:GB44)</f>
        <v>78</v>
      </c>
      <c r="GI44" s="40" t="s">
        <v>573</v>
      </c>
    </row>
    <row r="45" spans="1:191" s="40" customFormat="1">
      <c r="A45" s="35" t="s">
        <v>540</v>
      </c>
      <c r="B45" s="35" t="s">
        <v>517</v>
      </c>
      <c r="C45" s="35" t="s">
        <v>555</v>
      </c>
      <c r="D45" s="35" t="s">
        <v>8</v>
      </c>
      <c r="E45" s="36" t="s">
        <v>574</v>
      </c>
      <c r="F45" s="35" t="s">
        <v>520</v>
      </c>
      <c r="G45" s="35" t="s">
        <v>575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9">
        <f>50-50</f>
        <v>0</v>
      </c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42"/>
      <c r="GD45" s="43" t="s">
        <v>521</v>
      </c>
      <c r="GE45" s="44" t="s">
        <v>522</v>
      </c>
      <c r="GF45" s="44" t="s">
        <v>576</v>
      </c>
      <c r="GG45" s="44" t="s">
        <v>577</v>
      </c>
      <c r="GH45" s="45">
        <f t="shared" si="4"/>
        <v>0</v>
      </c>
      <c r="GI45" s="40" t="s">
        <v>560</v>
      </c>
    </row>
    <row r="46" spans="1:191" s="40" customFormat="1">
      <c r="A46" s="35" t="s">
        <v>540</v>
      </c>
      <c r="B46" s="35" t="s">
        <v>517</v>
      </c>
      <c r="C46" s="35" t="s">
        <v>555</v>
      </c>
      <c r="D46" s="35" t="s">
        <v>4</v>
      </c>
      <c r="E46" s="36" t="s">
        <v>574</v>
      </c>
      <c r="F46" s="35" t="s">
        <v>520</v>
      </c>
      <c r="G46" s="35" t="s">
        <v>575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9">
        <f>10-10</f>
        <v>0</v>
      </c>
      <c r="DH46" s="37"/>
      <c r="DI46" s="37"/>
      <c r="DJ46" s="39">
        <f>10-10+10</f>
        <v>10</v>
      </c>
      <c r="DK46" s="37"/>
      <c r="DL46" s="39">
        <f>30-30+20</f>
        <v>20</v>
      </c>
      <c r="DM46" s="39">
        <f>40-40</f>
        <v>0</v>
      </c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9">
        <f>20-20</f>
        <v>0</v>
      </c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42"/>
      <c r="GD46" s="43" t="s">
        <v>521</v>
      </c>
      <c r="GE46" s="44" t="s">
        <v>522</v>
      </c>
      <c r="GF46" s="44" t="s">
        <v>576</v>
      </c>
      <c r="GG46" s="44" t="s">
        <v>577</v>
      </c>
      <c r="GH46" s="45">
        <f t="shared" si="4"/>
        <v>30</v>
      </c>
      <c r="GI46" s="40" t="s">
        <v>560</v>
      </c>
    </row>
    <row r="47" spans="1:191" s="40" customFormat="1">
      <c r="A47" s="35" t="s">
        <v>526</v>
      </c>
      <c r="B47" s="35" t="s">
        <v>517</v>
      </c>
      <c r="C47" s="35" t="s">
        <v>555</v>
      </c>
      <c r="D47" s="35" t="s">
        <v>8</v>
      </c>
      <c r="E47" s="36" t="s">
        <v>578</v>
      </c>
      <c r="F47" s="35" t="s">
        <v>520</v>
      </c>
      <c r="G47" s="35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49">
        <v>200</v>
      </c>
      <c r="DN47" s="37"/>
      <c r="DO47" s="37"/>
      <c r="DP47" s="49">
        <v>100</v>
      </c>
      <c r="DQ47" s="37"/>
      <c r="DR47" s="37"/>
      <c r="DS47" s="37"/>
      <c r="DT47" s="37"/>
      <c r="DU47" s="39">
        <f>200-200</f>
        <v>0</v>
      </c>
      <c r="DV47" s="37"/>
      <c r="DW47" s="37"/>
      <c r="DX47" s="39">
        <f>880-880</f>
        <v>0</v>
      </c>
      <c r="DY47" s="37"/>
      <c r="DZ47" s="37"/>
      <c r="EA47" s="39">
        <f>1960-1960+28</f>
        <v>28</v>
      </c>
      <c r="EB47" s="37"/>
      <c r="EC47" s="37"/>
      <c r="ED47" s="37"/>
      <c r="EE47" s="37"/>
      <c r="EF47" s="37"/>
      <c r="EG47" s="37"/>
      <c r="EH47" s="37"/>
      <c r="EI47" s="39">
        <f>2000-2000</f>
        <v>0</v>
      </c>
      <c r="EJ47" s="37"/>
      <c r="EK47" s="39">
        <f>1820-1820</f>
        <v>0</v>
      </c>
      <c r="EL47" s="39">
        <f>1850-1850</f>
        <v>0</v>
      </c>
      <c r="EM47" s="37"/>
      <c r="EN47" s="37"/>
      <c r="EO47" s="39">
        <f>1670-1670</f>
        <v>0</v>
      </c>
      <c r="EP47" s="49">
        <v>710</v>
      </c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9">
        <f>1997-1997</f>
        <v>0</v>
      </c>
      <c r="FC47" s="37"/>
      <c r="FD47" s="39">
        <f>2000-2000+40</f>
        <v>40</v>
      </c>
      <c r="FE47" s="39">
        <f>2000-2000</f>
        <v>0</v>
      </c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42"/>
      <c r="GD47" s="43" t="s">
        <v>521</v>
      </c>
      <c r="GE47" s="44" t="s">
        <v>522</v>
      </c>
      <c r="GF47" s="44"/>
      <c r="GG47" s="44" t="s">
        <v>579</v>
      </c>
      <c r="GH47" s="45">
        <f t="shared" si="4"/>
        <v>1078</v>
      </c>
      <c r="GI47" s="40" t="s">
        <v>580</v>
      </c>
    </row>
    <row r="48" spans="1:191" s="40" customFormat="1">
      <c r="A48" s="35" t="s">
        <v>526</v>
      </c>
      <c r="B48" s="35" t="s">
        <v>517</v>
      </c>
      <c r="C48" s="35" t="s">
        <v>555</v>
      </c>
      <c r="D48" s="35" t="s">
        <v>4</v>
      </c>
      <c r="E48" s="36" t="s">
        <v>578</v>
      </c>
      <c r="F48" s="35" t="s">
        <v>520</v>
      </c>
      <c r="G48" s="35"/>
      <c r="H48" s="37"/>
      <c r="I48" s="37"/>
      <c r="J48" s="39">
        <f>10-10</f>
        <v>0</v>
      </c>
      <c r="K48" s="39">
        <f>30-30</f>
        <v>0</v>
      </c>
      <c r="L48" s="37"/>
      <c r="M48" s="39">
        <f>295-295</f>
        <v>0</v>
      </c>
      <c r="N48" s="39">
        <f>285-285</f>
        <v>0</v>
      </c>
      <c r="O48" s="39">
        <f>278-278+15</f>
        <v>15</v>
      </c>
      <c r="P48" s="37"/>
      <c r="Q48" s="37"/>
      <c r="R48" s="39">
        <f>274-274</f>
        <v>0</v>
      </c>
      <c r="S48" s="39">
        <f>270-270+10</f>
        <v>10</v>
      </c>
      <c r="T48" s="49">
        <v>10</v>
      </c>
      <c r="U48" s="37"/>
      <c r="V48" s="39">
        <f>910-910+15</f>
        <v>15</v>
      </c>
      <c r="W48" s="39">
        <f>780-780+20</f>
        <v>20</v>
      </c>
      <c r="X48" s="39">
        <f>965-965</f>
        <v>0</v>
      </c>
      <c r="Y48" s="49">
        <v>30</v>
      </c>
      <c r="Z48" s="39">
        <f>1950-1950</f>
        <v>0</v>
      </c>
      <c r="AA48" s="39">
        <f>1940-1940+25</f>
        <v>25</v>
      </c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9">
        <f>1500-1500</f>
        <v>0</v>
      </c>
      <c r="AQ48" s="39">
        <f>1500-1500</f>
        <v>0</v>
      </c>
      <c r="AR48" s="37"/>
      <c r="AS48" s="37"/>
      <c r="AT48" s="37"/>
      <c r="AU48" s="39">
        <f>10-10</f>
        <v>0</v>
      </c>
      <c r="AV48" s="39">
        <f>4-4</f>
        <v>0</v>
      </c>
      <c r="AW48" s="39">
        <f>10-10+10</f>
        <v>10</v>
      </c>
      <c r="AX48" s="39">
        <f>25-25</f>
        <v>0</v>
      </c>
      <c r="AY48" s="37"/>
      <c r="AZ48" s="37"/>
      <c r="BA48" s="37"/>
      <c r="BB48" s="39">
        <f>23-23+5</f>
        <v>5</v>
      </c>
      <c r="BC48" s="39">
        <f>25-25</f>
        <v>0</v>
      </c>
      <c r="BD48" s="37"/>
      <c r="BE48" s="37"/>
      <c r="BF48" s="37"/>
      <c r="BG48" s="37"/>
      <c r="BH48" s="37"/>
      <c r="BI48" s="39">
        <f>42-42</f>
        <v>0</v>
      </c>
      <c r="BJ48" s="37"/>
      <c r="BK48" s="39">
        <f>170-170+15</f>
        <v>15</v>
      </c>
      <c r="BL48" s="39">
        <f>170-170+10</f>
        <v>10</v>
      </c>
      <c r="BM48" s="39">
        <f>30-30+30</f>
        <v>30</v>
      </c>
      <c r="BN48" s="39">
        <f>130-130+20</f>
        <v>20</v>
      </c>
      <c r="BO48" s="39">
        <f>200-200</f>
        <v>0</v>
      </c>
      <c r="BP48" s="39">
        <f>30-30</f>
        <v>0</v>
      </c>
      <c r="BQ48" s="37"/>
      <c r="BR48" s="37"/>
      <c r="BS48" s="37"/>
      <c r="BT48" s="37"/>
      <c r="BU48" s="37"/>
      <c r="BV48" s="37"/>
      <c r="BW48" s="39">
        <f>84-84</f>
        <v>0</v>
      </c>
      <c r="BX48" s="39">
        <f>80-80</f>
        <v>0</v>
      </c>
      <c r="BY48" s="39">
        <f>60-60+10</f>
        <v>10</v>
      </c>
      <c r="BZ48" s="37"/>
      <c r="CA48" s="39">
        <f>100-100</f>
        <v>0</v>
      </c>
      <c r="CB48" s="37"/>
      <c r="CC48" s="37"/>
      <c r="CD48" s="39">
        <f>148-148+10</f>
        <v>10</v>
      </c>
      <c r="CE48" s="49">
        <v>30</v>
      </c>
      <c r="CF48" s="39">
        <f>85-85</f>
        <v>0</v>
      </c>
      <c r="CG48" s="39">
        <f>140-140</f>
        <v>0</v>
      </c>
      <c r="CH48" s="39">
        <f>150-150</f>
        <v>0</v>
      </c>
      <c r="CI48" s="37"/>
      <c r="CJ48" s="37"/>
      <c r="CK48" s="37"/>
      <c r="CL48" s="39">
        <f>390-390+10</f>
        <v>10</v>
      </c>
      <c r="CM48" s="39">
        <f>430-430+10</f>
        <v>10</v>
      </c>
      <c r="CN48" s="39">
        <f>472-472+5</f>
        <v>5</v>
      </c>
      <c r="CO48" s="39">
        <f>500-500</f>
        <v>0</v>
      </c>
      <c r="CP48" s="39">
        <f>347-347+20</f>
        <v>20</v>
      </c>
      <c r="CQ48" s="39">
        <f>493-493+10</f>
        <v>10</v>
      </c>
      <c r="CR48" s="37"/>
      <c r="CS48" s="39">
        <f>620-620+175</f>
        <v>175</v>
      </c>
      <c r="CT48" s="37"/>
      <c r="CU48" s="39">
        <f>885-885</f>
        <v>0</v>
      </c>
      <c r="CV48" s="39">
        <f>945-945+10</f>
        <v>10</v>
      </c>
      <c r="CW48" s="39">
        <f>991-991</f>
        <v>0</v>
      </c>
      <c r="CX48" s="37"/>
      <c r="CY48" s="39">
        <f>1975-1975</f>
        <v>0</v>
      </c>
      <c r="CZ48" s="39">
        <f>1730-1730+150</f>
        <v>150</v>
      </c>
      <c r="DA48" s="49">
        <v>100</v>
      </c>
      <c r="DB48" s="39">
        <f>1516-1516+240</f>
        <v>240</v>
      </c>
      <c r="DC48" s="37"/>
      <c r="DD48" s="39">
        <f>1790-1790</f>
        <v>0</v>
      </c>
      <c r="DE48" s="49">
        <v>100</v>
      </c>
      <c r="DF48" s="37"/>
      <c r="DG48" s="39">
        <f>2000-2000</f>
        <v>0</v>
      </c>
      <c r="DH48" s="37"/>
      <c r="DI48" s="37"/>
      <c r="DJ48" s="39">
        <f>1952-1952+70</f>
        <v>70</v>
      </c>
      <c r="DK48" s="37"/>
      <c r="DL48" s="39">
        <f>1750-1750+80</f>
        <v>80</v>
      </c>
      <c r="DM48" s="39">
        <f>1020-1020</f>
        <v>0</v>
      </c>
      <c r="DN48" s="37"/>
      <c r="DO48" s="39">
        <f>1720-1720</f>
        <v>0</v>
      </c>
      <c r="DP48" s="39">
        <f>1500-1500</f>
        <v>0</v>
      </c>
      <c r="DQ48" s="39">
        <f>1983-1983+50</f>
        <v>50</v>
      </c>
      <c r="DR48" s="37"/>
      <c r="DS48" s="37"/>
      <c r="DT48" s="37"/>
      <c r="DU48" s="37"/>
      <c r="DV48" s="37"/>
      <c r="DW48" s="39">
        <f>91-91</f>
        <v>0</v>
      </c>
      <c r="DX48" s="37"/>
      <c r="DY48" s="37"/>
      <c r="DZ48" s="37"/>
      <c r="EA48" s="37"/>
      <c r="EB48" s="37"/>
      <c r="EC48" s="39">
        <f>1840-1840</f>
        <v>0</v>
      </c>
      <c r="ED48" s="39">
        <f>1980-1980</f>
        <v>0</v>
      </c>
      <c r="EE48" s="39">
        <f>1960-1960</f>
        <v>0</v>
      </c>
      <c r="EF48" s="39">
        <f>1800-1800</f>
        <v>0</v>
      </c>
      <c r="EG48" s="39">
        <f>1868-1868</f>
        <v>0</v>
      </c>
      <c r="EH48" s="39">
        <f>860-860+20</f>
        <v>20</v>
      </c>
      <c r="EI48" s="37"/>
      <c r="EJ48" s="39">
        <f>1957-1957</f>
        <v>0</v>
      </c>
      <c r="EK48" s="37"/>
      <c r="EL48" s="37"/>
      <c r="EM48" s="39">
        <f>2000-2000</f>
        <v>0</v>
      </c>
      <c r="EN48" s="37"/>
      <c r="EO48" s="49">
        <v>100</v>
      </c>
      <c r="EP48" s="39">
        <f>1110-1110</f>
        <v>0</v>
      </c>
      <c r="EQ48" s="39">
        <f>1740-1740</f>
        <v>0</v>
      </c>
      <c r="ER48" s="37"/>
      <c r="ES48" s="39">
        <f>1910-1910</f>
        <v>0</v>
      </c>
      <c r="ET48" s="39">
        <f>1990-1990</f>
        <v>0</v>
      </c>
      <c r="EU48" s="39">
        <f>1937-1937</f>
        <v>0</v>
      </c>
      <c r="EV48" s="37"/>
      <c r="EW48" s="37"/>
      <c r="EX48" s="39">
        <f>1940-1940</f>
        <v>0</v>
      </c>
      <c r="EY48" s="39">
        <f>1960-1960</f>
        <v>0</v>
      </c>
      <c r="EZ48" s="39">
        <f>1930-1930</f>
        <v>0</v>
      </c>
      <c r="FA48" s="39">
        <f>1997-1997</f>
        <v>0</v>
      </c>
      <c r="FB48" s="37"/>
      <c r="FC48" s="39">
        <f>1980-1980</f>
        <v>0</v>
      </c>
      <c r="FD48" s="37"/>
      <c r="FE48" s="37"/>
      <c r="FF48" s="39">
        <f>2000-2000</f>
        <v>0</v>
      </c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42"/>
      <c r="GD48" s="43" t="s">
        <v>521</v>
      </c>
      <c r="GE48" s="44" t="s">
        <v>522</v>
      </c>
      <c r="GF48" s="44"/>
      <c r="GG48" s="44" t="s">
        <v>579</v>
      </c>
      <c r="GH48" s="45">
        <f t="shared" si="4"/>
        <v>1415</v>
      </c>
      <c r="GI48" s="40" t="s">
        <v>580</v>
      </c>
    </row>
    <row r="49" spans="1:191" s="40" customFormat="1" ht="10.5">
      <c r="A49" s="35" t="s">
        <v>526</v>
      </c>
      <c r="B49" s="35" t="s">
        <v>517</v>
      </c>
      <c r="C49" s="35" t="s">
        <v>555</v>
      </c>
      <c r="D49" s="35" t="s">
        <v>3</v>
      </c>
      <c r="E49" s="36" t="s">
        <v>578</v>
      </c>
      <c r="F49" s="35" t="s">
        <v>520</v>
      </c>
      <c r="G49" s="35"/>
      <c r="H49" s="39">
        <f>30-30</f>
        <v>0</v>
      </c>
      <c r="I49" s="37"/>
      <c r="J49" s="37"/>
      <c r="K49" s="37"/>
      <c r="L49" s="39">
        <f>300-300</f>
        <v>0</v>
      </c>
      <c r="M49" s="37"/>
      <c r="N49" s="37"/>
      <c r="O49" s="37"/>
      <c r="P49" s="37"/>
      <c r="Q49" s="39">
        <f>300-300</f>
        <v>0</v>
      </c>
      <c r="R49" s="37"/>
      <c r="S49" s="37"/>
      <c r="T49" s="37"/>
      <c r="U49" s="39">
        <f>1000-1000</f>
        <v>0</v>
      </c>
      <c r="V49" s="37"/>
      <c r="W49" s="37"/>
      <c r="X49" s="37"/>
      <c r="Y49" s="39">
        <f>1930-1930</f>
        <v>0</v>
      </c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50">
        <v>10</v>
      </c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9">
        <f>1700-1700</f>
        <v>0</v>
      </c>
      <c r="DB49" s="37"/>
      <c r="DC49" s="37"/>
      <c r="DD49" s="37"/>
      <c r="DE49" s="39">
        <f>770-770</f>
        <v>0</v>
      </c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42"/>
      <c r="GD49" s="43" t="s">
        <v>521</v>
      </c>
      <c r="GE49" s="44" t="s">
        <v>522</v>
      </c>
      <c r="GF49" s="44"/>
      <c r="GG49" s="44" t="s">
        <v>579</v>
      </c>
      <c r="GH49" s="45">
        <f t="shared" si="4"/>
        <v>10</v>
      </c>
      <c r="GI49" s="40" t="s">
        <v>580</v>
      </c>
    </row>
    <row r="50" spans="1:191" s="40" customFormat="1">
      <c r="A50" s="35" t="s">
        <v>526</v>
      </c>
      <c r="B50" s="35" t="s">
        <v>517</v>
      </c>
      <c r="C50" s="35" t="s">
        <v>555</v>
      </c>
      <c r="D50" s="35" t="s">
        <v>8</v>
      </c>
      <c r="E50" s="36" t="s">
        <v>581</v>
      </c>
      <c r="F50" s="35" t="s">
        <v>520</v>
      </c>
      <c r="G50" s="35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9">
        <f>20-20</f>
        <v>0</v>
      </c>
      <c r="EC50" s="37"/>
      <c r="ED50" s="37"/>
      <c r="EE50" s="37"/>
      <c r="EF50" s="37"/>
      <c r="EG50" s="37"/>
      <c r="EH50" s="37"/>
      <c r="EI50" s="37"/>
      <c r="EJ50" s="37"/>
      <c r="EK50" s="39">
        <f>80-80</f>
        <v>0</v>
      </c>
      <c r="EL50" s="39">
        <f>50-50</f>
        <v>0</v>
      </c>
      <c r="EM50" s="37"/>
      <c r="EN50" s="37"/>
      <c r="EO50" s="37"/>
      <c r="EP50" s="49">
        <v>40</v>
      </c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9">
        <f>100-100</f>
        <v>0</v>
      </c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42"/>
      <c r="GD50" s="43" t="s">
        <v>521</v>
      </c>
      <c r="GE50" s="44" t="s">
        <v>522</v>
      </c>
      <c r="GF50" s="44"/>
      <c r="GG50" s="44" t="s">
        <v>562</v>
      </c>
      <c r="GH50" s="45">
        <f t="shared" si="4"/>
        <v>40</v>
      </c>
      <c r="GI50" s="40" t="s">
        <v>563</v>
      </c>
    </row>
    <row r="51" spans="1:191" s="40" customFormat="1">
      <c r="A51" s="35" t="s">
        <v>526</v>
      </c>
      <c r="B51" s="35" t="s">
        <v>517</v>
      </c>
      <c r="C51" s="35" t="s">
        <v>555</v>
      </c>
      <c r="D51" s="35" t="s">
        <v>4</v>
      </c>
      <c r="E51" s="36" t="s">
        <v>581</v>
      </c>
      <c r="F51" s="35" t="s">
        <v>520</v>
      </c>
      <c r="G51" s="35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9">
        <f>10-10+5</f>
        <v>5</v>
      </c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9">
        <f>150-150</f>
        <v>0</v>
      </c>
      <c r="ED51" s="37"/>
      <c r="EE51" s="37"/>
      <c r="EF51" s="37"/>
      <c r="EG51" s="37"/>
      <c r="EH51" s="39">
        <f>30-30+10</f>
        <v>10</v>
      </c>
      <c r="EI51" s="37"/>
      <c r="EJ51" s="37"/>
      <c r="EK51" s="37"/>
      <c r="EL51" s="37"/>
      <c r="EM51" s="37"/>
      <c r="EN51" s="39">
        <f>50-50</f>
        <v>0</v>
      </c>
      <c r="EO51" s="37"/>
      <c r="EP51" s="39">
        <f>50-50</f>
        <v>0</v>
      </c>
      <c r="EQ51" s="37"/>
      <c r="ER51" s="37"/>
      <c r="ES51" s="39">
        <f>30-30</f>
        <v>0</v>
      </c>
      <c r="ET51" s="39">
        <f>50-50</f>
        <v>0</v>
      </c>
      <c r="EU51" s="37"/>
      <c r="EV51" s="37"/>
      <c r="EW51" s="37"/>
      <c r="EX51" s="39">
        <f>100-100</f>
        <v>0</v>
      </c>
      <c r="EY51" s="37"/>
      <c r="EZ51" s="37"/>
      <c r="FA51" s="37"/>
      <c r="FB51" s="37"/>
      <c r="FC51" s="37"/>
      <c r="FD51" s="37"/>
      <c r="FE51" s="49">
        <v>20</v>
      </c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42"/>
      <c r="GD51" s="43" t="s">
        <v>521</v>
      </c>
      <c r="GE51" s="44" t="s">
        <v>522</v>
      </c>
      <c r="GF51" s="44"/>
      <c r="GG51" s="44" t="s">
        <v>562</v>
      </c>
      <c r="GH51" s="45">
        <f t="shared" si="4"/>
        <v>35</v>
      </c>
      <c r="GI51" s="40" t="s">
        <v>563</v>
      </c>
    </row>
    <row r="52" spans="1:191" s="40" customFormat="1">
      <c r="A52" s="35" t="s">
        <v>517</v>
      </c>
      <c r="B52" s="35" t="s">
        <v>517</v>
      </c>
      <c r="C52" s="35" t="s">
        <v>555</v>
      </c>
      <c r="D52" s="35" t="s">
        <v>8</v>
      </c>
      <c r="E52" s="36" t="s">
        <v>582</v>
      </c>
      <c r="F52" s="35" t="s">
        <v>520</v>
      </c>
      <c r="G52" s="35" t="s">
        <v>583</v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49">
        <v>40</v>
      </c>
      <c r="DN52" s="37"/>
      <c r="DO52" s="37"/>
      <c r="DP52" s="49">
        <v>20</v>
      </c>
      <c r="DQ52" s="37"/>
      <c r="DR52" s="37"/>
      <c r="DS52" s="37"/>
      <c r="DT52" s="37"/>
      <c r="DU52" s="37"/>
      <c r="DV52" s="37"/>
      <c r="DW52" s="37"/>
      <c r="DX52" s="39">
        <f>20-20</f>
        <v>0</v>
      </c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9">
        <f>20-20</f>
        <v>0</v>
      </c>
      <c r="EL52" s="39">
        <f>20-20</f>
        <v>0</v>
      </c>
      <c r="EM52" s="49">
        <v>10</v>
      </c>
      <c r="EN52" s="37"/>
      <c r="EO52" s="39">
        <f>60-60</f>
        <v>0</v>
      </c>
      <c r="EP52" s="49">
        <v>60</v>
      </c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9">
        <f>20-20</f>
        <v>0</v>
      </c>
      <c r="FE52" s="39">
        <f>20-20</f>
        <v>0</v>
      </c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42"/>
      <c r="GD52" s="43" t="s">
        <v>521</v>
      </c>
      <c r="GE52" s="44" t="s">
        <v>522</v>
      </c>
      <c r="GF52" s="44" t="s">
        <v>584</v>
      </c>
      <c r="GG52" s="44" t="s">
        <v>585</v>
      </c>
      <c r="GH52" s="45">
        <f t="shared" si="4"/>
        <v>130</v>
      </c>
      <c r="GI52" s="40" t="s">
        <v>560</v>
      </c>
    </row>
    <row r="53" spans="1:191" s="40" customFormat="1">
      <c r="A53" s="35" t="s">
        <v>517</v>
      </c>
      <c r="B53" s="35" t="s">
        <v>517</v>
      </c>
      <c r="C53" s="35" t="s">
        <v>555</v>
      </c>
      <c r="D53" s="35" t="s">
        <v>4</v>
      </c>
      <c r="E53" s="36" t="s">
        <v>582</v>
      </c>
      <c r="F53" s="35" t="s">
        <v>520</v>
      </c>
      <c r="G53" s="35" t="s">
        <v>583</v>
      </c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9">
        <f>10-10+5</f>
        <v>5</v>
      </c>
      <c r="BA53" s="39">
        <f>10-10+5</f>
        <v>5</v>
      </c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9">
        <f>5-5</f>
        <v>0</v>
      </c>
      <c r="BX53" s="37"/>
      <c r="BY53" s="37"/>
      <c r="BZ53" s="37"/>
      <c r="CA53" s="39">
        <f>40-40</f>
        <v>0</v>
      </c>
      <c r="CB53" s="37"/>
      <c r="CC53" s="37"/>
      <c r="CD53" s="37"/>
      <c r="CE53" s="39">
        <f>80-80+10</f>
        <v>10</v>
      </c>
      <c r="CF53" s="39">
        <f>30-30</f>
        <v>0</v>
      </c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9">
        <f>40-40+5</f>
        <v>5</v>
      </c>
      <c r="CR53" s="37"/>
      <c r="CS53" s="39">
        <f>40-40+20</f>
        <v>20</v>
      </c>
      <c r="CT53" s="37"/>
      <c r="CU53" s="37"/>
      <c r="CV53" s="37"/>
      <c r="CW53" s="37"/>
      <c r="CX53" s="37"/>
      <c r="CY53" s="39">
        <f>40-40</f>
        <v>0</v>
      </c>
      <c r="CZ53" s="37"/>
      <c r="DA53" s="37"/>
      <c r="DB53" s="39">
        <f>40-40+40</f>
        <v>40</v>
      </c>
      <c r="DC53" s="37"/>
      <c r="DD53" s="39">
        <f>40-40</f>
        <v>0</v>
      </c>
      <c r="DE53" s="37"/>
      <c r="DF53" s="37"/>
      <c r="DG53" s="37"/>
      <c r="DH53" s="39">
        <f>40-40</f>
        <v>0</v>
      </c>
      <c r="DI53" s="37"/>
      <c r="DJ53" s="37"/>
      <c r="DK53" s="37"/>
      <c r="DL53" s="39">
        <f>20-20+10</f>
        <v>10</v>
      </c>
      <c r="DM53" s="39">
        <f>40-40</f>
        <v>0</v>
      </c>
      <c r="DN53" s="37"/>
      <c r="DO53" s="39">
        <f>40-40</f>
        <v>0</v>
      </c>
      <c r="DP53" s="39">
        <f>40-40</f>
        <v>0</v>
      </c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9">
        <f>60-60</f>
        <v>0</v>
      </c>
      <c r="EN53" s="37"/>
      <c r="EO53" s="49">
        <v>20</v>
      </c>
      <c r="EP53" s="39">
        <f>60-60</f>
        <v>0</v>
      </c>
      <c r="EQ53" s="39">
        <f>100-100</f>
        <v>0</v>
      </c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49">
        <v>20</v>
      </c>
      <c r="FF53" s="39">
        <f>20-20+20</f>
        <v>20</v>
      </c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42"/>
      <c r="GD53" s="43" t="s">
        <v>521</v>
      </c>
      <c r="GE53" s="44" t="s">
        <v>522</v>
      </c>
      <c r="GF53" s="44" t="s">
        <v>584</v>
      </c>
      <c r="GG53" s="44" t="s">
        <v>585</v>
      </c>
      <c r="GH53" s="45">
        <f t="shared" si="4"/>
        <v>155</v>
      </c>
      <c r="GI53" s="40" t="s">
        <v>560</v>
      </c>
    </row>
    <row r="54" spans="1:191" s="40" customFormat="1">
      <c r="A54" s="35" t="s">
        <v>526</v>
      </c>
      <c r="B54" s="35" t="s">
        <v>517</v>
      </c>
      <c r="C54" s="35" t="s">
        <v>555</v>
      </c>
      <c r="D54" s="35" t="s">
        <v>8</v>
      </c>
      <c r="E54" s="36" t="s">
        <v>586</v>
      </c>
      <c r="F54" s="35" t="s">
        <v>520</v>
      </c>
      <c r="G54" s="35" t="s">
        <v>587</v>
      </c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49">
        <v>40</v>
      </c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9">
        <f>100-100</f>
        <v>0</v>
      </c>
      <c r="EL54" s="39">
        <f>100-100</f>
        <v>0</v>
      </c>
      <c r="EM54" s="37"/>
      <c r="EN54" s="37"/>
      <c r="EO54" s="39">
        <f>100-100</f>
        <v>0</v>
      </c>
      <c r="EP54" s="49">
        <v>100</v>
      </c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9">
        <f>100-100</f>
        <v>0</v>
      </c>
      <c r="FE54" s="39">
        <f>100-100</f>
        <v>0</v>
      </c>
      <c r="FF54" s="37"/>
      <c r="FG54" s="37"/>
      <c r="FH54" s="37"/>
      <c r="FI54" s="37"/>
      <c r="FJ54" s="37"/>
      <c r="FK54" s="37">
        <v>40</v>
      </c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  <c r="GA54" s="37"/>
      <c r="GB54" s="37"/>
      <c r="GC54" s="42"/>
      <c r="GD54" s="43" t="s">
        <v>521</v>
      </c>
      <c r="GE54" s="44" t="s">
        <v>522</v>
      </c>
      <c r="GF54" s="44"/>
      <c r="GG54" s="44" t="s">
        <v>579</v>
      </c>
      <c r="GH54" s="45">
        <f t="shared" si="4"/>
        <v>180</v>
      </c>
      <c r="GI54" s="40" t="s">
        <v>588</v>
      </c>
    </row>
    <row r="55" spans="1:191" s="40" customFormat="1">
      <c r="A55" s="35" t="s">
        <v>526</v>
      </c>
      <c r="B55" s="35" t="s">
        <v>517</v>
      </c>
      <c r="C55" s="35" t="s">
        <v>555</v>
      </c>
      <c r="D55" s="35" t="s">
        <v>4</v>
      </c>
      <c r="E55" s="36" t="s">
        <v>586</v>
      </c>
      <c r="F55" s="35" t="s">
        <v>520</v>
      </c>
      <c r="G55" s="35" t="s">
        <v>587</v>
      </c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9">
        <f>20-20+10</f>
        <v>10</v>
      </c>
      <c r="W55" s="39">
        <f>20-20+10</f>
        <v>10</v>
      </c>
      <c r="X55" s="39">
        <f>20-20</f>
        <v>0</v>
      </c>
      <c r="Y55" s="49">
        <v>10</v>
      </c>
      <c r="Z55" s="39">
        <f>20-20</f>
        <v>0</v>
      </c>
      <c r="AA55" s="39">
        <f>20-20+10</f>
        <v>10</v>
      </c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49">
        <v>10</v>
      </c>
      <c r="AX55" s="37"/>
      <c r="AY55" s="37"/>
      <c r="AZ55" s="49">
        <v>10</v>
      </c>
      <c r="BA55" s="49">
        <v>10</v>
      </c>
      <c r="BB55" s="37"/>
      <c r="BC55" s="37"/>
      <c r="BD55" s="37"/>
      <c r="BE55" s="37"/>
      <c r="BF55" s="37"/>
      <c r="BG55" s="37"/>
      <c r="BH55" s="37"/>
      <c r="BI55" s="37"/>
      <c r="BJ55" s="37"/>
      <c r="BK55" s="49">
        <v>4</v>
      </c>
      <c r="BL55" s="37"/>
      <c r="BM55" s="49">
        <v>25</v>
      </c>
      <c r="BN55" s="49">
        <v>10</v>
      </c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49">
        <v>10</v>
      </c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49">
        <v>10</v>
      </c>
      <c r="CR55" s="37"/>
      <c r="CS55" s="49">
        <v>40</v>
      </c>
      <c r="CT55" s="37"/>
      <c r="CU55" s="37"/>
      <c r="CV55" s="37"/>
      <c r="CW55" s="37"/>
      <c r="CX55" s="37"/>
      <c r="CY55" s="37"/>
      <c r="CZ55" s="49">
        <v>40</v>
      </c>
      <c r="DA55" s="37"/>
      <c r="DB55" s="49">
        <v>60</v>
      </c>
      <c r="DC55" s="37"/>
      <c r="DD55" s="37"/>
      <c r="DE55" s="49">
        <v>60</v>
      </c>
      <c r="DF55" s="37"/>
      <c r="DG55" s="37"/>
      <c r="DH55" s="37"/>
      <c r="DI55" s="37"/>
      <c r="DJ55" s="37"/>
      <c r="DK55" s="37"/>
      <c r="DL55" s="49">
        <v>20</v>
      </c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49">
        <v>40</v>
      </c>
      <c r="EP55" s="39">
        <f>100-100</f>
        <v>0</v>
      </c>
      <c r="EQ55" s="39">
        <f>100-100</f>
        <v>0</v>
      </c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49">
        <v>20</v>
      </c>
      <c r="FF55" s="39">
        <f>100-100+20</f>
        <v>20</v>
      </c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42"/>
      <c r="GD55" s="43" t="s">
        <v>521</v>
      </c>
      <c r="GE55" s="44" t="s">
        <v>522</v>
      </c>
      <c r="GF55" s="44"/>
      <c r="GG55" s="44" t="s">
        <v>579</v>
      </c>
      <c r="GH55" s="45">
        <f t="shared" si="4"/>
        <v>429</v>
      </c>
      <c r="GI55" s="40" t="s">
        <v>588</v>
      </c>
    </row>
    <row r="56" spans="1:191" s="40" customFormat="1" ht="10.5">
      <c r="A56" s="35" t="s">
        <v>526</v>
      </c>
      <c r="B56" s="35" t="s">
        <v>517</v>
      </c>
      <c r="C56" s="35" t="s">
        <v>555</v>
      </c>
      <c r="D56" s="35" t="s">
        <v>3</v>
      </c>
      <c r="E56" s="36" t="s">
        <v>586</v>
      </c>
      <c r="F56" s="35" t="s">
        <v>520</v>
      </c>
      <c r="G56" s="35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9">
        <f>20-20</f>
        <v>0</v>
      </c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9">
        <v>5</v>
      </c>
      <c r="BZ56" s="37"/>
      <c r="CA56" s="37"/>
      <c r="CB56" s="37"/>
      <c r="CC56" s="37"/>
      <c r="CD56" s="37"/>
      <c r="CE56" s="37"/>
      <c r="CF56" s="50">
        <v>5</v>
      </c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42"/>
      <c r="GD56" s="43" t="s">
        <v>521</v>
      </c>
      <c r="GE56" s="44" t="s">
        <v>522</v>
      </c>
      <c r="GF56" s="44"/>
      <c r="GG56" s="44" t="s">
        <v>579</v>
      </c>
      <c r="GH56" s="45">
        <f t="shared" si="4"/>
        <v>10</v>
      </c>
      <c r="GI56" s="40" t="s">
        <v>588</v>
      </c>
    </row>
    <row r="57" spans="1:191" s="40" customFormat="1">
      <c r="A57" s="35" t="s">
        <v>526</v>
      </c>
      <c r="B57" s="35" t="s">
        <v>517</v>
      </c>
      <c r="C57" s="35" t="s">
        <v>555</v>
      </c>
      <c r="D57" s="35" t="s">
        <v>8</v>
      </c>
      <c r="E57" s="36" t="s">
        <v>589</v>
      </c>
      <c r="F57" s="35" t="s">
        <v>520</v>
      </c>
      <c r="G57" s="35" t="s">
        <v>590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49">
        <v>20</v>
      </c>
      <c r="DN57" s="37"/>
      <c r="DO57" s="37"/>
      <c r="DP57" s="49">
        <v>20</v>
      </c>
      <c r="DQ57" s="37"/>
      <c r="DR57" s="37"/>
      <c r="DS57" s="37"/>
      <c r="DT57" s="37"/>
      <c r="DU57" s="39">
        <f>20-20</f>
        <v>0</v>
      </c>
      <c r="DV57" s="37"/>
      <c r="DW57" s="37"/>
      <c r="DX57" s="39">
        <f>0-0</f>
        <v>0</v>
      </c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9">
        <f>0-0</f>
        <v>0</v>
      </c>
      <c r="EL57" s="39">
        <f>20-20</f>
        <v>0</v>
      </c>
      <c r="EM57" s="37"/>
      <c r="EN57" s="37"/>
      <c r="EO57" s="39">
        <f>0-0</f>
        <v>0</v>
      </c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9">
        <f>0-0</f>
        <v>0</v>
      </c>
      <c r="FC57" s="37"/>
      <c r="FD57" s="39">
        <f>20-20</f>
        <v>0</v>
      </c>
      <c r="FE57" s="39">
        <f>0-0</f>
        <v>0</v>
      </c>
      <c r="FF57" s="37"/>
      <c r="FG57" s="37"/>
      <c r="FH57" s="37"/>
      <c r="FI57" s="37"/>
      <c r="FJ57" s="37"/>
      <c r="FK57" s="37"/>
      <c r="FL57" s="39">
        <f>0-0</f>
        <v>0</v>
      </c>
      <c r="FM57" s="39">
        <f>0-0</f>
        <v>0</v>
      </c>
      <c r="FN57" s="37"/>
      <c r="FO57" s="37"/>
      <c r="FP57" s="37"/>
      <c r="FQ57" s="37"/>
      <c r="FR57" s="39">
        <f>60-60</f>
        <v>0</v>
      </c>
      <c r="FS57" s="37"/>
      <c r="FT57" s="39">
        <f>0-0</f>
        <v>0</v>
      </c>
      <c r="FU57" s="37"/>
      <c r="FV57" s="37"/>
      <c r="FW57" s="37"/>
      <c r="FX57" s="37"/>
      <c r="FY57" s="37"/>
      <c r="FZ57" s="37"/>
      <c r="GA57" s="37"/>
      <c r="GB57" s="37"/>
      <c r="GC57" s="42"/>
      <c r="GD57" s="43" t="s">
        <v>521</v>
      </c>
      <c r="GE57" s="44" t="s">
        <v>522</v>
      </c>
      <c r="GF57" s="44" t="s">
        <v>591</v>
      </c>
      <c r="GG57" s="44" t="s">
        <v>592</v>
      </c>
      <c r="GH57" s="45">
        <f t="shared" si="4"/>
        <v>40</v>
      </c>
      <c r="GI57" s="40" t="s">
        <v>560</v>
      </c>
    </row>
    <row r="58" spans="1:191" s="40" customFormat="1">
      <c r="A58" s="35" t="s">
        <v>526</v>
      </c>
      <c r="B58" s="35" t="s">
        <v>517</v>
      </c>
      <c r="C58" s="35" t="s">
        <v>555</v>
      </c>
      <c r="D58" s="35" t="s">
        <v>4</v>
      </c>
      <c r="E58" s="36" t="s">
        <v>589</v>
      </c>
      <c r="F58" s="35" t="s">
        <v>520</v>
      </c>
      <c r="G58" s="35" t="s">
        <v>590</v>
      </c>
      <c r="H58" s="37"/>
      <c r="I58" s="37"/>
      <c r="J58" s="37"/>
      <c r="K58" s="39">
        <f>10-10</f>
        <v>0</v>
      </c>
      <c r="L58" s="37"/>
      <c r="M58" s="37"/>
      <c r="N58" s="37"/>
      <c r="O58" s="39">
        <f>10-10+2</f>
        <v>2</v>
      </c>
      <c r="P58" s="37"/>
      <c r="Q58" s="37"/>
      <c r="R58" s="37"/>
      <c r="S58" s="39">
        <f>10-10+4</f>
        <v>4</v>
      </c>
      <c r="T58" s="37"/>
      <c r="U58" s="37"/>
      <c r="V58" s="37"/>
      <c r="W58" s="39">
        <f>10-10+5</f>
        <v>5</v>
      </c>
      <c r="X58" s="37"/>
      <c r="Y58" s="49">
        <v>5</v>
      </c>
      <c r="Z58" s="39">
        <f>10-10</f>
        <v>0</v>
      </c>
      <c r="AA58" s="39">
        <f>10-10+5</f>
        <v>5</v>
      </c>
      <c r="AB58" s="37"/>
      <c r="AC58" s="39">
        <f>0-0</f>
        <v>0</v>
      </c>
      <c r="AD58" s="39">
        <f>0-0</f>
        <v>0</v>
      </c>
      <c r="AE58" s="37"/>
      <c r="AF58" s="37"/>
      <c r="AG58" s="37"/>
      <c r="AH58" s="39">
        <f>0-0</f>
        <v>0</v>
      </c>
      <c r="AI58" s="39">
        <f>0-0</f>
        <v>0</v>
      </c>
      <c r="AJ58" s="39">
        <f>0-0</f>
        <v>0</v>
      </c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9">
        <f>10-10+5</f>
        <v>5</v>
      </c>
      <c r="BA58" s="39">
        <f>10-10+5</f>
        <v>5</v>
      </c>
      <c r="BB58" s="39">
        <f>10-10+2</f>
        <v>2</v>
      </c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9">
        <f>10-10+10</f>
        <v>10</v>
      </c>
      <c r="BN58" s="39">
        <f>10-10+5</f>
        <v>5</v>
      </c>
      <c r="BO58" s="39">
        <f>10-10</f>
        <v>0</v>
      </c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9">
        <f>10-10</f>
        <v>0</v>
      </c>
      <c r="CB58" s="37"/>
      <c r="CC58" s="37"/>
      <c r="CD58" s="37"/>
      <c r="CE58" s="39">
        <f>50-50+10</f>
        <v>10</v>
      </c>
      <c r="CF58" s="39">
        <f>50-50</f>
        <v>0</v>
      </c>
      <c r="CG58" s="39">
        <f>50-50</f>
        <v>0</v>
      </c>
      <c r="CH58" s="37"/>
      <c r="CI58" s="37"/>
      <c r="CJ58" s="39">
        <f>50-50+40</f>
        <v>40</v>
      </c>
      <c r="CK58" s="37"/>
      <c r="CL58" s="39">
        <f>10-10+5</f>
        <v>5</v>
      </c>
      <c r="CM58" s="39">
        <f>20-20+5</f>
        <v>5</v>
      </c>
      <c r="CN58" s="39">
        <f>20-20+2</f>
        <v>2</v>
      </c>
      <c r="CO58" s="39">
        <f>20-20</f>
        <v>0</v>
      </c>
      <c r="CP58" s="37"/>
      <c r="CQ58" s="39">
        <f>10-10+10</f>
        <v>10</v>
      </c>
      <c r="CR58" s="37"/>
      <c r="CS58" s="39">
        <f>80-80+20</f>
        <v>20</v>
      </c>
      <c r="CT58" s="37"/>
      <c r="CU58" s="39">
        <f>80-80</f>
        <v>0</v>
      </c>
      <c r="CV58" s="39">
        <f>80-80+2</f>
        <v>2</v>
      </c>
      <c r="CW58" s="37"/>
      <c r="CX58" s="37"/>
      <c r="CY58" s="39">
        <f>10-10+1</f>
        <v>1</v>
      </c>
      <c r="CZ58" s="37"/>
      <c r="DA58" s="49">
        <v>10</v>
      </c>
      <c r="DB58" s="39">
        <f>10-10+10</f>
        <v>10</v>
      </c>
      <c r="DC58" s="37"/>
      <c r="DD58" s="39">
        <f>20-20</f>
        <v>0</v>
      </c>
      <c r="DE58" s="49">
        <v>10</v>
      </c>
      <c r="DF58" s="37"/>
      <c r="DG58" s="39">
        <f>30-30</f>
        <v>0</v>
      </c>
      <c r="DH58" s="37"/>
      <c r="DI58" s="37"/>
      <c r="DJ58" s="37"/>
      <c r="DK58" s="37"/>
      <c r="DL58" s="39">
        <f>10-10+10</f>
        <v>10</v>
      </c>
      <c r="DM58" s="39">
        <f>60-60</f>
        <v>0</v>
      </c>
      <c r="DN58" s="37"/>
      <c r="DO58" s="39">
        <f>20-20</f>
        <v>0</v>
      </c>
      <c r="DP58" s="39">
        <f>60-60</f>
        <v>0</v>
      </c>
      <c r="DQ58" s="39">
        <f>60-60</f>
        <v>0</v>
      </c>
      <c r="DR58" s="37"/>
      <c r="DS58" s="37"/>
      <c r="DT58" s="37"/>
      <c r="DU58" s="37"/>
      <c r="DV58" s="37"/>
      <c r="DW58" s="39">
        <f>0-0</f>
        <v>0</v>
      </c>
      <c r="DX58" s="37"/>
      <c r="DY58" s="37"/>
      <c r="DZ58" s="37"/>
      <c r="EA58" s="37"/>
      <c r="EB58" s="37"/>
      <c r="EC58" s="39">
        <f>100-100</f>
        <v>0</v>
      </c>
      <c r="ED58" s="37"/>
      <c r="EE58" s="37"/>
      <c r="EF58" s="37"/>
      <c r="EG58" s="37"/>
      <c r="EH58" s="39">
        <f>30-30+20</f>
        <v>20</v>
      </c>
      <c r="EI58" s="37"/>
      <c r="EJ58" s="39">
        <f>0-0</f>
        <v>0</v>
      </c>
      <c r="EK58" s="37"/>
      <c r="EL58" s="37"/>
      <c r="EM58" s="39">
        <f>0-0</f>
        <v>0</v>
      </c>
      <c r="EN58" s="37"/>
      <c r="EO58" s="37"/>
      <c r="EP58" s="39">
        <f>0-0</f>
        <v>0</v>
      </c>
      <c r="EQ58" s="39">
        <f>0-0</f>
        <v>0</v>
      </c>
      <c r="ER58" s="37"/>
      <c r="ES58" s="39">
        <f>0-0</f>
        <v>0</v>
      </c>
      <c r="ET58" s="39">
        <f>0-0</f>
        <v>0</v>
      </c>
      <c r="EU58" s="39">
        <f>0-0</f>
        <v>0</v>
      </c>
      <c r="EV58" s="37"/>
      <c r="EW58" s="37"/>
      <c r="EX58" s="39">
        <f>20-20</f>
        <v>0</v>
      </c>
      <c r="EY58" s="39">
        <f>20-20+20</f>
        <v>20</v>
      </c>
      <c r="EZ58" s="39">
        <f>0-0</f>
        <v>0</v>
      </c>
      <c r="FA58" s="37"/>
      <c r="FB58" s="37"/>
      <c r="FC58" s="37"/>
      <c r="FD58" s="37"/>
      <c r="FE58" s="37"/>
      <c r="FF58" s="39">
        <f>0-0</f>
        <v>0</v>
      </c>
      <c r="FG58" s="39">
        <f>0-0</f>
        <v>0</v>
      </c>
      <c r="FH58" s="37"/>
      <c r="FI58" s="37"/>
      <c r="FJ58" s="37"/>
      <c r="FK58" s="37"/>
      <c r="FL58" s="37"/>
      <c r="FM58" s="37"/>
      <c r="FN58" s="37"/>
      <c r="FO58" s="39">
        <f>30-30</f>
        <v>0</v>
      </c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42"/>
      <c r="GD58" s="43" t="s">
        <v>521</v>
      </c>
      <c r="GE58" s="44" t="s">
        <v>522</v>
      </c>
      <c r="GF58" s="44" t="s">
        <v>591</v>
      </c>
      <c r="GG58" s="44" t="s">
        <v>592</v>
      </c>
      <c r="GH58" s="45">
        <f t="shared" si="4"/>
        <v>223</v>
      </c>
      <c r="GI58" s="40" t="s">
        <v>560</v>
      </c>
    </row>
    <row r="59" spans="1:191" s="40" customFormat="1">
      <c r="A59" s="35" t="s">
        <v>526</v>
      </c>
      <c r="B59" s="35" t="s">
        <v>517</v>
      </c>
      <c r="C59" s="35" t="s">
        <v>555</v>
      </c>
      <c r="D59" s="35" t="s">
        <v>3</v>
      </c>
      <c r="E59" s="36" t="s">
        <v>589</v>
      </c>
      <c r="F59" s="35" t="s">
        <v>520</v>
      </c>
      <c r="G59" s="35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9">
        <f>10-10</f>
        <v>0</v>
      </c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9">
        <f>10-10</f>
        <v>0</v>
      </c>
      <c r="DB59" s="37"/>
      <c r="DC59" s="37"/>
      <c r="DD59" s="37"/>
      <c r="DE59" s="39">
        <f>10-10</f>
        <v>0</v>
      </c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9">
        <f>20-20</f>
        <v>0</v>
      </c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42"/>
      <c r="GD59" s="43" t="s">
        <v>521</v>
      </c>
      <c r="GE59" s="44" t="s">
        <v>522</v>
      </c>
      <c r="GF59" s="44" t="s">
        <v>591</v>
      </c>
      <c r="GG59" s="44" t="s">
        <v>592</v>
      </c>
      <c r="GH59" s="45">
        <f t="shared" si="4"/>
        <v>0</v>
      </c>
      <c r="GI59" s="40" t="s">
        <v>560</v>
      </c>
    </row>
    <row r="60" spans="1:191" s="40" customFormat="1">
      <c r="A60" s="35" t="s">
        <v>526</v>
      </c>
      <c r="B60" s="35" t="s">
        <v>525</v>
      </c>
      <c r="C60" s="35" t="s">
        <v>555</v>
      </c>
      <c r="D60" s="35" t="s">
        <v>8</v>
      </c>
      <c r="E60" s="48" t="s">
        <v>589</v>
      </c>
      <c r="F60" s="35" t="s">
        <v>520</v>
      </c>
      <c r="G60" s="35" t="s">
        <v>593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9">
        <f>40-40</f>
        <v>0</v>
      </c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9">
        <f>50-50</f>
        <v>0</v>
      </c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9">
        <f>120-120</f>
        <v>0</v>
      </c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42"/>
      <c r="GD60" s="43" t="s">
        <v>521</v>
      </c>
      <c r="GE60" s="44" t="s">
        <v>522</v>
      </c>
      <c r="GF60" s="44" t="s">
        <v>591</v>
      </c>
      <c r="GG60" s="44" t="s">
        <v>592</v>
      </c>
      <c r="GH60" s="45">
        <f t="shared" si="4"/>
        <v>0</v>
      </c>
      <c r="GI60" s="40" t="s">
        <v>560</v>
      </c>
    </row>
    <row r="61" spans="1:191" s="40" customFormat="1">
      <c r="A61" s="35" t="s">
        <v>526</v>
      </c>
      <c r="B61" s="35" t="s">
        <v>525</v>
      </c>
      <c r="C61" s="35" t="s">
        <v>555</v>
      </c>
      <c r="D61" s="35" t="s">
        <v>4</v>
      </c>
      <c r="E61" s="48" t="s">
        <v>589</v>
      </c>
      <c r="F61" s="35" t="s">
        <v>520</v>
      </c>
      <c r="G61" s="35" t="s">
        <v>593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9">
        <f>60-60</f>
        <v>0</v>
      </c>
      <c r="ER61" s="37"/>
      <c r="ES61" s="37"/>
      <c r="ET61" s="37"/>
      <c r="EU61" s="37"/>
      <c r="EV61" s="37"/>
      <c r="EW61" s="37"/>
      <c r="EX61" s="39">
        <f>50-50</f>
        <v>0</v>
      </c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9">
        <f>30-30</f>
        <v>0</v>
      </c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42"/>
      <c r="GD61" s="43" t="s">
        <v>521</v>
      </c>
      <c r="GE61" s="44" t="s">
        <v>522</v>
      </c>
      <c r="GF61" s="44" t="s">
        <v>591</v>
      </c>
      <c r="GG61" s="44" t="s">
        <v>592</v>
      </c>
      <c r="GH61" s="45">
        <f t="shared" si="4"/>
        <v>0</v>
      </c>
      <c r="GI61" s="40" t="s">
        <v>560</v>
      </c>
    </row>
    <row r="62" spans="1:191" s="40" customFormat="1">
      <c r="A62" s="35"/>
      <c r="B62" s="35"/>
      <c r="C62" s="35"/>
      <c r="D62" s="35" t="s">
        <v>8</v>
      </c>
      <c r="E62" s="36" t="s">
        <v>594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49">
        <v>60</v>
      </c>
      <c r="DN62" s="35"/>
      <c r="DO62" s="35"/>
      <c r="DP62" s="49">
        <v>40</v>
      </c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42"/>
      <c r="GD62" s="43"/>
      <c r="GE62" s="44"/>
      <c r="GF62" s="44"/>
      <c r="GG62" s="44"/>
      <c r="GH62" s="45"/>
    </row>
    <row r="63" spans="1:191" s="40" customFormat="1">
      <c r="A63" s="35" t="s">
        <v>517</v>
      </c>
      <c r="B63" s="35" t="s">
        <v>517</v>
      </c>
      <c r="C63" s="35" t="s">
        <v>555</v>
      </c>
      <c r="D63" s="35" t="s">
        <v>4</v>
      </c>
      <c r="E63" s="36" t="s">
        <v>594</v>
      </c>
      <c r="F63" s="35" t="s">
        <v>520</v>
      </c>
      <c r="G63" s="35" t="s">
        <v>595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9">
        <f>40-40+20</f>
        <v>20</v>
      </c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9">
        <f>40-40+20</f>
        <v>20</v>
      </c>
      <c r="CF63" s="39">
        <f>40-40</f>
        <v>0</v>
      </c>
      <c r="CG63" s="39">
        <f>40-40+1</f>
        <v>1</v>
      </c>
      <c r="CH63" s="37"/>
      <c r="CI63" s="37"/>
      <c r="CJ63" s="37"/>
      <c r="CK63" s="37"/>
      <c r="CL63" s="37"/>
      <c r="CM63" s="39">
        <f>100-100+5</f>
        <v>5</v>
      </c>
      <c r="CN63" s="37"/>
      <c r="CO63" s="39">
        <f>100-100</f>
        <v>0</v>
      </c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9">
        <f>300-300+240</f>
        <v>240</v>
      </c>
      <c r="DC63" s="37"/>
      <c r="DD63" s="37"/>
      <c r="DE63" s="49">
        <v>60</v>
      </c>
      <c r="DF63" s="37"/>
      <c r="DG63" s="37"/>
      <c r="DH63" s="37"/>
      <c r="DI63" s="37"/>
      <c r="DJ63" s="37"/>
      <c r="DK63" s="37"/>
      <c r="DL63" s="37"/>
      <c r="DM63" s="39">
        <f>300-300</f>
        <v>0</v>
      </c>
      <c r="DN63" s="37"/>
      <c r="DO63" s="37"/>
      <c r="DP63" s="39">
        <f>100-100</f>
        <v>0</v>
      </c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42"/>
      <c r="GD63" s="43" t="s">
        <v>521</v>
      </c>
      <c r="GE63" s="44" t="s">
        <v>522</v>
      </c>
      <c r="GF63" s="44" t="s">
        <v>596</v>
      </c>
      <c r="GG63" s="44" t="s">
        <v>577</v>
      </c>
      <c r="GH63" s="45">
        <f t="shared" si="4"/>
        <v>346</v>
      </c>
      <c r="GI63" s="40" t="s">
        <v>573</v>
      </c>
    </row>
    <row r="64" spans="1:191" s="40" customFormat="1">
      <c r="A64" s="35" t="s">
        <v>517</v>
      </c>
      <c r="B64" s="35" t="s">
        <v>517</v>
      </c>
      <c r="C64" s="35" t="s">
        <v>555</v>
      </c>
      <c r="D64" s="35" t="s">
        <v>3</v>
      </c>
      <c r="E64" s="36" t="s">
        <v>594</v>
      </c>
      <c r="F64" s="35" t="s">
        <v>520</v>
      </c>
      <c r="G64" s="35" t="s">
        <v>595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9">
        <f>100-100</f>
        <v>0</v>
      </c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42"/>
      <c r="GD64" s="43" t="s">
        <v>521</v>
      </c>
      <c r="GE64" s="44" t="s">
        <v>522</v>
      </c>
      <c r="GF64" s="44" t="s">
        <v>596</v>
      </c>
      <c r="GG64" s="44" t="s">
        <v>577</v>
      </c>
      <c r="GH64" s="45">
        <f t="shared" si="4"/>
        <v>0</v>
      </c>
      <c r="GI64" s="40" t="s">
        <v>573</v>
      </c>
    </row>
    <row r="65" spans="1:191" s="40" customFormat="1">
      <c r="A65" s="35" t="s">
        <v>526</v>
      </c>
      <c r="B65" s="35" t="s">
        <v>517</v>
      </c>
      <c r="C65" s="35" t="s">
        <v>555</v>
      </c>
      <c r="D65" s="35" t="s">
        <v>8</v>
      </c>
      <c r="E65" s="36" t="s">
        <v>597</v>
      </c>
      <c r="F65" s="35" t="s">
        <v>520</v>
      </c>
      <c r="G65" s="35" t="s">
        <v>598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49">
        <v>20</v>
      </c>
      <c r="DN65" s="37"/>
      <c r="DO65" s="37"/>
      <c r="DP65" s="49">
        <v>20</v>
      </c>
      <c r="DQ65" s="37"/>
      <c r="DR65" s="37"/>
      <c r="DS65" s="37"/>
      <c r="DT65" s="37"/>
      <c r="DU65" s="37"/>
      <c r="DV65" s="37"/>
      <c r="DW65" s="37"/>
      <c r="DX65" s="39">
        <f>50-50</f>
        <v>0</v>
      </c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9">
        <f>200-200</f>
        <v>0</v>
      </c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9">
        <f>50-50+20</f>
        <v>20</v>
      </c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42"/>
      <c r="GD65" s="43" t="s">
        <v>521</v>
      </c>
      <c r="GE65" s="44" t="s">
        <v>522</v>
      </c>
      <c r="GF65" s="44" t="s">
        <v>599</v>
      </c>
      <c r="GG65" s="44" t="s">
        <v>600</v>
      </c>
      <c r="GH65" s="45">
        <f t="shared" si="4"/>
        <v>60</v>
      </c>
      <c r="GI65" s="40" t="s">
        <v>573</v>
      </c>
    </row>
    <row r="66" spans="1:191" s="40" customFormat="1">
      <c r="A66" s="35" t="s">
        <v>526</v>
      </c>
      <c r="B66" s="35" t="s">
        <v>517</v>
      </c>
      <c r="C66" s="35" t="s">
        <v>555</v>
      </c>
      <c r="D66" s="35" t="s">
        <v>4</v>
      </c>
      <c r="E66" s="36" t="s">
        <v>597</v>
      </c>
      <c r="F66" s="35" t="s">
        <v>520</v>
      </c>
      <c r="G66" s="35" t="s">
        <v>598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9">
        <f>10-10</f>
        <v>0</v>
      </c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9">
        <f>5-5+5</f>
        <v>5</v>
      </c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9">
        <f>20-20+10</f>
        <v>10</v>
      </c>
      <c r="CF66" s="37"/>
      <c r="CG66" s="37"/>
      <c r="CH66" s="39">
        <f>10-10+5</f>
        <v>5</v>
      </c>
      <c r="CI66" s="37"/>
      <c r="CJ66" s="37"/>
      <c r="CK66" s="37"/>
      <c r="CL66" s="37"/>
      <c r="CM66" s="39">
        <f>30-30+5</f>
        <v>5</v>
      </c>
      <c r="CN66" s="37"/>
      <c r="CO66" s="37"/>
      <c r="CP66" s="37"/>
      <c r="CQ66" s="37"/>
      <c r="CR66" s="37"/>
      <c r="CS66" s="39">
        <f>50-50+20</f>
        <v>20</v>
      </c>
      <c r="CT66" s="37"/>
      <c r="CU66" s="37"/>
      <c r="CV66" s="39">
        <f>50-50+3</f>
        <v>3</v>
      </c>
      <c r="CW66" s="37"/>
      <c r="CX66" s="37"/>
      <c r="CY66" s="37"/>
      <c r="CZ66" s="37"/>
      <c r="DA66" s="37"/>
      <c r="DB66" s="39">
        <f>100-100+100</f>
        <v>100</v>
      </c>
      <c r="DC66" s="37"/>
      <c r="DD66" s="37"/>
      <c r="DE66" s="49">
        <v>30</v>
      </c>
      <c r="DF66" s="37"/>
      <c r="DG66" s="37"/>
      <c r="DH66" s="37"/>
      <c r="DI66" s="37"/>
      <c r="DJ66" s="37"/>
      <c r="DK66" s="37"/>
      <c r="DL66" s="37"/>
      <c r="DM66" s="39">
        <f>100-100</f>
        <v>0</v>
      </c>
      <c r="DN66" s="37"/>
      <c r="DO66" s="37"/>
      <c r="DP66" s="39">
        <f>50-50</f>
        <v>0</v>
      </c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9">
        <f>100-100</f>
        <v>0</v>
      </c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42"/>
      <c r="GD66" s="43" t="s">
        <v>521</v>
      </c>
      <c r="GE66" s="44" t="s">
        <v>522</v>
      </c>
      <c r="GF66" s="44" t="s">
        <v>599</v>
      </c>
      <c r="GG66" s="44" t="s">
        <v>600</v>
      </c>
      <c r="GH66" s="45">
        <f t="shared" si="4"/>
        <v>178</v>
      </c>
      <c r="GI66" s="40" t="s">
        <v>573</v>
      </c>
    </row>
    <row r="67" spans="1:191" s="40" customFormat="1">
      <c r="A67" s="35" t="s">
        <v>526</v>
      </c>
      <c r="B67" s="35" t="s">
        <v>517</v>
      </c>
      <c r="C67" s="35" t="s">
        <v>555</v>
      </c>
      <c r="D67" s="35" t="s">
        <v>3</v>
      </c>
      <c r="E67" s="36" t="s">
        <v>597</v>
      </c>
      <c r="F67" s="35" t="s">
        <v>520</v>
      </c>
      <c r="G67" s="35" t="s">
        <v>601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9">
        <f>50-50</f>
        <v>0</v>
      </c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42"/>
      <c r="GD67" s="43" t="s">
        <v>521</v>
      </c>
      <c r="GE67" s="44" t="s">
        <v>522</v>
      </c>
      <c r="GF67" s="44" t="s">
        <v>599</v>
      </c>
      <c r="GG67" s="44" t="s">
        <v>600</v>
      </c>
      <c r="GH67" s="45">
        <f t="shared" si="4"/>
        <v>0</v>
      </c>
      <c r="GI67" s="40" t="s">
        <v>573</v>
      </c>
    </row>
    <row r="68" spans="1:191" s="40" customFormat="1">
      <c r="A68" s="35" t="s">
        <v>526</v>
      </c>
      <c r="B68" s="35" t="s">
        <v>517</v>
      </c>
      <c r="C68" s="35" t="s">
        <v>555</v>
      </c>
      <c r="D68" s="35" t="s">
        <v>8</v>
      </c>
      <c r="E68" s="36" t="s">
        <v>602</v>
      </c>
      <c r="F68" s="35" t="s">
        <v>520</v>
      </c>
      <c r="G68" s="35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49">
        <v>40</v>
      </c>
      <c r="DQ68" s="37"/>
      <c r="DR68" s="37"/>
      <c r="DS68" s="37"/>
      <c r="DT68" s="37"/>
      <c r="DU68" s="39">
        <f>390-390</f>
        <v>0</v>
      </c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9">
        <f>360-360</f>
        <v>0</v>
      </c>
      <c r="EL68" s="39">
        <f>400-400</f>
        <v>0</v>
      </c>
      <c r="EM68" s="37"/>
      <c r="EN68" s="37"/>
      <c r="EO68" s="39">
        <f>300-300</f>
        <v>0</v>
      </c>
      <c r="EP68" s="49">
        <v>100</v>
      </c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9">
        <f>500-500</f>
        <v>0</v>
      </c>
      <c r="FC68" s="37"/>
      <c r="FD68" s="39">
        <f>200-200+20</f>
        <v>20</v>
      </c>
      <c r="FE68" s="39">
        <f>100-100</f>
        <v>0</v>
      </c>
      <c r="FF68" s="37"/>
      <c r="FG68" s="37"/>
      <c r="FH68" s="39">
        <f>280-280</f>
        <v>0</v>
      </c>
      <c r="FI68" s="39">
        <f>200-200</f>
        <v>0</v>
      </c>
      <c r="FJ68" s="37"/>
      <c r="FK68" s="37"/>
      <c r="FL68" s="39">
        <f>240-240+20</f>
        <v>20</v>
      </c>
      <c r="FM68" s="37"/>
      <c r="FN68" s="37"/>
      <c r="FO68" s="37"/>
      <c r="FP68" s="37"/>
      <c r="FQ68" s="37"/>
      <c r="FR68" s="39">
        <f>180-180</f>
        <v>0</v>
      </c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42"/>
      <c r="GD68" s="43" t="s">
        <v>521</v>
      </c>
      <c r="GE68" s="44" t="s">
        <v>522</v>
      </c>
      <c r="GF68" s="44"/>
      <c r="GG68" s="44" t="s">
        <v>579</v>
      </c>
      <c r="GH68" s="45">
        <f t="shared" si="4"/>
        <v>180</v>
      </c>
      <c r="GI68" s="40" t="s">
        <v>580</v>
      </c>
    </row>
    <row r="69" spans="1:191" s="40" customFormat="1">
      <c r="A69" s="35" t="s">
        <v>526</v>
      </c>
      <c r="B69" s="35" t="s">
        <v>517</v>
      </c>
      <c r="C69" s="35" t="s">
        <v>555</v>
      </c>
      <c r="D69" s="35" t="s">
        <v>4</v>
      </c>
      <c r="E69" s="36" t="s">
        <v>602</v>
      </c>
      <c r="F69" s="35" t="s">
        <v>520</v>
      </c>
      <c r="G69" s="35"/>
      <c r="H69" s="37"/>
      <c r="I69" s="37"/>
      <c r="J69" s="39">
        <f>20-20</f>
        <v>0</v>
      </c>
      <c r="K69" s="39">
        <f>30-30</f>
        <v>0</v>
      </c>
      <c r="L69" s="37"/>
      <c r="M69" s="39">
        <f>40-40</f>
        <v>0</v>
      </c>
      <c r="N69" s="39">
        <f>40-40</f>
        <v>0</v>
      </c>
      <c r="O69" s="39">
        <f>50-50+10</f>
        <v>10</v>
      </c>
      <c r="P69" s="37"/>
      <c r="Q69" s="37"/>
      <c r="R69" s="39">
        <f>16-16</f>
        <v>0</v>
      </c>
      <c r="S69" s="39">
        <f>54-54+10</f>
        <v>10</v>
      </c>
      <c r="T69" s="37"/>
      <c r="U69" s="37"/>
      <c r="V69" s="37"/>
      <c r="W69" s="39">
        <f>30-30+10</f>
        <v>10</v>
      </c>
      <c r="X69" s="39">
        <f>50-50</f>
        <v>0</v>
      </c>
      <c r="Y69" s="49">
        <v>10</v>
      </c>
      <c r="Z69" s="39">
        <f>20-20</f>
        <v>0</v>
      </c>
      <c r="AA69" s="49">
        <v>20</v>
      </c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9">
        <f>200-200</f>
        <v>0</v>
      </c>
      <c r="AQ69" s="39">
        <f>200-200</f>
        <v>0</v>
      </c>
      <c r="AR69" s="37"/>
      <c r="AS69" s="37"/>
      <c r="AT69" s="37"/>
      <c r="AU69" s="39">
        <f>60-60</f>
        <v>0</v>
      </c>
      <c r="AV69" s="39">
        <f>56-56</f>
        <v>0</v>
      </c>
      <c r="AW69" s="39">
        <f>18-18+15</f>
        <v>15</v>
      </c>
      <c r="AX69" s="39">
        <f>85-85</f>
        <v>0</v>
      </c>
      <c r="AY69" s="37"/>
      <c r="AZ69" s="39">
        <f>30-30+20</f>
        <v>20</v>
      </c>
      <c r="BA69" s="39">
        <f>450-450+25</f>
        <v>25</v>
      </c>
      <c r="BB69" s="39">
        <f>100-100+10</f>
        <v>10</v>
      </c>
      <c r="BC69" s="39">
        <f>100-100</f>
        <v>0</v>
      </c>
      <c r="BD69" s="37"/>
      <c r="BE69" s="37"/>
      <c r="BF69" s="37"/>
      <c r="BG69" s="37"/>
      <c r="BH69" s="37"/>
      <c r="BI69" s="39">
        <f>82-82</f>
        <v>0</v>
      </c>
      <c r="BJ69" s="39">
        <f>85-85</f>
        <v>0</v>
      </c>
      <c r="BK69" s="39">
        <f>55-55+5</f>
        <v>5</v>
      </c>
      <c r="BL69" s="39">
        <f>85-85+10</f>
        <v>10</v>
      </c>
      <c r="BM69" s="37"/>
      <c r="BN69" s="39">
        <f>70-70+20</f>
        <v>20</v>
      </c>
      <c r="BO69" s="39">
        <f>100-100</f>
        <v>0</v>
      </c>
      <c r="BP69" s="37"/>
      <c r="BQ69" s="37"/>
      <c r="BR69" s="37"/>
      <c r="BS69" s="37"/>
      <c r="BT69" s="37"/>
      <c r="BU69" s="37"/>
      <c r="BV69" s="37"/>
      <c r="BW69" s="39">
        <f>464-464</f>
        <v>0</v>
      </c>
      <c r="BX69" s="39">
        <f>430-430</f>
        <v>0</v>
      </c>
      <c r="BY69" s="39">
        <f>335-335+20</f>
        <v>20</v>
      </c>
      <c r="BZ69" s="37"/>
      <c r="CA69" s="39">
        <f>434-434</f>
        <v>0</v>
      </c>
      <c r="CB69" s="37"/>
      <c r="CC69" s="37"/>
      <c r="CD69" s="39">
        <f>440-440+10</f>
        <v>10</v>
      </c>
      <c r="CE69" s="39">
        <f>30-30+20</f>
        <v>20</v>
      </c>
      <c r="CF69" s="39">
        <f>420-420</f>
        <v>0</v>
      </c>
      <c r="CG69" s="39">
        <f>490-490</f>
        <v>0</v>
      </c>
      <c r="CH69" s="39">
        <f>940-940</f>
        <v>0</v>
      </c>
      <c r="CI69" s="37"/>
      <c r="CJ69" s="39">
        <f>422-422+50</f>
        <v>50</v>
      </c>
      <c r="CK69" s="37"/>
      <c r="CL69" s="39">
        <f>151-151+10</f>
        <v>10</v>
      </c>
      <c r="CM69" s="39">
        <f>370-370+10</f>
        <v>10</v>
      </c>
      <c r="CN69" s="39">
        <f>480-480+2</f>
        <v>2</v>
      </c>
      <c r="CO69" s="39">
        <f>500-500</f>
        <v>0</v>
      </c>
      <c r="CP69" s="39">
        <f>440-440</f>
        <v>0</v>
      </c>
      <c r="CQ69" s="49">
        <v>10</v>
      </c>
      <c r="CR69" s="37"/>
      <c r="CS69" s="49">
        <v>100</v>
      </c>
      <c r="CT69" s="37"/>
      <c r="CU69" s="39">
        <f>375-375</f>
        <v>0</v>
      </c>
      <c r="CV69" s="39">
        <f>860-860+10</f>
        <v>10</v>
      </c>
      <c r="CW69" s="39">
        <f>475-475</f>
        <v>0</v>
      </c>
      <c r="CX69" s="37"/>
      <c r="CY69" s="39">
        <f>491-491</f>
        <v>0</v>
      </c>
      <c r="CZ69" s="39">
        <f>240-240+50</f>
        <v>50</v>
      </c>
      <c r="DA69" s="49">
        <v>50</v>
      </c>
      <c r="DB69" s="39">
        <f>20-20+20</f>
        <v>20</v>
      </c>
      <c r="DC69" s="37"/>
      <c r="DD69" s="39">
        <f>288-288</f>
        <v>0</v>
      </c>
      <c r="DE69" s="37"/>
      <c r="DF69" s="37"/>
      <c r="DG69" s="39">
        <f>500-500</f>
        <v>0</v>
      </c>
      <c r="DH69" s="37"/>
      <c r="DI69" s="37"/>
      <c r="DJ69" s="39">
        <f>458-458</f>
        <v>0</v>
      </c>
      <c r="DK69" s="37"/>
      <c r="DL69" s="39">
        <f>320-320+80</f>
        <v>80</v>
      </c>
      <c r="DM69" s="37"/>
      <c r="DN69" s="37"/>
      <c r="DO69" s="39">
        <f>345-345</f>
        <v>0</v>
      </c>
      <c r="DP69" s="39">
        <f>90-90</f>
        <v>0</v>
      </c>
      <c r="DQ69" s="39">
        <f>480-480</f>
        <v>0</v>
      </c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9">
        <f>440-440</f>
        <v>0</v>
      </c>
      <c r="ED69" s="37"/>
      <c r="EE69" s="37"/>
      <c r="EF69" s="39">
        <f>430-430</f>
        <v>0</v>
      </c>
      <c r="EG69" s="37"/>
      <c r="EH69" s="37"/>
      <c r="EI69" s="37"/>
      <c r="EJ69" s="39">
        <f>480-480</f>
        <v>0</v>
      </c>
      <c r="EK69" s="37"/>
      <c r="EL69" s="37"/>
      <c r="EM69" s="39">
        <f>490-490</f>
        <v>0</v>
      </c>
      <c r="EN69" s="37"/>
      <c r="EO69" s="49">
        <v>50</v>
      </c>
      <c r="EP69" s="39">
        <f>100-100</f>
        <v>0</v>
      </c>
      <c r="EQ69" s="39">
        <f>320-320</f>
        <v>0</v>
      </c>
      <c r="ER69" s="37"/>
      <c r="ES69" s="39">
        <f>500-500</f>
        <v>0</v>
      </c>
      <c r="ET69" s="39">
        <f>500-500</f>
        <v>0</v>
      </c>
      <c r="EU69" s="39">
        <f>430-430</f>
        <v>0</v>
      </c>
      <c r="EV69" s="37"/>
      <c r="EW69" s="37"/>
      <c r="EX69" s="39">
        <f>390-390</f>
        <v>0</v>
      </c>
      <c r="EY69" s="39">
        <f>440-440+40</f>
        <v>40</v>
      </c>
      <c r="EZ69" s="39">
        <f>460-460</f>
        <v>0</v>
      </c>
      <c r="FA69" s="39">
        <f>500-500</f>
        <v>0</v>
      </c>
      <c r="FB69" s="37"/>
      <c r="FC69" s="39">
        <f>460-460+10</f>
        <v>10</v>
      </c>
      <c r="FD69" s="37"/>
      <c r="FE69" s="49">
        <v>20</v>
      </c>
      <c r="FF69" s="37"/>
      <c r="FG69" s="37"/>
      <c r="FH69" s="37"/>
      <c r="FI69" s="37"/>
      <c r="FJ69" s="37"/>
      <c r="FK69" s="37"/>
      <c r="FL69" s="37"/>
      <c r="FM69" s="37"/>
      <c r="FN69" s="37"/>
      <c r="FO69" s="39">
        <f>485-485</f>
        <v>0</v>
      </c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42"/>
      <c r="GD69" s="43" t="s">
        <v>521</v>
      </c>
      <c r="GE69" s="44" t="s">
        <v>522</v>
      </c>
      <c r="GF69" s="44"/>
      <c r="GG69" s="44" t="s">
        <v>579</v>
      </c>
      <c r="GH69" s="45">
        <f t="shared" si="4"/>
        <v>727</v>
      </c>
      <c r="GI69" s="40" t="s">
        <v>580</v>
      </c>
    </row>
    <row r="70" spans="1:191" s="40" customFormat="1" ht="10.5">
      <c r="A70" s="35" t="s">
        <v>526</v>
      </c>
      <c r="B70" s="35" t="s">
        <v>517</v>
      </c>
      <c r="C70" s="35" t="s">
        <v>555</v>
      </c>
      <c r="D70" s="35" t="s">
        <v>3</v>
      </c>
      <c r="E70" s="36" t="s">
        <v>602</v>
      </c>
      <c r="F70" s="35" t="s">
        <v>520</v>
      </c>
      <c r="G70" s="35"/>
      <c r="H70" s="39">
        <f>30-30</f>
        <v>0</v>
      </c>
      <c r="I70" s="37"/>
      <c r="J70" s="37"/>
      <c r="K70" s="37"/>
      <c r="L70" s="39">
        <f>60-60</f>
        <v>0</v>
      </c>
      <c r="M70" s="37"/>
      <c r="N70" s="37"/>
      <c r="O70" s="37"/>
      <c r="P70" s="37"/>
      <c r="Q70" s="39">
        <f>60-60</f>
        <v>0</v>
      </c>
      <c r="R70" s="37"/>
      <c r="S70" s="37"/>
      <c r="T70" s="37"/>
      <c r="U70" s="39">
        <f>40-40</f>
        <v>0</v>
      </c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50">
        <v>10</v>
      </c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9">
        <f>127-127</f>
        <v>0</v>
      </c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9">
        <f>375-375</f>
        <v>0</v>
      </c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42"/>
      <c r="GD70" s="43" t="s">
        <v>521</v>
      </c>
      <c r="GE70" s="44" t="s">
        <v>522</v>
      </c>
      <c r="GF70" s="44"/>
      <c r="GG70" s="44" t="s">
        <v>579</v>
      </c>
      <c r="GH70" s="45">
        <f t="shared" si="4"/>
        <v>10</v>
      </c>
      <c r="GI70" s="40" t="s">
        <v>580</v>
      </c>
    </row>
    <row r="71" spans="1:191" s="40" customFormat="1">
      <c r="A71" s="35" t="s">
        <v>526</v>
      </c>
      <c r="B71" s="35" t="s">
        <v>517</v>
      </c>
      <c r="C71" s="35" t="s">
        <v>555</v>
      </c>
      <c r="D71" s="35" t="s">
        <v>8</v>
      </c>
      <c r="E71" s="36" t="s">
        <v>603</v>
      </c>
      <c r="F71" s="35" t="s">
        <v>520</v>
      </c>
      <c r="G71" s="35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49">
        <v>20</v>
      </c>
      <c r="DN71" s="37"/>
      <c r="DO71" s="37"/>
      <c r="DP71" s="49">
        <v>20</v>
      </c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9">
        <f>50-50</f>
        <v>0</v>
      </c>
      <c r="EL71" s="39">
        <f>50-50</f>
        <v>0</v>
      </c>
      <c r="EM71" s="37"/>
      <c r="EN71" s="37"/>
      <c r="EO71" s="39">
        <f>50-50</f>
        <v>0</v>
      </c>
      <c r="EP71" s="49">
        <v>40</v>
      </c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9">
        <f>50-50</f>
        <v>0</v>
      </c>
      <c r="FC71" s="49">
        <v>5</v>
      </c>
      <c r="FD71" s="39">
        <f>40-40</f>
        <v>0</v>
      </c>
      <c r="FE71" s="39">
        <f>30-30</f>
        <v>0</v>
      </c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42"/>
      <c r="GD71" s="43" t="s">
        <v>521</v>
      </c>
      <c r="GE71" s="44" t="s">
        <v>522</v>
      </c>
      <c r="GF71" s="44"/>
      <c r="GG71" s="44" t="s">
        <v>579</v>
      </c>
      <c r="GH71" s="45">
        <f t="shared" si="4"/>
        <v>85</v>
      </c>
      <c r="GI71" s="40" t="s">
        <v>580</v>
      </c>
    </row>
    <row r="72" spans="1:191" s="40" customFormat="1">
      <c r="A72" s="35" t="s">
        <v>526</v>
      </c>
      <c r="B72" s="35" t="s">
        <v>517</v>
      </c>
      <c r="C72" s="35" t="s">
        <v>555</v>
      </c>
      <c r="D72" s="35" t="s">
        <v>4</v>
      </c>
      <c r="E72" s="36" t="s">
        <v>603</v>
      </c>
      <c r="F72" s="35" t="s">
        <v>520</v>
      </c>
      <c r="G72" s="35"/>
      <c r="H72" s="37"/>
      <c r="I72" s="37"/>
      <c r="J72" s="39">
        <f>5-5</f>
        <v>0</v>
      </c>
      <c r="K72" s="39">
        <f>5-5</f>
        <v>0</v>
      </c>
      <c r="L72" s="37"/>
      <c r="M72" s="39">
        <f>5-5</f>
        <v>0</v>
      </c>
      <c r="N72" s="39">
        <f>5-5</f>
        <v>0</v>
      </c>
      <c r="O72" s="39">
        <f>5-5+5</f>
        <v>5</v>
      </c>
      <c r="P72" s="37"/>
      <c r="Q72" s="37"/>
      <c r="R72" s="39">
        <f>5-5</f>
        <v>0</v>
      </c>
      <c r="S72" s="39">
        <f>5-5+5</f>
        <v>5</v>
      </c>
      <c r="T72" s="37"/>
      <c r="U72" s="37"/>
      <c r="V72" s="39">
        <f>5-5+5</f>
        <v>5</v>
      </c>
      <c r="W72" s="39">
        <f>5-5+5</f>
        <v>5</v>
      </c>
      <c r="X72" s="39">
        <f>5-5</f>
        <v>0</v>
      </c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9">
        <f>20-20</f>
        <v>0</v>
      </c>
      <c r="AY72" s="37"/>
      <c r="AZ72" s="39">
        <f>5-5+5</f>
        <v>5</v>
      </c>
      <c r="BA72" s="39">
        <f>10-10+5</f>
        <v>5</v>
      </c>
      <c r="BB72" s="39">
        <f>20-20+1</f>
        <v>1</v>
      </c>
      <c r="BC72" s="39">
        <f>20-20</f>
        <v>0</v>
      </c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9">
        <f>10-10+5</f>
        <v>5</v>
      </c>
      <c r="BZ72" s="37"/>
      <c r="CA72" s="39">
        <f>10-10</f>
        <v>0</v>
      </c>
      <c r="CB72" s="37"/>
      <c r="CC72" s="37"/>
      <c r="CD72" s="37"/>
      <c r="CE72" s="39">
        <f>10-10+10</f>
        <v>10</v>
      </c>
      <c r="CF72" s="39">
        <f>10-10</f>
        <v>0</v>
      </c>
      <c r="CG72" s="39">
        <f>20-20</f>
        <v>0</v>
      </c>
      <c r="CH72" s="39">
        <f>20-20</f>
        <v>0</v>
      </c>
      <c r="CI72" s="37"/>
      <c r="CJ72" s="37"/>
      <c r="CK72" s="37"/>
      <c r="CL72" s="37"/>
      <c r="CM72" s="37"/>
      <c r="CN72" s="37"/>
      <c r="CO72" s="37"/>
      <c r="CP72" s="37"/>
      <c r="CQ72" s="39">
        <f>20-20+5</f>
        <v>5</v>
      </c>
      <c r="CR72" s="37"/>
      <c r="CS72" s="39">
        <f>20-20+10</f>
        <v>10</v>
      </c>
      <c r="CT72" s="37"/>
      <c r="CU72" s="39">
        <f>20-20</f>
        <v>0</v>
      </c>
      <c r="CV72" s="39">
        <f>20-20+5</f>
        <v>5</v>
      </c>
      <c r="CW72" s="39">
        <f>20-20</f>
        <v>0</v>
      </c>
      <c r="CX72" s="37"/>
      <c r="CY72" s="39">
        <f>30-30</f>
        <v>0</v>
      </c>
      <c r="CZ72" s="37"/>
      <c r="DA72" s="49">
        <v>10</v>
      </c>
      <c r="DB72" s="39">
        <f>30-30+30</f>
        <v>30</v>
      </c>
      <c r="DC72" s="37"/>
      <c r="DD72" s="39">
        <f>30-30</f>
        <v>0</v>
      </c>
      <c r="DE72" s="49">
        <v>10</v>
      </c>
      <c r="DF72" s="37"/>
      <c r="DG72" s="37"/>
      <c r="DH72" s="37"/>
      <c r="DI72" s="37"/>
      <c r="DJ72" s="39">
        <f>20-20</f>
        <v>0</v>
      </c>
      <c r="DK72" s="37"/>
      <c r="DL72" s="37"/>
      <c r="DM72" s="39">
        <f>30-30</f>
        <v>0</v>
      </c>
      <c r="DN72" s="37"/>
      <c r="DO72" s="39">
        <f>30-30</f>
        <v>0</v>
      </c>
      <c r="DP72" s="39">
        <f>30-30</f>
        <v>0</v>
      </c>
      <c r="DQ72" s="39">
        <f>30-30</f>
        <v>0</v>
      </c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9">
        <f>50-50</f>
        <v>0</v>
      </c>
      <c r="ED72" s="37"/>
      <c r="EE72" s="37"/>
      <c r="EF72" s="39">
        <f>50-50</f>
        <v>0</v>
      </c>
      <c r="EG72" s="37"/>
      <c r="EH72" s="37"/>
      <c r="EI72" s="37"/>
      <c r="EJ72" s="39">
        <f>50-50</f>
        <v>0</v>
      </c>
      <c r="EK72" s="37"/>
      <c r="EL72" s="37"/>
      <c r="EM72" s="39">
        <f>50-50</f>
        <v>0</v>
      </c>
      <c r="EN72" s="39">
        <f>50-50</f>
        <v>0</v>
      </c>
      <c r="EO72" s="49">
        <v>20</v>
      </c>
      <c r="EP72" s="39">
        <f>50-50</f>
        <v>0</v>
      </c>
      <c r="EQ72" s="39">
        <f>50-50</f>
        <v>0</v>
      </c>
      <c r="ER72" s="37"/>
      <c r="ES72" s="39">
        <f>50-50</f>
        <v>0</v>
      </c>
      <c r="ET72" s="39">
        <f>50-50</f>
        <v>0</v>
      </c>
      <c r="EU72" s="39">
        <f>50-50</f>
        <v>0</v>
      </c>
      <c r="EV72" s="37"/>
      <c r="EW72" s="37"/>
      <c r="EX72" s="39">
        <f>50-50</f>
        <v>0</v>
      </c>
      <c r="EY72" s="39">
        <f>50-50</f>
        <v>0</v>
      </c>
      <c r="EZ72" s="39">
        <f>20-20</f>
        <v>0</v>
      </c>
      <c r="FA72" s="37"/>
      <c r="FB72" s="37"/>
      <c r="FC72" s="39">
        <f>20-20</f>
        <v>0</v>
      </c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42"/>
      <c r="GD72" s="43" t="s">
        <v>521</v>
      </c>
      <c r="GE72" s="44" t="s">
        <v>522</v>
      </c>
      <c r="GF72" s="44"/>
      <c r="GG72" s="44" t="s">
        <v>579</v>
      </c>
      <c r="GH72" s="45">
        <f t="shared" si="4"/>
        <v>136</v>
      </c>
      <c r="GI72" s="40" t="s">
        <v>580</v>
      </c>
    </row>
    <row r="73" spans="1:191" s="40" customFormat="1">
      <c r="A73" s="35" t="s">
        <v>526</v>
      </c>
      <c r="B73" s="35" t="s">
        <v>517</v>
      </c>
      <c r="C73" s="35" t="s">
        <v>555</v>
      </c>
      <c r="D73" s="35" t="s">
        <v>3</v>
      </c>
      <c r="E73" s="36" t="s">
        <v>603</v>
      </c>
      <c r="F73" s="35" t="s">
        <v>520</v>
      </c>
      <c r="G73" s="35"/>
      <c r="H73" s="39">
        <f>5-5</f>
        <v>0</v>
      </c>
      <c r="I73" s="37"/>
      <c r="J73" s="37"/>
      <c r="K73" s="37"/>
      <c r="L73" s="39">
        <f>5-5</f>
        <v>0</v>
      </c>
      <c r="M73" s="37"/>
      <c r="N73" s="37"/>
      <c r="O73" s="37"/>
      <c r="P73" s="37"/>
      <c r="Q73" s="39">
        <f>5-5</f>
        <v>0</v>
      </c>
      <c r="R73" s="37"/>
      <c r="S73" s="37"/>
      <c r="T73" s="37"/>
      <c r="U73" s="39">
        <f>5-5</f>
        <v>0</v>
      </c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9">
        <f>30-30</f>
        <v>0</v>
      </c>
      <c r="DB73" s="37"/>
      <c r="DC73" s="37"/>
      <c r="DD73" s="37"/>
      <c r="DE73" s="39">
        <f>20-20</f>
        <v>0</v>
      </c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42"/>
      <c r="GD73" s="43" t="s">
        <v>521</v>
      </c>
      <c r="GE73" s="44" t="s">
        <v>522</v>
      </c>
      <c r="GF73" s="44"/>
      <c r="GG73" s="44" t="s">
        <v>579</v>
      </c>
      <c r="GH73" s="45">
        <f t="shared" si="4"/>
        <v>0</v>
      </c>
      <c r="GI73" s="40" t="s">
        <v>580</v>
      </c>
    </row>
    <row r="74" spans="1:191" s="40" customFormat="1">
      <c r="A74" s="35" t="s">
        <v>526</v>
      </c>
      <c r="B74" s="35" t="s">
        <v>517</v>
      </c>
      <c r="C74" s="35" t="s">
        <v>555</v>
      </c>
      <c r="D74" s="35" t="s">
        <v>8</v>
      </c>
      <c r="E74" s="36" t="s">
        <v>604</v>
      </c>
      <c r="F74" s="35" t="s">
        <v>520</v>
      </c>
      <c r="G74" s="35" t="s">
        <v>605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49">
        <v>20</v>
      </c>
      <c r="DN74" s="37"/>
      <c r="DO74" s="37"/>
      <c r="DP74" s="49">
        <v>10</v>
      </c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9">
        <f>100-100</f>
        <v>0</v>
      </c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42"/>
      <c r="GD74" s="43" t="s">
        <v>521</v>
      </c>
      <c r="GE74" s="44" t="s">
        <v>522</v>
      </c>
      <c r="GF74" s="44" t="s">
        <v>606</v>
      </c>
      <c r="GG74" s="44" t="s">
        <v>607</v>
      </c>
      <c r="GH74" s="45">
        <f t="shared" si="4"/>
        <v>30</v>
      </c>
      <c r="GI74" s="40" t="s">
        <v>560</v>
      </c>
    </row>
    <row r="75" spans="1:191" s="40" customFormat="1">
      <c r="A75" s="35" t="s">
        <v>526</v>
      </c>
      <c r="B75" s="35" t="s">
        <v>517</v>
      </c>
      <c r="C75" s="35" t="s">
        <v>555</v>
      </c>
      <c r="D75" s="35" t="s">
        <v>4</v>
      </c>
      <c r="E75" s="36" t="s">
        <v>604</v>
      </c>
      <c r="F75" s="35" t="s">
        <v>520</v>
      </c>
      <c r="G75" s="35" t="s">
        <v>605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9">
        <f>10-10+10</f>
        <v>10</v>
      </c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9">
        <f>50-50</f>
        <v>0</v>
      </c>
      <c r="DN75" s="37"/>
      <c r="DO75" s="37"/>
      <c r="DP75" s="39">
        <f>30-30</f>
        <v>0</v>
      </c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42"/>
      <c r="GD75" s="43" t="s">
        <v>521</v>
      </c>
      <c r="GE75" s="44" t="s">
        <v>522</v>
      </c>
      <c r="GF75" s="44" t="s">
        <v>606</v>
      </c>
      <c r="GG75" s="44" t="s">
        <v>607</v>
      </c>
      <c r="GH75" s="45">
        <f t="shared" si="4"/>
        <v>10</v>
      </c>
      <c r="GI75" s="40" t="s">
        <v>560</v>
      </c>
    </row>
    <row r="76" spans="1:191" s="40" customFormat="1">
      <c r="A76" s="35" t="s">
        <v>526</v>
      </c>
      <c r="B76" s="35" t="s">
        <v>517</v>
      </c>
      <c r="C76" s="35" t="s">
        <v>555</v>
      </c>
      <c r="D76" s="35" t="s">
        <v>8</v>
      </c>
      <c r="E76" s="36" t="s">
        <v>608</v>
      </c>
      <c r="F76" s="35" t="s">
        <v>520</v>
      </c>
      <c r="G76" s="35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49">
        <v>20</v>
      </c>
      <c r="DQ76" s="37"/>
      <c r="DR76" s="37"/>
      <c r="DS76" s="37"/>
      <c r="DT76" s="37"/>
      <c r="DU76" s="39">
        <f>40-40</f>
        <v>0</v>
      </c>
      <c r="DV76" s="37"/>
      <c r="DW76" s="37"/>
      <c r="DX76" s="39">
        <f>50-50</f>
        <v>0</v>
      </c>
      <c r="DY76" s="39">
        <f>20-20+5</f>
        <v>5</v>
      </c>
      <c r="DZ76" s="37"/>
      <c r="EA76" s="37"/>
      <c r="EB76" s="39">
        <f>300-300</f>
        <v>0</v>
      </c>
      <c r="EC76" s="37"/>
      <c r="ED76" s="37"/>
      <c r="EE76" s="37"/>
      <c r="EF76" s="37"/>
      <c r="EG76" s="49">
        <v>13</v>
      </c>
      <c r="EH76" s="37"/>
      <c r="EI76" s="37"/>
      <c r="EJ76" s="49">
        <v>10</v>
      </c>
      <c r="EK76" s="39">
        <f>100-100</f>
        <v>0</v>
      </c>
      <c r="EL76" s="39">
        <f>100-100</f>
        <v>0</v>
      </c>
      <c r="EM76" s="49">
        <v>20</v>
      </c>
      <c r="EN76" s="37"/>
      <c r="EO76" s="37"/>
      <c r="EP76" s="49">
        <v>40</v>
      </c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9">
        <f>50-50+19</f>
        <v>19</v>
      </c>
      <c r="FN76" s="37"/>
      <c r="FO76" s="37"/>
      <c r="FP76" s="39">
        <f>30-30</f>
        <v>0</v>
      </c>
      <c r="FQ76" s="39">
        <f>20-20+3</f>
        <v>3</v>
      </c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42"/>
      <c r="GD76" s="43" t="s">
        <v>521</v>
      </c>
      <c r="GE76" s="44" t="s">
        <v>522</v>
      </c>
      <c r="GF76" s="44"/>
      <c r="GG76" s="44" t="s">
        <v>565</v>
      </c>
      <c r="GH76" s="45">
        <f t="shared" si="4"/>
        <v>130</v>
      </c>
      <c r="GI76" s="40" t="s">
        <v>563</v>
      </c>
    </row>
    <row r="77" spans="1:191" s="40" customFormat="1">
      <c r="A77" s="35" t="s">
        <v>526</v>
      </c>
      <c r="B77" s="35" t="s">
        <v>517</v>
      </c>
      <c r="C77" s="35" t="s">
        <v>555</v>
      </c>
      <c r="D77" s="35" t="s">
        <v>4</v>
      </c>
      <c r="E77" s="36" t="s">
        <v>608</v>
      </c>
      <c r="F77" s="35" t="s">
        <v>520</v>
      </c>
      <c r="G77" s="35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9">
        <f>1-1+1</f>
        <v>1</v>
      </c>
      <c r="T77" s="37"/>
      <c r="U77" s="37"/>
      <c r="V77" s="39">
        <f>10-10+10</f>
        <v>10</v>
      </c>
      <c r="W77" s="39">
        <f>60-60+5</f>
        <v>5</v>
      </c>
      <c r="X77" s="39">
        <f>20-20</f>
        <v>0</v>
      </c>
      <c r="Y77" s="37"/>
      <c r="Z77" s="37"/>
      <c r="AA77" s="37"/>
      <c r="AB77" s="37"/>
      <c r="AC77" s="39">
        <f>100-100+2</f>
        <v>2</v>
      </c>
      <c r="AD77" s="39">
        <f>100-100</f>
        <v>0</v>
      </c>
      <c r="AE77" s="39">
        <f>100-100</f>
        <v>0</v>
      </c>
      <c r="AF77" s="37"/>
      <c r="AG77" s="37"/>
      <c r="AH77" s="39">
        <f>20-20</f>
        <v>0</v>
      </c>
      <c r="AI77" s="39">
        <f>20-20+10</f>
        <v>10</v>
      </c>
      <c r="AJ77" s="39">
        <f>20-20</f>
        <v>0</v>
      </c>
      <c r="AK77" s="37"/>
      <c r="AL77" s="39">
        <f>20-20</f>
        <v>0</v>
      </c>
      <c r="AM77" s="37"/>
      <c r="AN77" s="39">
        <f>5-5</f>
        <v>0</v>
      </c>
      <c r="AO77" s="39">
        <f>5-5</f>
        <v>0</v>
      </c>
      <c r="AP77" s="39">
        <f>50-50</f>
        <v>0</v>
      </c>
      <c r="AQ77" s="39">
        <f>20-20</f>
        <v>0</v>
      </c>
      <c r="AR77" s="37"/>
      <c r="AS77" s="37"/>
      <c r="AT77" s="37"/>
      <c r="AU77" s="37"/>
      <c r="AV77" s="37"/>
      <c r="AW77" s="37"/>
      <c r="AX77" s="39">
        <f>1-1</f>
        <v>0</v>
      </c>
      <c r="AY77" s="37"/>
      <c r="AZ77" s="39">
        <f>5-5+5</f>
        <v>5</v>
      </c>
      <c r="BA77" s="37"/>
      <c r="BB77" s="39">
        <f>5-5+2</f>
        <v>2</v>
      </c>
      <c r="BC77" s="39">
        <f>5-5</f>
        <v>0</v>
      </c>
      <c r="BD77" s="37"/>
      <c r="BE77" s="37"/>
      <c r="BF77" s="37"/>
      <c r="BG77" s="37"/>
      <c r="BH77" s="37"/>
      <c r="BI77" s="37"/>
      <c r="BJ77" s="37"/>
      <c r="BK77" s="39">
        <f>1-1+1</f>
        <v>1</v>
      </c>
      <c r="BL77" s="37"/>
      <c r="BM77" s="39">
        <f>5-5+5</f>
        <v>5</v>
      </c>
      <c r="BN77" s="37"/>
      <c r="BO77" s="39">
        <f>5-5</f>
        <v>0</v>
      </c>
      <c r="BP77" s="39">
        <f>5-5</f>
        <v>0</v>
      </c>
      <c r="BQ77" s="37"/>
      <c r="BR77" s="37"/>
      <c r="BS77" s="37"/>
      <c r="BT77" s="37"/>
      <c r="BU77" s="37"/>
      <c r="BV77" s="37"/>
      <c r="BW77" s="39">
        <f>1-1</f>
        <v>0</v>
      </c>
      <c r="BX77" s="37"/>
      <c r="BY77" s="39">
        <f>2-2+2</f>
        <v>2</v>
      </c>
      <c r="BZ77" s="37"/>
      <c r="CA77" s="39">
        <f>2-2</f>
        <v>0</v>
      </c>
      <c r="CB77" s="37"/>
      <c r="CC77" s="37"/>
      <c r="CD77" s="37"/>
      <c r="CE77" s="39">
        <f>2-2+2</f>
        <v>2</v>
      </c>
      <c r="CF77" s="37"/>
      <c r="CG77" s="37"/>
      <c r="CH77" s="37"/>
      <c r="CI77" s="37"/>
      <c r="CJ77" s="39">
        <f>1-1+1</f>
        <v>1</v>
      </c>
      <c r="CK77" s="37"/>
      <c r="CL77" s="39">
        <f>20-20+5</f>
        <v>5</v>
      </c>
      <c r="CM77" s="39">
        <f>20-20+3</f>
        <v>3</v>
      </c>
      <c r="CN77" s="39">
        <f>20-20+1</f>
        <v>1</v>
      </c>
      <c r="CO77" s="39">
        <f>10-10</f>
        <v>0</v>
      </c>
      <c r="CP77" s="39">
        <f>20-20</f>
        <v>0</v>
      </c>
      <c r="CQ77" s="39">
        <f>5-5+5</f>
        <v>5</v>
      </c>
      <c r="CR77" s="37"/>
      <c r="CS77" s="39">
        <f>5-5+5</f>
        <v>5</v>
      </c>
      <c r="CT77" s="37"/>
      <c r="CU77" s="39">
        <f>5-5</f>
        <v>0</v>
      </c>
      <c r="CV77" s="39">
        <f>5-5+2</f>
        <v>2</v>
      </c>
      <c r="CW77" s="39">
        <f>10-10</f>
        <v>0</v>
      </c>
      <c r="CX77" s="37"/>
      <c r="CY77" s="37"/>
      <c r="CZ77" s="37"/>
      <c r="DA77" s="37"/>
      <c r="DB77" s="39">
        <f>30-30+30</f>
        <v>30</v>
      </c>
      <c r="DC77" s="37"/>
      <c r="DD77" s="39">
        <f>20-20</f>
        <v>0</v>
      </c>
      <c r="DE77" s="37"/>
      <c r="DF77" s="37"/>
      <c r="DG77" s="39">
        <f>30-30</f>
        <v>0</v>
      </c>
      <c r="DH77" s="39">
        <f>30-30</f>
        <v>0</v>
      </c>
      <c r="DI77" s="37"/>
      <c r="DJ77" s="39">
        <f>20-20+10</f>
        <v>10</v>
      </c>
      <c r="DK77" s="37"/>
      <c r="DL77" s="39">
        <f>30-30+20</f>
        <v>20</v>
      </c>
      <c r="DM77" s="39">
        <f>80-80</f>
        <v>0</v>
      </c>
      <c r="DN77" s="37"/>
      <c r="DO77" s="39">
        <f>40-40</f>
        <v>0</v>
      </c>
      <c r="DP77" s="39">
        <f>40-40</f>
        <v>0</v>
      </c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9">
        <f>300-300</f>
        <v>0</v>
      </c>
      <c r="ED77" s="39">
        <f>100-100</f>
        <v>0</v>
      </c>
      <c r="EE77" s="37"/>
      <c r="EF77" s="37"/>
      <c r="EG77" s="39">
        <f>100-100</f>
        <v>0</v>
      </c>
      <c r="EH77" s="39">
        <f>200-200+20</f>
        <v>20</v>
      </c>
      <c r="EI77" s="37"/>
      <c r="EJ77" s="39">
        <f>100-100</f>
        <v>0</v>
      </c>
      <c r="EK77" s="37"/>
      <c r="EL77" s="37"/>
      <c r="EM77" s="39">
        <f>50-50</f>
        <v>0</v>
      </c>
      <c r="EN77" s="37"/>
      <c r="EO77" s="37"/>
      <c r="EP77" s="39">
        <f>40-40</f>
        <v>0</v>
      </c>
      <c r="EQ77" s="39">
        <f>40-40</f>
        <v>0</v>
      </c>
      <c r="ER77" s="37"/>
      <c r="ES77" s="39">
        <f>20-20</f>
        <v>0</v>
      </c>
      <c r="ET77" s="37"/>
      <c r="EU77" s="39">
        <f>10-10</f>
        <v>0</v>
      </c>
      <c r="EV77" s="49">
        <v>2</v>
      </c>
      <c r="EW77" s="37"/>
      <c r="EX77" s="37"/>
      <c r="EY77" s="37"/>
      <c r="EZ77" s="39">
        <f>10-10</f>
        <v>0</v>
      </c>
      <c r="FA77" s="37"/>
      <c r="FB77" s="37"/>
      <c r="FC77" s="37"/>
      <c r="FD77" s="37"/>
      <c r="FE77" s="37"/>
      <c r="FF77" s="39">
        <f>10-10</f>
        <v>0</v>
      </c>
      <c r="FG77" s="37"/>
      <c r="FH77" s="37"/>
      <c r="FI77" s="37"/>
      <c r="FJ77" s="37"/>
      <c r="FK77" s="37"/>
      <c r="FL77" s="37"/>
      <c r="FM77" s="37"/>
      <c r="FN77" s="37"/>
      <c r="FO77" s="39">
        <f>30-30</f>
        <v>0</v>
      </c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42"/>
      <c r="GD77" s="43" t="s">
        <v>521</v>
      </c>
      <c r="GE77" s="44" t="s">
        <v>522</v>
      </c>
      <c r="GF77" s="44"/>
      <c r="GG77" s="44" t="s">
        <v>565</v>
      </c>
      <c r="GH77" s="45">
        <f t="shared" si="4"/>
        <v>149</v>
      </c>
      <c r="GI77" s="40" t="s">
        <v>563</v>
      </c>
    </row>
    <row r="78" spans="1:191" s="40" customFormat="1">
      <c r="A78" s="35" t="s">
        <v>526</v>
      </c>
      <c r="B78" s="35" t="s">
        <v>517</v>
      </c>
      <c r="C78" s="35" t="s">
        <v>555</v>
      </c>
      <c r="D78" s="35" t="s">
        <v>8</v>
      </c>
      <c r="E78" s="36" t="s">
        <v>609</v>
      </c>
      <c r="F78" s="35" t="s">
        <v>520</v>
      </c>
      <c r="G78" s="35" t="s">
        <v>610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49">
        <v>240</v>
      </c>
      <c r="DN78" s="37"/>
      <c r="DO78" s="37"/>
      <c r="DP78" s="49">
        <v>70</v>
      </c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9">
        <f>1000-1000</f>
        <v>0</v>
      </c>
      <c r="EL78" s="37"/>
      <c r="EM78" s="37"/>
      <c r="EN78" s="37"/>
      <c r="EO78" s="39">
        <f>500-500</f>
        <v>0</v>
      </c>
      <c r="EP78" s="49">
        <v>500</v>
      </c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9">
        <f>500-500</f>
        <v>0</v>
      </c>
      <c r="FE78" s="39">
        <f>500-500</f>
        <v>0</v>
      </c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42"/>
      <c r="GD78" s="43" t="s">
        <v>521</v>
      </c>
      <c r="GE78" s="44" t="s">
        <v>522</v>
      </c>
      <c r="GF78" s="44"/>
      <c r="GG78" s="44" t="s">
        <v>579</v>
      </c>
      <c r="GH78" s="45">
        <f t="shared" si="4"/>
        <v>810</v>
      </c>
      <c r="GI78" s="40" t="s">
        <v>588</v>
      </c>
    </row>
    <row r="79" spans="1:191" s="40" customFormat="1">
      <c r="A79" s="35" t="s">
        <v>526</v>
      </c>
      <c r="B79" s="35" t="s">
        <v>517</v>
      </c>
      <c r="C79" s="35" t="s">
        <v>555</v>
      </c>
      <c r="D79" s="35" t="s">
        <v>4</v>
      </c>
      <c r="E79" s="36" t="s">
        <v>609</v>
      </c>
      <c r="F79" s="35" t="s">
        <v>520</v>
      </c>
      <c r="G79" s="35" t="s">
        <v>610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9">
        <f>140-140+15</f>
        <v>15</v>
      </c>
      <c r="X79" s="39">
        <f>100-100</f>
        <v>0</v>
      </c>
      <c r="Y79" s="49">
        <v>20</v>
      </c>
      <c r="Z79" s="37"/>
      <c r="AA79" s="49">
        <v>20</v>
      </c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49">
        <v>50</v>
      </c>
      <c r="AX79" s="37"/>
      <c r="AY79" s="37"/>
      <c r="AZ79" s="49">
        <v>50</v>
      </c>
      <c r="BA79" s="49">
        <v>60</v>
      </c>
      <c r="BB79" s="49">
        <v>10</v>
      </c>
      <c r="BC79" s="37"/>
      <c r="BD79" s="49">
        <v>100</v>
      </c>
      <c r="BE79" s="37"/>
      <c r="BF79" s="37"/>
      <c r="BG79" s="37"/>
      <c r="BH79" s="37"/>
      <c r="BI79" s="37"/>
      <c r="BJ79" s="37"/>
      <c r="BK79" s="49">
        <v>5</v>
      </c>
      <c r="BL79" s="49">
        <v>15</v>
      </c>
      <c r="BM79" s="49">
        <v>160</v>
      </c>
      <c r="BN79" s="49">
        <v>20</v>
      </c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49">
        <v>20</v>
      </c>
      <c r="CE79" s="49">
        <v>33</v>
      </c>
      <c r="CF79" s="37"/>
      <c r="CG79" s="37"/>
      <c r="CH79" s="49">
        <v>5</v>
      </c>
      <c r="CI79" s="37"/>
      <c r="CJ79" s="49">
        <v>84</v>
      </c>
      <c r="CK79" s="37"/>
      <c r="CL79" s="49">
        <v>5</v>
      </c>
      <c r="CM79" s="49">
        <v>10</v>
      </c>
      <c r="CN79" s="49">
        <v>3</v>
      </c>
      <c r="CO79" s="37"/>
      <c r="CP79" s="37"/>
      <c r="CQ79" s="49">
        <v>50</v>
      </c>
      <c r="CR79" s="37"/>
      <c r="CS79" s="49">
        <v>100</v>
      </c>
      <c r="CT79" s="37"/>
      <c r="CU79" s="37"/>
      <c r="CV79" s="49">
        <v>10</v>
      </c>
      <c r="CW79" s="37"/>
      <c r="CX79" s="37"/>
      <c r="CY79" s="37"/>
      <c r="CZ79" s="49">
        <v>150</v>
      </c>
      <c r="DA79" s="49">
        <v>80</v>
      </c>
      <c r="DB79" s="49">
        <v>250</v>
      </c>
      <c r="DC79" s="37"/>
      <c r="DD79" s="37"/>
      <c r="DE79" s="49">
        <v>100</v>
      </c>
      <c r="DF79" s="37"/>
      <c r="DG79" s="37"/>
      <c r="DH79" s="49">
        <v>1</v>
      </c>
      <c r="DI79" s="49">
        <v>1</v>
      </c>
      <c r="DJ79" s="37"/>
      <c r="DK79" s="37"/>
      <c r="DL79" s="49">
        <v>80</v>
      </c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49">
        <v>10</v>
      </c>
      <c r="EA79" s="37"/>
      <c r="EB79" s="37"/>
      <c r="EC79" s="39">
        <f>300-300</f>
        <v>0</v>
      </c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49">
        <v>50</v>
      </c>
      <c r="EP79" s="39">
        <f>500-500</f>
        <v>0</v>
      </c>
      <c r="EQ79" s="37"/>
      <c r="ER79" s="49">
        <v>1</v>
      </c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49">
        <v>100</v>
      </c>
      <c r="FF79" s="39">
        <f>500-500+100</f>
        <v>100</v>
      </c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42"/>
      <c r="GD79" s="43" t="s">
        <v>521</v>
      </c>
      <c r="GE79" s="44" t="s">
        <v>522</v>
      </c>
      <c r="GF79" s="44"/>
      <c r="GG79" s="44" t="s">
        <v>579</v>
      </c>
      <c r="GH79" s="45">
        <f t="shared" si="4"/>
        <v>1768</v>
      </c>
      <c r="GI79" s="40" t="s">
        <v>588</v>
      </c>
    </row>
    <row r="80" spans="1:191" s="40" customFormat="1" ht="10.5">
      <c r="A80" s="35"/>
      <c r="B80" s="35"/>
      <c r="C80" s="35"/>
      <c r="D80" s="35" t="s">
        <v>3</v>
      </c>
      <c r="E80" s="36" t="s">
        <v>609</v>
      </c>
      <c r="F80" s="35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50">
        <v>20</v>
      </c>
      <c r="BQ80" s="37"/>
      <c r="BR80" s="37"/>
      <c r="BS80" s="37"/>
      <c r="BT80" s="37"/>
      <c r="BU80" s="37"/>
      <c r="BV80" s="37"/>
      <c r="BW80" s="37"/>
      <c r="BX80" s="37"/>
      <c r="BY80" s="49">
        <v>33</v>
      </c>
      <c r="BZ80" s="37"/>
      <c r="CA80" s="37"/>
      <c r="CB80" s="50">
        <v>10</v>
      </c>
      <c r="CC80" s="37"/>
      <c r="CD80" s="37"/>
      <c r="CE80" s="37"/>
      <c r="CF80" s="50">
        <v>5</v>
      </c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50">
        <v>2</v>
      </c>
      <c r="DO80" s="50">
        <v>1</v>
      </c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44"/>
      <c r="GG80" s="44"/>
      <c r="GH80" s="45"/>
    </row>
    <row r="81" spans="1:191" s="40" customFormat="1">
      <c r="A81" s="35" t="s">
        <v>517</v>
      </c>
      <c r="B81" s="35" t="s">
        <v>517</v>
      </c>
      <c r="C81" s="35" t="s">
        <v>555</v>
      </c>
      <c r="D81" s="35" t="s">
        <v>8</v>
      </c>
      <c r="E81" s="36" t="s">
        <v>611</v>
      </c>
      <c r="F81" s="35" t="s">
        <v>520</v>
      </c>
      <c r="G81" s="35" t="s">
        <v>612</v>
      </c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49">
        <v>20</v>
      </c>
      <c r="DN81" s="37"/>
      <c r="DO81" s="37"/>
      <c r="DP81" s="49">
        <v>20</v>
      </c>
      <c r="DQ81" s="37"/>
      <c r="DR81" s="37"/>
      <c r="DS81" s="37"/>
      <c r="DT81" s="37"/>
      <c r="DU81" s="39">
        <f>0-0</f>
        <v>0</v>
      </c>
      <c r="DV81" s="37"/>
      <c r="DW81" s="37"/>
      <c r="DX81" s="39">
        <f>50-50</f>
        <v>0</v>
      </c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9">
        <f>200-200</f>
        <v>0</v>
      </c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9">
        <f>50-50+20</f>
        <v>20</v>
      </c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42"/>
      <c r="GD81" s="43" t="s">
        <v>521</v>
      </c>
      <c r="GE81" s="44" t="s">
        <v>522</v>
      </c>
      <c r="GF81" s="44" t="s">
        <v>613</v>
      </c>
      <c r="GG81" s="44" t="s">
        <v>592</v>
      </c>
      <c r="GH81" s="45">
        <f t="shared" si="4"/>
        <v>60</v>
      </c>
      <c r="GI81" s="40" t="s">
        <v>560</v>
      </c>
    </row>
    <row r="82" spans="1:191" s="40" customFormat="1">
      <c r="A82" s="35" t="s">
        <v>517</v>
      </c>
      <c r="B82" s="35" t="s">
        <v>517</v>
      </c>
      <c r="C82" s="35" t="s">
        <v>555</v>
      </c>
      <c r="D82" s="35" t="s">
        <v>4</v>
      </c>
      <c r="E82" s="36" t="s">
        <v>611</v>
      </c>
      <c r="F82" s="35" t="s">
        <v>520</v>
      </c>
      <c r="G82" s="35" t="s">
        <v>612</v>
      </c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9">
        <f>10-10</f>
        <v>0</v>
      </c>
      <c r="AA82" s="39">
        <f>10-10+10</f>
        <v>10</v>
      </c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9">
        <f>5-5+5</f>
        <v>5</v>
      </c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9">
        <f>20-20+10</f>
        <v>10</v>
      </c>
      <c r="CF82" s="37"/>
      <c r="CG82" s="37"/>
      <c r="CH82" s="39">
        <f>10-10</f>
        <v>0</v>
      </c>
      <c r="CI82" s="37"/>
      <c r="CJ82" s="37"/>
      <c r="CK82" s="37"/>
      <c r="CL82" s="37"/>
      <c r="CM82" s="39">
        <f>30-30+5</f>
        <v>5</v>
      </c>
      <c r="CN82" s="37"/>
      <c r="CO82" s="37"/>
      <c r="CP82" s="37"/>
      <c r="CQ82" s="37"/>
      <c r="CR82" s="37"/>
      <c r="CS82" s="39">
        <f>50-50+40</f>
        <v>40</v>
      </c>
      <c r="CT82" s="37"/>
      <c r="CU82" s="37"/>
      <c r="CV82" s="39">
        <f>50-50+5</f>
        <v>5</v>
      </c>
      <c r="CW82" s="37"/>
      <c r="CX82" s="37"/>
      <c r="CY82" s="37"/>
      <c r="CZ82" s="37"/>
      <c r="DA82" s="37"/>
      <c r="DB82" s="39">
        <f>100-100+80</f>
        <v>80</v>
      </c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9">
        <f>100-100</f>
        <v>0</v>
      </c>
      <c r="DN82" s="37"/>
      <c r="DO82" s="37"/>
      <c r="DP82" s="39">
        <f>50-50</f>
        <v>0</v>
      </c>
      <c r="DQ82" s="37"/>
      <c r="DR82" s="37"/>
      <c r="DS82" s="37"/>
      <c r="DT82" s="37"/>
      <c r="DU82" s="37"/>
      <c r="DV82" s="37"/>
      <c r="DW82" s="39">
        <f>0-0</f>
        <v>0</v>
      </c>
      <c r="DX82" s="37"/>
      <c r="DY82" s="37"/>
      <c r="DZ82" s="39">
        <f>0-0</f>
        <v>0</v>
      </c>
      <c r="EA82" s="37"/>
      <c r="EB82" s="37"/>
      <c r="EC82" s="39">
        <f>100-100</f>
        <v>0</v>
      </c>
      <c r="ED82" s="37"/>
      <c r="EE82" s="37"/>
      <c r="EF82" s="37"/>
      <c r="EG82" s="37"/>
      <c r="EH82" s="39">
        <f>0-0</f>
        <v>0</v>
      </c>
      <c r="EI82" s="37"/>
      <c r="EJ82" s="39">
        <f>0-0</f>
        <v>0</v>
      </c>
      <c r="EK82" s="37"/>
      <c r="EL82" s="37"/>
      <c r="EM82" s="39">
        <f>0-0</f>
        <v>0</v>
      </c>
      <c r="EN82" s="37"/>
      <c r="EO82" s="37"/>
      <c r="EP82" s="39">
        <f>0-0</f>
        <v>0</v>
      </c>
      <c r="EQ82" s="37"/>
      <c r="ER82" s="37"/>
      <c r="ES82" s="37"/>
      <c r="ET82" s="37"/>
      <c r="EU82" s="39">
        <f>0-0</f>
        <v>0</v>
      </c>
      <c r="EV82" s="37"/>
      <c r="EW82" s="37"/>
      <c r="EX82" s="39">
        <f>0-0</f>
        <v>0</v>
      </c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42"/>
      <c r="GD82" s="43" t="s">
        <v>521</v>
      </c>
      <c r="GE82" s="44" t="s">
        <v>522</v>
      </c>
      <c r="GF82" s="44" t="s">
        <v>613</v>
      </c>
      <c r="GG82" s="44" t="s">
        <v>592</v>
      </c>
      <c r="GH82" s="45">
        <f t="shared" si="4"/>
        <v>155</v>
      </c>
      <c r="GI82" s="40" t="s">
        <v>560</v>
      </c>
    </row>
    <row r="83" spans="1:191" s="40" customFormat="1">
      <c r="A83" s="35" t="s">
        <v>517</v>
      </c>
      <c r="B83" s="35" t="s">
        <v>517</v>
      </c>
      <c r="C83" s="35" t="s">
        <v>555</v>
      </c>
      <c r="D83" s="35" t="s">
        <v>3</v>
      </c>
      <c r="E83" s="36" t="s">
        <v>611</v>
      </c>
      <c r="F83" s="35" t="s">
        <v>520</v>
      </c>
      <c r="G83" s="35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9">
        <f>50-50+20</f>
        <v>20</v>
      </c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42"/>
      <c r="GD83" s="43" t="s">
        <v>521</v>
      </c>
      <c r="GE83" s="44" t="s">
        <v>522</v>
      </c>
      <c r="GF83" s="44" t="s">
        <v>613</v>
      </c>
      <c r="GG83" s="44" t="s">
        <v>592</v>
      </c>
      <c r="GH83" s="45">
        <f t="shared" si="4"/>
        <v>20</v>
      </c>
      <c r="GI83" s="40" t="s">
        <v>560</v>
      </c>
    </row>
    <row r="84" spans="1:191" s="40" customFormat="1">
      <c r="A84" s="35" t="s">
        <v>526</v>
      </c>
      <c r="B84" s="35" t="s">
        <v>517</v>
      </c>
      <c r="C84" s="35" t="s">
        <v>555</v>
      </c>
      <c r="D84" s="35" t="s">
        <v>8</v>
      </c>
      <c r="E84" s="36" t="s">
        <v>614</v>
      </c>
      <c r="F84" s="35" t="s">
        <v>520</v>
      </c>
      <c r="G84" s="35" t="s">
        <v>615</v>
      </c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9">
        <f>200-200</f>
        <v>0</v>
      </c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42"/>
      <c r="GD84" s="43" t="s">
        <v>521</v>
      </c>
      <c r="GE84" s="44" t="s">
        <v>522</v>
      </c>
      <c r="GF84" s="44" t="s">
        <v>616</v>
      </c>
      <c r="GG84" s="44" t="s">
        <v>617</v>
      </c>
      <c r="GH84" s="45">
        <f t="shared" si="4"/>
        <v>0</v>
      </c>
      <c r="GI84" s="40" t="s">
        <v>560</v>
      </c>
    </row>
    <row r="85" spans="1:191" s="40" customFormat="1">
      <c r="A85" s="35" t="s">
        <v>526</v>
      </c>
      <c r="B85" s="35" t="s">
        <v>517</v>
      </c>
      <c r="C85" s="35" t="s">
        <v>555</v>
      </c>
      <c r="D85" s="35" t="s">
        <v>4</v>
      </c>
      <c r="E85" s="36" t="s">
        <v>614</v>
      </c>
      <c r="F85" s="35" t="s">
        <v>520</v>
      </c>
      <c r="G85" s="35" t="s">
        <v>615</v>
      </c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9">
        <f>20-20+5</f>
        <v>5</v>
      </c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9">
        <f>50-50</f>
        <v>0</v>
      </c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42"/>
      <c r="GD85" s="43" t="s">
        <v>521</v>
      </c>
      <c r="GE85" s="44" t="s">
        <v>522</v>
      </c>
      <c r="GF85" s="44" t="s">
        <v>616</v>
      </c>
      <c r="GG85" s="44" t="s">
        <v>617</v>
      </c>
      <c r="GH85" s="45">
        <f t="shared" si="4"/>
        <v>5</v>
      </c>
      <c r="GI85" s="40" t="s">
        <v>560</v>
      </c>
    </row>
    <row r="86" spans="1:191" s="40" customFormat="1">
      <c r="A86" s="35" t="s">
        <v>540</v>
      </c>
      <c r="B86" s="35" t="s">
        <v>517</v>
      </c>
      <c r="C86" s="35" t="s">
        <v>555</v>
      </c>
      <c r="D86" s="35" t="s">
        <v>8</v>
      </c>
      <c r="E86" s="36" t="s">
        <v>618</v>
      </c>
      <c r="F86" s="35" t="s">
        <v>520</v>
      </c>
      <c r="G86" s="35" t="s">
        <v>619</v>
      </c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  <c r="DK86" s="51"/>
      <c r="DL86" s="51"/>
      <c r="DM86" s="49">
        <v>20</v>
      </c>
      <c r="DN86" s="51"/>
      <c r="DO86" s="51"/>
      <c r="DP86" s="51"/>
      <c r="DQ86" s="51"/>
      <c r="DR86" s="51"/>
      <c r="DS86" s="51"/>
      <c r="DT86" s="51"/>
      <c r="DU86" s="39">
        <f>50-50+8</f>
        <v>8</v>
      </c>
      <c r="DV86" s="51"/>
      <c r="DW86" s="51"/>
      <c r="DX86" s="51"/>
      <c r="DY86" s="51"/>
      <c r="DZ86" s="51"/>
      <c r="EA86" s="51"/>
      <c r="EB86" s="51"/>
      <c r="EC86" s="51"/>
      <c r="ED86" s="51"/>
      <c r="EE86" s="51"/>
      <c r="EF86" s="51"/>
      <c r="EG86" s="51"/>
      <c r="EH86" s="51"/>
      <c r="EI86" s="51"/>
      <c r="EJ86" s="51"/>
      <c r="EK86" s="51"/>
      <c r="EL86" s="39">
        <f>280-280</f>
        <v>0</v>
      </c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51"/>
      <c r="FX86" s="51"/>
      <c r="FY86" s="51"/>
      <c r="FZ86" s="51"/>
      <c r="GA86" s="51"/>
      <c r="GB86" s="51"/>
      <c r="GC86" s="42"/>
      <c r="GD86" s="43" t="s">
        <v>521</v>
      </c>
      <c r="GE86" s="44" t="s">
        <v>522</v>
      </c>
      <c r="GF86" s="44" t="s">
        <v>620</v>
      </c>
      <c r="GG86" s="44" t="s">
        <v>592</v>
      </c>
      <c r="GH86" s="45">
        <f t="shared" si="4"/>
        <v>28</v>
      </c>
      <c r="GI86" s="40" t="s">
        <v>560</v>
      </c>
    </row>
    <row r="87" spans="1:191" s="40" customFormat="1" ht="10.5" thickBot="1">
      <c r="A87" s="52" t="s">
        <v>540</v>
      </c>
      <c r="B87" s="52" t="s">
        <v>517</v>
      </c>
      <c r="C87" s="52" t="s">
        <v>555</v>
      </c>
      <c r="D87" s="52" t="s">
        <v>4</v>
      </c>
      <c r="E87" s="53" t="s">
        <v>618</v>
      </c>
      <c r="F87" s="52" t="s">
        <v>520</v>
      </c>
      <c r="G87" s="52" t="s">
        <v>619</v>
      </c>
      <c r="H87" s="54"/>
      <c r="I87" s="54"/>
      <c r="J87" s="54"/>
      <c r="K87" s="54"/>
      <c r="L87" s="54"/>
      <c r="M87" s="54"/>
      <c r="N87" s="54"/>
      <c r="O87" s="55">
        <f>10-10+3</f>
        <v>3</v>
      </c>
      <c r="P87" s="54"/>
      <c r="Q87" s="54"/>
      <c r="R87" s="54"/>
      <c r="S87" s="54"/>
      <c r="T87" s="54"/>
      <c r="U87" s="54"/>
      <c r="V87" s="54"/>
      <c r="W87" s="55">
        <f>20-20+10</f>
        <v>10</v>
      </c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5">
        <f>10-10+5</f>
        <v>5</v>
      </c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5">
        <f>20-20+10</f>
        <v>10</v>
      </c>
      <c r="CF87" s="54"/>
      <c r="CG87" s="54"/>
      <c r="CH87" s="54"/>
      <c r="CI87" s="54"/>
      <c r="CJ87" s="54"/>
      <c r="CK87" s="54"/>
      <c r="CL87" s="54"/>
      <c r="CM87" s="54"/>
      <c r="CN87" s="54"/>
      <c r="CO87" s="55">
        <f>150-150</f>
        <v>0</v>
      </c>
      <c r="CP87" s="54"/>
      <c r="CQ87" s="54"/>
      <c r="CR87" s="54"/>
      <c r="CS87" s="55">
        <f>100-100+40</f>
        <v>40</v>
      </c>
      <c r="CT87" s="54"/>
      <c r="CU87" s="54"/>
      <c r="CV87" s="54"/>
      <c r="CW87" s="54"/>
      <c r="CX87" s="54"/>
      <c r="CY87" s="54"/>
      <c r="CZ87" s="54"/>
      <c r="DA87" s="54"/>
      <c r="DB87" s="55">
        <f>100-100+80</f>
        <v>80</v>
      </c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5">
        <f>125-125</f>
        <v>0</v>
      </c>
      <c r="DN87" s="54"/>
      <c r="DO87" s="54"/>
      <c r="DP87" s="54"/>
      <c r="DQ87" s="54"/>
      <c r="DR87" s="54"/>
      <c r="DS87" s="54"/>
      <c r="DT87" s="54"/>
      <c r="DU87" s="54"/>
      <c r="DV87" s="54"/>
      <c r="DW87" s="55">
        <f>0-0</f>
        <v>0</v>
      </c>
      <c r="DX87" s="54"/>
      <c r="DY87" s="54"/>
      <c r="DZ87" s="54"/>
      <c r="EA87" s="54"/>
      <c r="EB87" s="54"/>
      <c r="EC87" s="55">
        <f>230-230</f>
        <v>0</v>
      </c>
      <c r="ED87" s="54"/>
      <c r="EE87" s="54"/>
      <c r="EF87" s="54"/>
      <c r="EG87" s="54"/>
      <c r="EH87" s="55">
        <f>0-0</f>
        <v>0</v>
      </c>
      <c r="EI87" s="54"/>
      <c r="EJ87" s="54"/>
      <c r="EK87" s="54"/>
      <c r="EL87" s="54"/>
      <c r="EM87" s="55">
        <f>0-0</f>
        <v>0</v>
      </c>
      <c r="EN87" s="54"/>
      <c r="EO87" s="54"/>
      <c r="EP87" s="55">
        <f>0-0</f>
        <v>0</v>
      </c>
      <c r="EQ87" s="54"/>
      <c r="ER87" s="54"/>
      <c r="ES87" s="54"/>
      <c r="ET87" s="54"/>
      <c r="EU87" s="55">
        <f>0-0</f>
        <v>0</v>
      </c>
      <c r="EV87" s="54"/>
      <c r="EW87" s="54"/>
      <c r="EX87" s="55">
        <f>0-0</f>
        <v>0</v>
      </c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6"/>
      <c r="GD87" s="57" t="s">
        <v>521</v>
      </c>
      <c r="GE87" s="58" t="s">
        <v>522</v>
      </c>
      <c r="GF87" s="58" t="s">
        <v>620</v>
      </c>
      <c r="GG87" s="58" t="s">
        <v>592</v>
      </c>
      <c r="GH87" s="59">
        <f t="shared" si="4"/>
        <v>148</v>
      </c>
      <c r="GI87" s="60" t="s">
        <v>560</v>
      </c>
    </row>
    <row r="88" spans="1:191" s="40" customFormat="1">
      <c r="A88" s="35"/>
      <c r="B88" s="35"/>
      <c r="C88" s="35" t="s">
        <v>555</v>
      </c>
      <c r="D88" s="35" t="s">
        <v>8</v>
      </c>
      <c r="E88" s="36" t="s">
        <v>621</v>
      </c>
      <c r="F88" s="35"/>
      <c r="G88" s="35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>
        <v>780</v>
      </c>
      <c r="DN88" s="37"/>
      <c r="DO88" s="37"/>
      <c r="DP88" s="37">
        <v>420</v>
      </c>
      <c r="DQ88" s="37"/>
      <c r="DR88" s="37"/>
      <c r="DS88" s="37"/>
      <c r="DT88" s="37"/>
      <c r="DU88" s="37">
        <v>8</v>
      </c>
      <c r="DV88" s="37"/>
      <c r="DW88" s="37"/>
      <c r="DX88" s="37"/>
      <c r="DY88" s="37">
        <v>7</v>
      </c>
      <c r="DZ88" s="37"/>
      <c r="EA88" s="37">
        <v>28</v>
      </c>
      <c r="EB88" s="37"/>
      <c r="EC88" s="37"/>
      <c r="ED88" s="37"/>
      <c r="EE88" s="37"/>
      <c r="EF88" s="37"/>
      <c r="EG88" s="37">
        <v>13</v>
      </c>
      <c r="EH88" s="37"/>
      <c r="EI88" s="37"/>
      <c r="EJ88" s="37">
        <v>10</v>
      </c>
      <c r="EK88" s="37"/>
      <c r="EL88" s="37"/>
      <c r="EM88" s="37">
        <v>80</v>
      </c>
      <c r="EN88" s="37"/>
      <c r="EO88" s="37"/>
      <c r="EP88" s="37">
        <v>1690</v>
      </c>
      <c r="EQ88" s="37"/>
      <c r="ER88" s="37"/>
      <c r="ES88" s="37"/>
      <c r="ET88" s="37"/>
      <c r="EU88" s="37"/>
      <c r="EV88" s="37">
        <v>20</v>
      </c>
      <c r="EW88" s="37"/>
      <c r="EX88" s="37"/>
      <c r="EY88" s="37"/>
      <c r="EZ88" s="37"/>
      <c r="FA88" s="37"/>
      <c r="FB88" s="37"/>
      <c r="FC88" s="37">
        <v>5</v>
      </c>
      <c r="FD88" s="37">
        <v>100</v>
      </c>
      <c r="FE88" s="37"/>
      <c r="FF88" s="37"/>
      <c r="FG88" s="37"/>
      <c r="FH88" s="37"/>
      <c r="FI88" s="37"/>
      <c r="FJ88" s="37"/>
      <c r="FK88" s="37"/>
      <c r="FL88" s="37">
        <v>20</v>
      </c>
      <c r="FM88" s="37">
        <v>19</v>
      </c>
      <c r="FN88" s="37"/>
      <c r="FO88" s="37"/>
      <c r="FP88" s="37"/>
      <c r="FQ88" s="37">
        <v>3</v>
      </c>
      <c r="FR88" s="37"/>
      <c r="FS88" s="37"/>
      <c r="FT88" s="49">
        <v>15</v>
      </c>
      <c r="FU88" s="37"/>
      <c r="FV88" s="37"/>
      <c r="FW88" s="37"/>
      <c r="FX88" s="37"/>
      <c r="FY88" s="37"/>
      <c r="FZ88" s="37"/>
      <c r="GA88" s="37"/>
      <c r="GB88" s="37"/>
      <c r="GC88" s="42"/>
      <c r="GD88" s="61">
        <f t="shared" ref="GD88:GD90" si="5">SUM(M88:GB88)</f>
        <v>3218</v>
      </c>
      <c r="GE88" s="44"/>
      <c r="GF88" s="44"/>
      <c r="GG88" s="44"/>
      <c r="GH88" s="45">
        <f t="shared" si="4"/>
        <v>3218</v>
      </c>
    </row>
    <row r="89" spans="1:191" s="40" customFormat="1">
      <c r="A89" s="62"/>
      <c r="B89" s="62"/>
      <c r="C89" s="62" t="s">
        <v>555</v>
      </c>
      <c r="D89" s="62" t="s">
        <v>4</v>
      </c>
      <c r="E89" s="63" t="s">
        <v>621</v>
      </c>
      <c r="F89" s="62"/>
      <c r="G89" s="62"/>
      <c r="H89" s="38"/>
      <c r="I89" s="38"/>
      <c r="J89" s="38"/>
      <c r="K89" s="38"/>
      <c r="L89" s="38"/>
      <c r="M89" s="38"/>
      <c r="N89" s="38">
        <v>3</v>
      </c>
      <c r="O89" s="38">
        <v>35</v>
      </c>
      <c r="P89" s="38"/>
      <c r="Q89" s="38"/>
      <c r="R89" s="38"/>
      <c r="S89" s="38">
        <v>40</v>
      </c>
      <c r="T89" s="38">
        <v>12</v>
      </c>
      <c r="U89" s="38"/>
      <c r="V89" s="38">
        <v>50</v>
      </c>
      <c r="W89" s="38">
        <v>100</v>
      </c>
      <c r="X89" s="38"/>
      <c r="Y89" s="38">
        <v>80</v>
      </c>
      <c r="Z89" s="38"/>
      <c r="AA89" s="38">
        <v>90</v>
      </c>
      <c r="AB89" s="38"/>
      <c r="AC89" s="38">
        <v>4</v>
      </c>
      <c r="AD89" s="38"/>
      <c r="AE89" s="38"/>
      <c r="AF89" s="38"/>
      <c r="AG89" s="38"/>
      <c r="AH89" s="38"/>
      <c r="AI89" s="38">
        <v>20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>
        <v>95</v>
      </c>
      <c r="AX89" s="38"/>
      <c r="AY89" s="38"/>
      <c r="AZ89" s="38">
        <v>130</v>
      </c>
      <c r="BA89" s="38">
        <v>130</v>
      </c>
      <c r="BB89" s="38">
        <v>30</v>
      </c>
      <c r="BC89" s="38"/>
      <c r="BD89" s="38">
        <v>100</v>
      </c>
      <c r="BE89" s="38"/>
      <c r="BF89" s="38"/>
      <c r="BG89" s="38"/>
      <c r="BH89" s="38"/>
      <c r="BI89" s="38"/>
      <c r="BJ89" s="38"/>
      <c r="BK89" s="38">
        <v>35</v>
      </c>
      <c r="BL89" s="38">
        <v>45</v>
      </c>
      <c r="BM89" s="38">
        <v>260</v>
      </c>
      <c r="BN89" s="38">
        <v>90</v>
      </c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>
        <v>90</v>
      </c>
      <c r="BZ89" s="38"/>
      <c r="CA89" s="38"/>
      <c r="CB89" s="38"/>
      <c r="CC89" s="38"/>
      <c r="CD89" s="38">
        <v>40</v>
      </c>
      <c r="CE89" s="38">
        <v>200</v>
      </c>
      <c r="CF89" s="38"/>
      <c r="CG89" s="38">
        <v>1</v>
      </c>
      <c r="CH89" s="38">
        <v>15</v>
      </c>
      <c r="CI89" s="38"/>
      <c r="CJ89" s="38">
        <v>180</v>
      </c>
      <c r="CK89" s="38"/>
      <c r="CL89" s="38">
        <v>50</v>
      </c>
      <c r="CM89" s="38">
        <v>70</v>
      </c>
      <c r="CN89" s="38">
        <v>20</v>
      </c>
      <c r="CO89" s="38"/>
      <c r="CP89" s="38">
        <v>20</v>
      </c>
      <c r="CQ89" s="38">
        <v>130</v>
      </c>
      <c r="CR89" s="38"/>
      <c r="CS89" s="38">
        <v>640</v>
      </c>
      <c r="CT89" s="38"/>
      <c r="CU89" s="38"/>
      <c r="CV89" s="38">
        <v>70</v>
      </c>
      <c r="CW89" s="38"/>
      <c r="CX89" s="38"/>
      <c r="CY89" s="38">
        <v>3</v>
      </c>
      <c r="CZ89" s="38">
        <v>420</v>
      </c>
      <c r="DA89" s="38">
        <v>280</v>
      </c>
      <c r="DB89" s="38">
        <v>1220</v>
      </c>
      <c r="DC89" s="38"/>
      <c r="DD89" s="38"/>
      <c r="DE89" s="38">
        <v>420</v>
      </c>
      <c r="DF89" s="38"/>
      <c r="DG89" s="38">
        <v>1</v>
      </c>
      <c r="DH89" s="38">
        <v>1</v>
      </c>
      <c r="DI89" s="38">
        <v>1</v>
      </c>
      <c r="DJ89" s="38">
        <v>100</v>
      </c>
      <c r="DK89" s="38"/>
      <c r="DL89" s="38">
        <v>360</v>
      </c>
      <c r="DM89" s="38"/>
      <c r="DN89" s="38"/>
      <c r="DO89" s="38"/>
      <c r="DP89" s="38"/>
      <c r="DQ89" s="38">
        <v>60</v>
      </c>
      <c r="DR89" s="38"/>
      <c r="DS89" s="38"/>
      <c r="DT89" s="38"/>
      <c r="DU89" s="38"/>
      <c r="DV89" s="38"/>
      <c r="DW89" s="38"/>
      <c r="DX89" s="38"/>
      <c r="DY89" s="38"/>
      <c r="DZ89" s="38">
        <v>10</v>
      </c>
      <c r="EA89" s="38"/>
      <c r="EB89" s="38"/>
      <c r="EC89" s="38"/>
      <c r="ED89" s="38"/>
      <c r="EE89" s="38"/>
      <c r="EF89" s="38"/>
      <c r="EG89" s="38"/>
      <c r="EH89" s="38">
        <v>80</v>
      </c>
      <c r="EI89" s="38"/>
      <c r="EJ89" s="38"/>
      <c r="EK89" s="38"/>
      <c r="EL89" s="38"/>
      <c r="EM89" s="38"/>
      <c r="EN89" s="38"/>
      <c r="EO89" s="38">
        <v>310</v>
      </c>
      <c r="EP89" s="38"/>
      <c r="EQ89" s="38"/>
      <c r="ER89" s="38">
        <v>1</v>
      </c>
      <c r="ES89" s="38"/>
      <c r="ET89" s="38"/>
      <c r="EU89" s="38"/>
      <c r="EV89" s="38">
        <v>2</v>
      </c>
      <c r="EW89" s="38"/>
      <c r="EX89" s="38"/>
      <c r="EY89" s="38">
        <v>100</v>
      </c>
      <c r="EZ89" s="38"/>
      <c r="FA89" s="38"/>
      <c r="FB89" s="38"/>
      <c r="FC89" s="38">
        <v>10</v>
      </c>
      <c r="FD89" s="38"/>
      <c r="FE89" s="38">
        <v>200</v>
      </c>
      <c r="FF89" s="38">
        <v>180</v>
      </c>
      <c r="FG89" s="38"/>
      <c r="FH89" s="38"/>
      <c r="FI89" s="38"/>
      <c r="FJ89" s="38"/>
      <c r="FK89" s="38"/>
      <c r="FL89" s="38"/>
      <c r="FM89" s="38"/>
      <c r="FN89" s="38"/>
      <c r="FO89" s="38"/>
      <c r="FP89" s="38"/>
      <c r="FQ89" s="38"/>
      <c r="FR89" s="38"/>
      <c r="FS89" s="38"/>
      <c r="FT89" s="38"/>
      <c r="FU89" s="38"/>
      <c r="FV89" s="38"/>
      <c r="FW89" s="38"/>
      <c r="FX89" s="38"/>
      <c r="FY89" s="38"/>
      <c r="FZ89" s="38"/>
      <c r="GA89" s="38"/>
      <c r="GB89" s="38"/>
      <c r="GC89" s="64"/>
      <c r="GD89" s="65">
        <f t="shared" si="5"/>
        <v>6634</v>
      </c>
      <c r="GE89" s="66"/>
      <c r="GF89" s="66"/>
      <c r="GG89" s="66"/>
      <c r="GH89" s="67">
        <f t="shared" si="4"/>
        <v>6634</v>
      </c>
    </row>
    <row r="90" spans="1:191" s="74" customFormat="1" ht="10.5">
      <c r="A90" s="68"/>
      <c r="B90" s="68"/>
      <c r="C90" s="68" t="s">
        <v>555</v>
      </c>
      <c r="D90" s="68" t="s">
        <v>3</v>
      </c>
      <c r="E90" s="69" t="s">
        <v>621</v>
      </c>
      <c r="F90" s="68"/>
      <c r="G90" s="68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>
        <v>40</v>
      </c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>
        <v>15</v>
      </c>
      <c r="CC90" s="70"/>
      <c r="CD90" s="70"/>
      <c r="CE90" s="70"/>
      <c r="CF90" s="70">
        <v>40</v>
      </c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  <c r="DB90" s="70"/>
      <c r="DC90" s="70"/>
      <c r="DD90" s="70"/>
      <c r="DE90" s="70"/>
      <c r="DF90" s="70"/>
      <c r="DG90" s="70"/>
      <c r="DH90" s="70"/>
      <c r="DI90" s="70"/>
      <c r="DJ90" s="70"/>
      <c r="DK90" s="70"/>
      <c r="DL90" s="70"/>
      <c r="DM90" s="70"/>
      <c r="DN90" s="70">
        <v>2</v>
      </c>
      <c r="DO90" s="70">
        <v>1</v>
      </c>
      <c r="DP90" s="70"/>
      <c r="DQ90" s="70"/>
      <c r="DR90" s="70"/>
      <c r="DS90" s="70"/>
      <c r="DT90" s="70"/>
      <c r="DU90" s="70"/>
      <c r="DV90" s="70"/>
      <c r="DW90" s="70"/>
      <c r="DX90" s="70"/>
      <c r="DY90" s="70"/>
      <c r="DZ90" s="70"/>
      <c r="EA90" s="70"/>
      <c r="EB90" s="70"/>
      <c r="EC90" s="70"/>
      <c r="ED90" s="70"/>
      <c r="EE90" s="70"/>
      <c r="EF90" s="70"/>
      <c r="EG90" s="70"/>
      <c r="EH90" s="70"/>
      <c r="EI90" s="70"/>
      <c r="EJ90" s="70"/>
      <c r="EK90" s="70"/>
      <c r="EL90" s="70"/>
      <c r="EM90" s="70"/>
      <c r="EN90" s="70"/>
      <c r="EO90" s="70"/>
      <c r="EP90" s="70"/>
      <c r="EQ90" s="70"/>
      <c r="ER90" s="70"/>
      <c r="ES90" s="70"/>
      <c r="ET90" s="70"/>
      <c r="EU90" s="70"/>
      <c r="EV90" s="70"/>
      <c r="EW90" s="70"/>
      <c r="EX90" s="70"/>
      <c r="EY90" s="70"/>
      <c r="EZ90" s="70"/>
      <c r="FA90" s="70"/>
      <c r="FB90" s="70"/>
      <c r="FC90" s="70"/>
      <c r="FD90" s="70"/>
      <c r="FE90" s="70"/>
      <c r="FF90" s="70"/>
      <c r="FG90" s="70"/>
      <c r="FH90" s="70"/>
      <c r="FI90" s="70"/>
      <c r="FJ90" s="70"/>
      <c r="FK90" s="70"/>
      <c r="FL90" s="70"/>
      <c r="FM90" s="70"/>
      <c r="FN90" s="70"/>
      <c r="FO90" s="70"/>
      <c r="FP90" s="70"/>
      <c r="FQ90" s="70"/>
      <c r="FR90" s="70"/>
      <c r="FS90" s="70"/>
      <c r="FT90" s="70"/>
      <c r="FU90" s="70"/>
      <c r="FV90" s="70"/>
      <c r="FW90" s="70"/>
      <c r="FX90" s="70"/>
      <c r="FY90" s="70"/>
      <c r="FZ90" s="70"/>
      <c r="GA90" s="70"/>
      <c r="GB90" s="70"/>
      <c r="GC90" s="71"/>
      <c r="GD90" s="61">
        <f t="shared" si="5"/>
        <v>98</v>
      </c>
      <c r="GE90" s="72"/>
      <c r="GF90" s="72"/>
      <c r="GG90" s="72"/>
      <c r="GH90" s="73">
        <f t="shared" si="4"/>
        <v>98</v>
      </c>
    </row>
    <row r="91" spans="1:191" s="3" customFormat="1" ht="10.5">
      <c r="A91" s="75"/>
      <c r="B91" s="76"/>
      <c r="C91" s="76"/>
      <c r="D91" s="76"/>
      <c r="E91" s="77" t="s">
        <v>622</v>
      </c>
      <c r="F91" s="77"/>
      <c r="G91" s="78"/>
      <c r="H91" s="79">
        <f t="shared" ref="H91:BS91" si="6">SUM(H7:H90)</f>
        <v>0</v>
      </c>
      <c r="I91" s="79">
        <f t="shared" si="6"/>
        <v>0</v>
      </c>
      <c r="J91" s="79">
        <f t="shared" si="6"/>
        <v>0</v>
      </c>
      <c r="K91" s="79">
        <f t="shared" si="6"/>
        <v>0</v>
      </c>
      <c r="L91" s="79">
        <f t="shared" si="6"/>
        <v>0</v>
      </c>
      <c r="M91" s="79">
        <f t="shared" si="6"/>
        <v>0</v>
      </c>
      <c r="N91" s="79">
        <f t="shared" si="6"/>
        <v>9</v>
      </c>
      <c r="O91" s="79">
        <f t="shared" si="6"/>
        <v>550</v>
      </c>
      <c r="P91" s="79">
        <f t="shared" si="6"/>
        <v>0</v>
      </c>
      <c r="Q91" s="79">
        <f t="shared" si="6"/>
        <v>0</v>
      </c>
      <c r="R91" s="79">
        <f t="shared" si="6"/>
        <v>0</v>
      </c>
      <c r="S91" s="79">
        <f t="shared" si="6"/>
        <v>520</v>
      </c>
      <c r="T91" s="79">
        <f t="shared" si="6"/>
        <v>36</v>
      </c>
      <c r="U91" s="79">
        <f t="shared" si="6"/>
        <v>0</v>
      </c>
      <c r="V91" s="79">
        <f t="shared" si="6"/>
        <v>315</v>
      </c>
      <c r="W91" s="79">
        <f t="shared" si="6"/>
        <v>650</v>
      </c>
      <c r="X91" s="79">
        <f t="shared" si="6"/>
        <v>7</v>
      </c>
      <c r="Y91" s="79">
        <f t="shared" si="6"/>
        <v>550</v>
      </c>
      <c r="Z91" s="79">
        <f t="shared" si="6"/>
        <v>0</v>
      </c>
      <c r="AA91" s="79">
        <f t="shared" si="6"/>
        <v>570</v>
      </c>
      <c r="AB91" s="79">
        <f t="shared" si="6"/>
        <v>0</v>
      </c>
      <c r="AC91" s="79">
        <f t="shared" si="6"/>
        <v>8</v>
      </c>
      <c r="AD91" s="79">
        <f t="shared" si="6"/>
        <v>0</v>
      </c>
      <c r="AE91" s="79">
        <f t="shared" si="6"/>
        <v>0</v>
      </c>
      <c r="AF91" s="79">
        <f t="shared" si="6"/>
        <v>0</v>
      </c>
      <c r="AG91" s="79">
        <f t="shared" si="6"/>
        <v>0</v>
      </c>
      <c r="AH91" s="79">
        <f t="shared" si="6"/>
        <v>0</v>
      </c>
      <c r="AI91" s="79">
        <f t="shared" si="6"/>
        <v>40</v>
      </c>
      <c r="AJ91" s="79">
        <f t="shared" si="6"/>
        <v>0</v>
      </c>
      <c r="AK91" s="79">
        <f t="shared" si="6"/>
        <v>0</v>
      </c>
      <c r="AL91" s="79">
        <f t="shared" si="6"/>
        <v>0</v>
      </c>
      <c r="AM91" s="79">
        <f t="shared" si="6"/>
        <v>0</v>
      </c>
      <c r="AN91" s="79">
        <f t="shared" si="6"/>
        <v>0</v>
      </c>
      <c r="AO91" s="79">
        <f t="shared" si="6"/>
        <v>0</v>
      </c>
      <c r="AP91" s="79">
        <f t="shared" si="6"/>
        <v>0</v>
      </c>
      <c r="AQ91" s="79">
        <f t="shared" si="6"/>
        <v>0</v>
      </c>
      <c r="AR91" s="79">
        <f t="shared" si="6"/>
        <v>0</v>
      </c>
      <c r="AS91" s="79">
        <f t="shared" si="6"/>
        <v>0</v>
      </c>
      <c r="AT91" s="79">
        <f t="shared" si="6"/>
        <v>0</v>
      </c>
      <c r="AU91" s="79">
        <f t="shared" si="6"/>
        <v>4</v>
      </c>
      <c r="AV91" s="79">
        <f t="shared" si="6"/>
        <v>0</v>
      </c>
      <c r="AW91" s="79">
        <f t="shared" si="6"/>
        <v>660</v>
      </c>
      <c r="AX91" s="79">
        <f t="shared" si="6"/>
        <v>3</v>
      </c>
      <c r="AY91" s="79">
        <f t="shared" si="6"/>
        <v>0</v>
      </c>
      <c r="AZ91" s="79">
        <f t="shared" si="6"/>
        <v>900</v>
      </c>
      <c r="BA91" s="79">
        <f t="shared" si="6"/>
        <v>920</v>
      </c>
      <c r="BB91" s="79">
        <f t="shared" si="6"/>
        <v>220</v>
      </c>
      <c r="BC91" s="79">
        <f t="shared" si="6"/>
        <v>20</v>
      </c>
      <c r="BD91" s="79">
        <f t="shared" si="6"/>
        <v>690</v>
      </c>
      <c r="BE91" s="79">
        <f t="shared" si="6"/>
        <v>0</v>
      </c>
      <c r="BF91" s="79">
        <f t="shared" si="6"/>
        <v>7</v>
      </c>
      <c r="BG91" s="79">
        <f>SUM(BG7:BG90)</f>
        <v>0</v>
      </c>
      <c r="BH91" s="79">
        <f>SUM(BH7:BH90)</f>
        <v>0</v>
      </c>
      <c r="BI91" s="79">
        <f t="shared" si="6"/>
        <v>0</v>
      </c>
      <c r="BJ91" s="79">
        <f t="shared" si="6"/>
        <v>0</v>
      </c>
      <c r="BK91" s="79">
        <f t="shared" si="6"/>
        <v>270</v>
      </c>
      <c r="BL91" s="79">
        <f t="shared" si="6"/>
        <v>325</v>
      </c>
      <c r="BM91" s="79">
        <f t="shared" si="6"/>
        <v>1900</v>
      </c>
      <c r="BN91" s="79">
        <f t="shared" si="6"/>
        <v>645</v>
      </c>
      <c r="BO91" s="79">
        <f t="shared" si="6"/>
        <v>0</v>
      </c>
      <c r="BP91" s="79">
        <f t="shared" si="6"/>
        <v>280</v>
      </c>
      <c r="BQ91" s="79">
        <f t="shared" si="6"/>
        <v>7</v>
      </c>
      <c r="BR91" s="79">
        <f t="shared" si="6"/>
        <v>1</v>
      </c>
      <c r="BS91" s="79">
        <f t="shared" si="6"/>
        <v>0</v>
      </c>
      <c r="BT91" s="79">
        <f t="shared" ref="BT91:EE91" si="7">SUM(BT7:BT90)</f>
        <v>0</v>
      </c>
      <c r="BU91" s="79">
        <f t="shared" si="7"/>
        <v>0</v>
      </c>
      <c r="BV91" s="79">
        <f t="shared" si="7"/>
        <v>0</v>
      </c>
      <c r="BW91" s="79">
        <f t="shared" si="7"/>
        <v>14</v>
      </c>
      <c r="BX91" s="79">
        <f t="shared" si="7"/>
        <v>2</v>
      </c>
      <c r="BY91" s="79">
        <f t="shared" si="7"/>
        <v>600</v>
      </c>
      <c r="BZ91" s="79">
        <f t="shared" si="7"/>
        <v>25</v>
      </c>
      <c r="CA91" s="79">
        <f t="shared" si="7"/>
        <v>0</v>
      </c>
      <c r="CB91" s="79">
        <f t="shared" si="7"/>
        <v>95</v>
      </c>
      <c r="CC91" s="79">
        <f t="shared" si="7"/>
        <v>0</v>
      </c>
      <c r="CD91" s="79">
        <f t="shared" si="7"/>
        <v>380</v>
      </c>
      <c r="CE91" s="79">
        <f t="shared" si="7"/>
        <v>1640</v>
      </c>
      <c r="CF91" s="79">
        <f t="shared" si="7"/>
        <v>280</v>
      </c>
      <c r="CG91" s="79">
        <f t="shared" si="7"/>
        <v>3</v>
      </c>
      <c r="CH91" s="79">
        <f t="shared" si="7"/>
        <v>55</v>
      </c>
      <c r="CI91" s="79">
        <f t="shared" si="7"/>
        <v>40</v>
      </c>
      <c r="CJ91" s="79">
        <f t="shared" si="7"/>
        <v>1080</v>
      </c>
      <c r="CK91" s="79">
        <f t="shared" si="7"/>
        <v>5</v>
      </c>
      <c r="CL91" s="79">
        <f t="shared" si="7"/>
        <v>340</v>
      </c>
      <c r="CM91" s="79">
        <f t="shared" si="7"/>
        <v>480</v>
      </c>
      <c r="CN91" s="79">
        <f t="shared" si="7"/>
        <v>210</v>
      </c>
      <c r="CO91" s="79">
        <f t="shared" si="7"/>
        <v>0</v>
      </c>
      <c r="CP91" s="79">
        <f t="shared" si="7"/>
        <v>190</v>
      </c>
      <c r="CQ91" s="79">
        <f t="shared" si="7"/>
        <v>1030</v>
      </c>
      <c r="CR91" s="79">
        <f t="shared" si="7"/>
        <v>0</v>
      </c>
      <c r="CS91" s="79">
        <f t="shared" si="7"/>
        <v>4840</v>
      </c>
      <c r="CT91" s="79">
        <f t="shared" si="7"/>
        <v>0</v>
      </c>
      <c r="CU91" s="79">
        <f t="shared" si="7"/>
        <v>0</v>
      </c>
      <c r="CV91" s="79">
        <f t="shared" si="7"/>
        <v>530</v>
      </c>
      <c r="CW91" s="79">
        <f t="shared" si="7"/>
        <v>0</v>
      </c>
      <c r="CX91" s="79">
        <f t="shared" si="7"/>
        <v>0</v>
      </c>
      <c r="CY91" s="79">
        <f t="shared" si="7"/>
        <v>6</v>
      </c>
      <c r="CZ91" s="79">
        <f t="shared" si="7"/>
        <v>2615</v>
      </c>
      <c r="DA91" s="79">
        <f t="shared" si="7"/>
        <v>1710</v>
      </c>
      <c r="DB91" s="79">
        <f t="shared" si="7"/>
        <v>6950</v>
      </c>
      <c r="DC91" s="79">
        <f t="shared" si="7"/>
        <v>0</v>
      </c>
      <c r="DD91" s="79">
        <f t="shared" si="7"/>
        <v>0</v>
      </c>
      <c r="DE91" s="79">
        <f t="shared" si="7"/>
        <v>2350</v>
      </c>
      <c r="DF91" s="79">
        <f t="shared" si="7"/>
        <v>0</v>
      </c>
      <c r="DG91" s="79">
        <f t="shared" si="7"/>
        <v>2</v>
      </c>
      <c r="DH91" s="79">
        <f t="shared" si="7"/>
        <v>2</v>
      </c>
      <c r="DI91" s="79">
        <f t="shared" si="7"/>
        <v>2</v>
      </c>
      <c r="DJ91" s="79">
        <f t="shared" si="7"/>
        <v>1610</v>
      </c>
      <c r="DK91" s="79">
        <f t="shared" si="7"/>
        <v>0</v>
      </c>
      <c r="DL91" s="79">
        <f t="shared" si="7"/>
        <v>1910</v>
      </c>
      <c r="DM91" s="79">
        <f>SUM(DM7:DM90)</f>
        <v>4320</v>
      </c>
      <c r="DN91" s="79">
        <f t="shared" ref="DN91" si="8">SUM(DN7:DN90)</f>
        <v>4</v>
      </c>
      <c r="DO91" s="79">
        <f t="shared" si="7"/>
        <v>2</v>
      </c>
      <c r="DP91" s="79">
        <f>SUM(DP7:DP90)</f>
        <v>2350</v>
      </c>
      <c r="DQ91" s="79">
        <f t="shared" si="7"/>
        <v>1000</v>
      </c>
      <c r="DR91" s="79">
        <f>SUM(DR7:DR90)</f>
        <v>0</v>
      </c>
      <c r="DS91" s="79">
        <f t="shared" ref="DS91" si="9">SUM(DS7:DS90)</f>
        <v>20</v>
      </c>
      <c r="DT91" s="79">
        <f t="shared" si="7"/>
        <v>0</v>
      </c>
      <c r="DU91" s="79">
        <f t="shared" si="7"/>
        <v>16</v>
      </c>
      <c r="DV91" s="79">
        <f t="shared" si="7"/>
        <v>0</v>
      </c>
      <c r="DW91" s="79">
        <f t="shared" si="7"/>
        <v>0</v>
      </c>
      <c r="DX91" s="79">
        <f t="shared" si="7"/>
        <v>0</v>
      </c>
      <c r="DY91" s="79">
        <f t="shared" si="7"/>
        <v>14</v>
      </c>
      <c r="DZ91" s="79">
        <f t="shared" si="7"/>
        <v>20</v>
      </c>
      <c r="EA91" s="79">
        <f t="shared" si="7"/>
        <v>56</v>
      </c>
      <c r="EB91" s="79">
        <f t="shared" si="7"/>
        <v>0</v>
      </c>
      <c r="EC91" s="79">
        <f t="shared" si="7"/>
        <v>0</v>
      </c>
      <c r="ED91" s="79">
        <f t="shared" si="7"/>
        <v>0</v>
      </c>
      <c r="EE91" s="79">
        <f t="shared" si="7"/>
        <v>0</v>
      </c>
      <c r="EF91" s="79">
        <f t="shared" ref="EF91:ER91" si="10">SUM(EF7:EF90)</f>
        <v>0</v>
      </c>
      <c r="EG91" s="79">
        <f t="shared" si="10"/>
        <v>26</v>
      </c>
      <c r="EH91" s="79">
        <f t="shared" si="10"/>
        <v>240</v>
      </c>
      <c r="EI91" s="79">
        <f t="shared" si="10"/>
        <v>0</v>
      </c>
      <c r="EJ91" s="79">
        <f>SUM(EJ7:EJ90)</f>
        <v>20</v>
      </c>
      <c r="EK91" s="79">
        <f t="shared" si="10"/>
        <v>20</v>
      </c>
      <c r="EL91" s="79">
        <f t="shared" si="10"/>
        <v>0</v>
      </c>
      <c r="EM91" s="79">
        <f t="shared" si="10"/>
        <v>160</v>
      </c>
      <c r="EN91" s="79">
        <f t="shared" si="10"/>
        <v>0</v>
      </c>
      <c r="EO91" s="79">
        <f>SUM(EO8:EO90)</f>
        <v>1200</v>
      </c>
      <c r="EP91" s="79">
        <f>SUM(EP7:EP90)</f>
        <v>6180</v>
      </c>
      <c r="EQ91" s="79">
        <f t="shared" si="10"/>
        <v>0</v>
      </c>
      <c r="ER91" s="79">
        <f t="shared" si="10"/>
        <v>2</v>
      </c>
      <c r="ES91" s="79">
        <f>SUM(ES7:ES90)</f>
        <v>10</v>
      </c>
      <c r="ET91" s="79">
        <f t="shared" ref="ET91:FY91" si="11">SUM(ET7:ET90)</f>
        <v>9</v>
      </c>
      <c r="EU91" s="79">
        <f t="shared" si="11"/>
        <v>0</v>
      </c>
      <c r="EV91" s="79">
        <f t="shared" si="11"/>
        <v>44</v>
      </c>
      <c r="EW91" s="79">
        <f t="shared" si="11"/>
        <v>0</v>
      </c>
      <c r="EX91" s="79">
        <f>SUM(EX7:EX90)</f>
        <v>0</v>
      </c>
      <c r="EY91" s="79">
        <f t="shared" si="11"/>
        <v>440</v>
      </c>
      <c r="EZ91" s="79">
        <f t="shared" si="11"/>
        <v>0</v>
      </c>
      <c r="FA91" s="79">
        <f t="shared" si="11"/>
        <v>0</v>
      </c>
      <c r="FB91" s="79">
        <f t="shared" si="11"/>
        <v>0</v>
      </c>
      <c r="FC91" s="79">
        <f t="shared" si="11"/>
        <v>30</v>
      </c>
      <c r="FD91" s="79">
        <f t="shared" si="11"/>
        <v>420</v>
      </c>
      <c r="FE91" s="79">
        <f t="shared" si="11"/>
        <v>1170</v>
      </c>
      <c r="FF91" s="79">
        <f t="shared" si="11"/>
        <v>500</v>
      </c>
      <c r="FG91" s="79">
        <f t="shared" si="11"/>
        <v>0</v>
      </c>
      <c r="FH91" s="79">
        <f t="shared" si="11"/>
        <v>0</v>
      </c>
      <c r="FI91" s="79">
        <f t="shared" si="11"/>
        <v>0</v>
      </c>
      <c r="FJ91" s="79">
        <f t="shared" si="11"/>
        <v>0</v>
      </c>
      <c r="FK91" s="79">
        <f t="shared" si="11"/>
        <v>40</v>
      </c>
      <c r="FL91" s="79">
        <f t="shared" si="11"/>
        <v>40</v>
      </c>
      <c r="FM91" s="79">
        <f t="shared" si="11"/>
        <v>38</v>
      </c>
      <c r="FN91" s="79">
        <f t="shared" si="11"/>
        <v>0</v>
      </c>
      <c r="FO91" s="79">
        <f t="shared" si="11"/>
        <v>0</v>
      </c>
      <c r="FP91" s="79">
        <f t="shared" si="11"/>
        <v>0</v>
      </c>
      <c r="FQ91" s="79">
        <f t="shared" si="11"/>
        <v>6</v>
      </c>
      <c r="FR91" s="79">
        <f t="shared" si="11"/>
        <v>0</v>
      </c>
      <c r="FS91" s="79">
        <f t="shared" si="11"/>
        <v>0</v>
      </c>
      <c r="FT91" s="79">
        <f t="shared" si="11"/>
        <v>30</v>
      </c>
      <c r="FU91" s="79">
        <f t="shared" si="11"/>
        <v>0</v>
      </c>
      <c r="FV91" s="79">
        <f t="shared" si="11"/>
        <v>0</v>
      </c>
      <c r="FW91" s="79">
        <f t="shared" si="11"/>
        <v>0</v>
      </c>
      <c r="FX91" s="79">
        <f t="shared" si="11"/>
        <v>0</v>
      </c>
      <c r="FY91" s="79">
        <f t="shared" si="11"/>
        <v>0</v>
      </c>
      <c r="FZ91" s="79">
        <f>SUM(FZ7:FZ90)</f>
        <v>0</v>
      </c>
      <c r="GA91" s="79">
        <f t="shared" ref="GA91:GB91" si="12">SUM(GA7:GA90)</f>
        <v>0</v>
      </c>
      <c r="GB91" s="79">
        <f t="shared" si="12"/>
        <v>0</v>
      </c>
      <c r="GC91" s="80"/>
      <c r="GD91" s="81">
        <f>SUM(H91:GB91)</f>
        <v>57530</v>
      </c>
      <c r="GE91" s="82"/>
      <c r="GF91" s="83"/>
      <c r="GG91" s="83"/>
      <c r="GH91" s="79">
        <f>SUM(GH7:GH90)</f>
        <v>57309</v>
      </c>
      <c r="GI91" s="40"/>
    </row>
    <row r="93" spans="1:191">
      <c r="E93" s="85" t="s">
        <v>623</v>
      </c>
      <c r="H93" s="86">
        <f>H47+H48+H49+H54+H55+H56+H68+H69+H70+H71+H72+H73+H78+H79</f>
        <v>0</v>
      </c>
      <c r="I93" s="86">
        <f t="shared" ref="I93:BO93" si="13">I47+I48+I49+I54+I55+I56+I68+I69+I70+I71+I72+I73+I78+I79</f>
        <v>0</v>
      </c>
      <c r="J93" s="86">
        <f t="shared" si="13"/>
        <v>0</v>
      </c>
      <c r="K93" s="86">
        <f t="shared" si="13"/>
        <v>0</v>
      </c>
      <c r="L93" s="86">
        <f t="shared" si="13"/>
        <v>0</v>
      </c>
      <c r="M93" s="86">
        <f t="shared" si="13"/>
        <v>0</v>
      </c>
      <c r="N93" s="86">
        <f t="shared" si="13"/>
        <v>0</v>
      </c>
      <c r="O93" s="86">
        <f t="shared" si="13"/>
        <v>30</v>
      </c>
      <c r="P93" s="86">
        <f t="shared" si="13"/>
        <v>0</v>
      </c>
      <c r="Q93" s="86">
        <f t="shared" si="13"/>
        <v>0</v>
      </c>
      <c r="R93" s="86">
        <f t="shared" si="13"/>
        <v>0</v>
      </c>
      <c r="S93" s="86">
        <f t="shared" si="13"/>
        <v>25</v>
      </c>
      <c r="T93" s="86">
        <f t="shared" si="13"/>
        <v>10</v>
      </c>
      <c r="U93" s="86">
        <f t="shared" si="13"/>
        <v>0</v>
      </c>
      <c r="V93" s="86">
        <f t="shared" si="13"/>
        <v>30</v>
      </c>
      <c r="W93" s="86">
        <f t="shared" si="13"/>
        <v>60</v>
      </c>
      <c r="X93" s="86">
        <f t="shared" si="13"/>
        <v>0</v>
      </c>
      <c r="Y93" s="86">
        <f t="shared" si="13"/>
        <v>70</v>
      </c>
      <c r="Z93" s="86">
        <f t="shared" si="13"/>
        <v>0</v>
      </c>
      <c r="AA93" s="86">
        <f t="shared" si="13"/>
        <v>75</v>
      </c>
      <c r="AB93" s="86">
        <f t="shared" si="13"/>
        <v>0</v>
      </c>
      <c r="AC93" s="86">
        <f t="shared" si="13"/>
        <v>0</v>
      </c>
      <c r="AD93" s="86">
        <f t="shared" si="13"/>
        <v>0</v>
      </c>
      <c r="AE93" s="86">
        <f t="shared" si="13"/>
        <v>0</v>
      </c>
      <c r="AF93" s="86">
        <f t="shared" si="13"/>
        <v>0</v>
      </c>
      <c r="AG93" s="86">
        <f t="shared" si="13"/>
        <v>0</v>
      </c>
      <c r="AH93" s="86">
        <f t="shared" si="13"/>
        <v>0</v>
      </c>
      <c r="AI93" s="86">
        <f t="shared" si="13"/>
        <v>0</v>
      </c>
      <c r="AJ93" s="86">
        <f t="shared" si="13"/>
        <v>0</v>
      </c>
      <c r="AK93" s="86">
        <f t="shared" si="13"/>
        <v>0</v>
      </c>
      <c r="AL93" s="86">
        <f t="shared" si="13"/>
        <v>0</v>
      </c>
      <c r="AM93" s="86">
        <f t="shared" si="13"/>
        <v>0</v>
      </c>
      <c r="AN93" s="86">
        <f t="shared" si="13"/>
        <v>0</v>
      </c>
      <c r="AO93" s="86">
        <f t="shared" si="13"/>
        <v>0</v>
      </c>
      <c r="AP93" s="86">
        <f t="shared" si="13"/>
        <v>0</v>
      </c>
      <c r="AQ93" s="86">
        <f t="shared" si="13"/>
        <v>0</v>
      </c>
      <c r="AR93" s="86">
        <f t="shared" si="13"/>
        <v>0</v>
      </c>
      <c r="AS93" s="86">
        <f t="shared" si="13"/>
        <v>0</v>
      </c>
      <c r="AT93" s="86">
        <f t="shared" si="13"/>
        <v>0</v>
      </c>
      <c r="AU93" s="86">
        <f t="shared" si="13"/>
        <v>0</v>
      </c>
      <c r="AV93" s="86">
        <f t="shared" si="13"/>
        <v>0</v>
      </c>
      <c r="AW93" s="86">
        <f t="shared" si="13"/>
        <v>85</v>
      </c>
      <c r="AX93" s="86">
        <f t="shared" si="13"/>
        <v>0</v>
      </c>
      <c r="AY93" s="86">
        <f t="shared" si="13"/>
        <v>0</v>
      </c>
      <c r="AZ93" s="86">
        <f t="shared" si="13"/>
        <v>85</v>
      </c>
      <c r="BA93" s="86">
        <f t="shared" si="13"/>
        <v>100</v>
      </c>
      <c r="BB93" s="86">
        <f t="shared" si="13"/>
        <v>26</v>
      </c>
      <c r="BC93" s="86">
        <f t="shared" si="13"/>
        <v>0</v>
      </c>
      <c r="BD93" s="86">
        <f t="shared" si="13"/>
        <v>100</v>
      </c>
      <c r="BE93" s="86">
        <f t="shared" si="13"/>
        <v>0</v>
      </c>
      <c r="BF93" s="86">
        <f t="shared" si="13"/>
        <v>0</v>
      </c>
      <c r="BG93" s="86">
        <f t="shared" si="13"/>
        <v>0</v>
      </c>
      <c r="BH93" s="86">
        <f t="shared" si="13"/>
        <v>0</v>
      </c>
      <c r="BI93" s="86">
        <f t="shared" si="13"/>
        <v>0</v>
      </c>
      <c r="BJ93" s="86">
        <f t="shared" si="13"/>
        <v>0</v>
      </c>
      <c r="BK93" s="86">
        <f t="shared" si="13"/>
        <v>29</v>
      </c>
      <c r="BL93" s="86">
        <f t="shared" si="13"/>
        <v>35</v>
      </c>
      <c r="BM93" s="86">
        <f t="shared" si="13"/>
        <v>215</v>
      </c>
      <c r="BN93" s="86">
        <f t="shared" si="13"/>
        <v>70</v>
      </c>
      <c r="BO93" s="86">
        <f t="shared" si="13"/>
        <v>0</v>
      </c>
      <c r="BP93" s="86">
        <f t="shared" ref="BP93:EA93" si="14">BP47+BP48+BP49+BP54+BP55+BP56+BP68+BP69+BP70+BP71+BP72+BP73+BP78+BP79+BP80</f>
        <v>20</v>
      </c>
      <c r="BQ93" s="86">
        <f t="shared" si="14"/>
        <v>0</v>
      </c>
      <c r="BR93" s="86">
        <f t="shared" si="14"/>
        <v>0</v>
      </c>
      <c r="BS93" s="86">
        <f t="shared" si="14"/>
        <v>0</v>
      </c>
      <c r="BT93" s="86">
        <f t="shared" si="14"/>
        <v>0</v>
      </c>
      <c r="BU93" s="86">
        <f t="shared" si="14"/>
        <v>0</v>
      </c>
      <c r="BV93" s="86">
        <f t="shared" si="14"/>
        <v>0</v>
      </c>
      <c r="BW93" s="86">
        <f t="shared" si="14"/>
        <v>0</v>
      </c>
      <c r="BX93" s="86">
        <f t="shared" si="14"/>
        <v>0</v>
      </c>
      <c r="BY93" s="86">
        <f t="shared" si="14"/>
        <v>73</v>
      </c>
      <c r="BZ93" s="86">
        <f t="shared" si="14"/>
        <v>0</v>
      </c>
      <c r="CA93" s="86">
        <f t="shared" si="14"/>
        <v>0</v>
      </c>
      <c r="CB93" s="86">
        <f t="shared" si="14"/>
        <v>10</v>
      </c>
      <c r="CC93" s="86">
        <f t="shared" si="14"/>
        <v>0</v>
      </c>
      <c r="CD93" s="86">
        <f t="shared" si="14"/>
        <v>40</v>
      </c>
      <c r="CE93" s="86">
        <f t="shared" si="14"/>
        <v>103</v>
      </c>
      <c r="CF93" s="86">
        <f t="shared" si="14"/>
        <v>30</v>
      </c>
      <c r="CG93" s="86">
        <f t="shared" si="14"/>
        <v>0</v>
      </c>
      <c r="CH93" s="86">
        <f t="shared" si="14"/>
        <v>5</v>
      </c>
      <c r="CI93" s="86">
        <f t="shared" si="14"/>
        <v>0</v>
      </c>
      <c r="CJ93" s="86">
        <f t="shared" si="14"/>
        <v>134</v>
      </c>
      <c r="CK93" s="86">
        <f t="shared" si="14"/>
        <v>0</v>
      </c>
      <c r="CL93" s="86">
        <f t="shared" si="14"/>
        <v>25</v>
      </c>
      <c r="CM93" s="86">
        <f t="shared" si="14"/>
        <v>30</v>
      </c>
      <c r="CN93" s="86">
        <f t="shared" si="14"/>
        <v>10</v>
      </c>
      <c r="CO93" s="86">
        <f t="shared" si="14"/>
        <v>0</v>
      </c>
      <c r="CP93" s="86">
        <f t="shared" si="14"/>
        <v>20</v>
      </c>
      <c r="CQ93" s="86">
        <f t="shared" si="14"/>
        <v>85</v>
      </c>
      <c r="CR93" s="86">
        <f t="shared" si="14"/>
        <v>0</v>
      </c>
      <c r="CS93" s="86">
        <f t="shared" si="14"/>
        <v>425</v>
      </c>
      <c r="CT93" s="86">
        <f t="shared" si="14"/>
        <v>0</v>
      </c>
      <c r="CU93" s="86">
        <f t="shared" si="14"/>
        <v>0</v>
      </c>
      <c r="CV93" s="86">
        <f t="shared" si="14"/>
        <v>35</v>
      </c>
      <c r="CW93" s="86">
        <f t="shared" si="14"/>
        <v>0</v>
      </c>
      <c r="CX93" s="86">
        <f t="shared" si="14"/>
        <v>0</v>
      </c>
      <c r="CY93" s="86">
        <f t="shared" si="14"/>
        <v>0</v>
      </c>
      <c r="CZ93" s="86">
        <f t="shared" si="14"/>
        <v>390</v>
      </c>
      <c r="DA93" s="86">
        <f t="shared" si="14"/>
        <v>240</v>
      </c>
      <c r="DB93" s="86">
        <f t="shared" si="14"/>
        <v>600</v>
      </c>
      <c r="DC93" s="86">
        <f t="shared" si="14"/>
        <v>0</v>
      </c>
      <c r="DD93" s="86">
        <f t="shared" si="14"/>
        <v>0</v>
      </c>
      <c r="DE93" s="86">
        <f t="shared" si="14"/>
        <v>270</v>
      </c>
      <c r="DF93" s="86">
        <f t="shared" si="14"/>
        <v>0</v>
      </c>
      <c r="DG93" s="86">
        <f t="shared" si="14"/>
        <v>0</v>
      </c>
      <c r="DH93" s="86">
        <f t="shared" si="14"/>
        <v>1</v>
      </c>
      <c r="DI93" s="86">
        <f t="shared" si="14"/>
        <v>1</v>
      </c>
      <c r="DJ93" s="86">
        <f t="shared" si="14"/>
        <v>70</v>
      </c>
      <c r="DK93" s="86">
        <f t="shared" si="14"/>
        <v>0</v>
      </c>
      <c r="DL93" s="86">
        <f t="shared" si="14"/>
        <v>260</v>
      </c>
      <c r="DM93" s="86">
        <f t="shared" si="14"/>
        <v>500</v>
      </c>
      <c r="DN93" s="86">
        <f t="shared" si="14"/>
        <v>2</v>
      </c>
      <c r="DO93" s="86">
        <f t="shared" si="14"/>
        <v>1</v>
      </c>
      <c r="DP93" s="86">
        <f t="shared" si="14"/>
        <v>230</v>
      </c>
      <c r="DQ93" s="86">
        <f t="shared" si="14"/>
        <v>50</v>
      </c>
      <c r="DR93" s="86">
        <f t="shared" si="14"/>
        <v>0</v>
      </c>
      <c r="DS93" s="86">
        <f t="shared" si="14"/>
        <v>0</v>
      </c>
      <c r="DT93" s="86">
        <f t="shared" si="14"/>
        <v>0</v>
      </c>
      <c r="DU93" s="86">
        <f t="shared" si="14"/>
        <v>0</v>
      </c>
      <c r="DV93" s="86">
        <f t="shared" si="14"/>
        <v>0</v>
      </c>
      <c r="DW93" s="86">
        <f t="shared" si="14"/>
        <v>0</v>
      </c>
      <c r="DX93" s="86">
        <f t="shared" si="14"/>
        <v>0</v>
      </c>
      <c r="DY93" s="86">
        <f t="shared" si="14"/>
        <v>0</v>
      </c>
      <c r="DZ93" s="86">
        <f>DZ47+DZ48+DZ49+DZ54+DZ55+DZ56+DZ68+DZ69+DZ70+DZ71+DZ72+DZ73+DZ78+DZ79+DZ80</f>
        <v>10</v>
      </c>
      <c r="EA93" s="86">
        <f t="shared" si="14"/>
        <v>28</v>
      </c>
      <c r="EB93" s="86">
        <f t="shared" ref="EB93:GB93" si="15">EB47+EB48+EB49+EB54+EB55+EB56+EB68+EB69+EB70+EB71+EB72+EB73+EB78+EB79+EB80</f>
        <v>0</v>
      </c>
      <c r="EC93" s="86">
        <f t="shared" si="15"/>
        <v>0</v>
      </c>
      <c r="ED93" s="86">
        <f t="shared" si="15"/>
        <v>0</v>
      </c>
      <c r="EE93" s="86">
        <f t="shared" si="15"/>
        <v>0</v>
      </c>
      <c r="EF93" s="86">
        <f t="shared" si="15"/>
        <v>0</v>
      </c>
      <c r="EG93" s="86">
        <f t="shared" si="15"/>
        <v>0</v>
      </c>
      <c r="EH93" s="86">
        <f t="shared" si="15"/>
        <v>20</v>
      </c>
      <c r="EI93" s="86">
        <f t="shared" si="15"/>
        <v>0</v>
      </c>
      <c r="EJ93" s="86">
        <f t="shared" si="15"/>
        <v>0</v>
      </c>
      <c r="EK93" s="86">
        <f t="shared" si="15"/>
        <v>0</v>
      </c>
      <c r="EL93" s="86">
        <f t="shared" si="15"/>
        <v>0</v>
      </c>
      <c r="EM93" s="86">
        <f t="shared" si="15"/>
        <v>0</v>
      </c>
      <c r="EN93" s="86">
        <f t="shared" si="15"/>
        <v>0</v>
      </c>
      <c r="EO93" s="86">
        <f t="shared" si="15"/>
        <v>260</v>
      </c>
      <c r="EP93" s="86">
        <f t="shared" si="15"/>
        <v>1450</v>
      </c>
      <c r="EQ93" s="86">
        <f t="shared" si="15"/>
        <v>0</v>
      </c>
      <c r="ER93" s="86">
        <f t="shared" si="15"/>
        <v>1</v>
      </c>
      <c r="ES93" s="86">
        <f t="shared" si="15"/>
        <v>0</v>
      </c>
      <c r="ET93" s="86">
        <f t="shared" si="15"/>
        <v>0</v>
      </c>
      <c r="EU93" s="86">
        <f t="shared" si="15"/>
        <v>0</v>
      </c>
      <c r="EV93" s="86">
        <f t="shared" si="15"/>
        <v>0</v>
      </c>
      <c r="EW93" s="86">
        <f t="shared" si="15"/>
        <v>0</v>
      </c>
      <c r="EX93" s="86">
        <f t="shared" si="15"/>
        <v>0</v>
      </c>
      <c r="EY93" s="86">
        <f t="shared" si="15"/>
        <v>40</v>
      </c>
      <c r="EZ93" s="86">
        <f t="shared" si="15"/>
        <v>0</v>
      </c>
      <c r="FA93" s="86">
        <f t="shared" si="15"/>
        <v>0</v>
      </c>
      <c r="FB93" s="86">
        <f t="shared" si="15"/>
        <v>0</v>
      </c>
      <c r="FC93" s="86">
        <f t="shared" si="15"/>
        <v>15</v>
      </c>
      <c r="FD93" s="86">
        <f t="shared" si="15"/>
        <v>60</v>
      </c>
      <c r="FE93" s="86">
        <f t="shared" si="15"/>
        <v>140</v>
      </c>
      <c r="FF93" s="86">
        <f t="shared" si="15"/>
        <v>120</v>
      </c>
      <c r="FG93" s="86">
        <f t="shared" si="15"/>
        <v>0</v>
      </c>
      <c r="FH93" s="86">
        <f t="shared" si="15"/>
        <v>0</v>
      </c>
      <c r="FI93" s="86">
        <f t="shared" si="15"/>
        <v>0</v>
      </c>
      <c r="FJ93" s="86">
        <f t="shared" si="15"/>
        <v>0</v>
      </c>
      <c r="FK93" s="86">
        <f t="shared" si="15"/>
        <v>40</v>
      </c>
      <c r="FL93" s="86">
        <f t="shared" si="15"/>
        <v>20</v>
      </c>
      <c r="FM93" s="86">
        <f t="shared" si="15"/>
        <v>0</v>
      </c>
      <c r="FN93" s="86">
        <f t="shared" si="15"/>
        <v>0</v>
      </c>
      <c r="FO93" s="86">
        <f t="shared" si="15"/>
        <v>0</v>
      </c>
      <c r="FP93" s="86">
        <f t="shared" si="15"/>
        <v>0</v>
      </c>
      <c r="FQ93" s="86">
        <f t="shared" si="15"/>
        <v>0</v>
      </c>
      <c r="FR93" s="86">
        <f t="shared" si="15"/>
        <v>0</v>
      </c>
      <c r="FS93" s="86">
        <f t="shared" si="15"/>
        <v>0</v>
      </c>
      <c r="FT93" s="86">
        <f t="shared" si="15"/>
        <v>0</v>
      </c>
      <c r="FU93" s="86">
        <f t="shared" si="15"/>
        <v>0</v>
      </c>
      <c r="FV93" s="86">
        <f t="shared" si="15"/>
        <v>0</v>
      </c>
      <c r="FW93" s="86">
        <f t="shared" si="15"/>
        <v>0</v>
      </c>
      <c r="FX93" s="86">
        <f t="shared" si="15"/>
        <v>0</v>
      </c>
      <c r="FY93" s="86">
        <f t="shared" si="15"/>
        <v>0</v>
      </c>
      <c r="FZ93" s="86">
        <f t="shared" si="15"/>
        <v>0</v>
      </c>
      <c r="GA93" s="86">
        <f t="shared" si="15"/>
        <v>0</v>
      </c>
      <c r="GB93" s="86">
        <f t="shared" si="15"/>
        <v>0</v>
      </c>
      <c r="GC93" s="86"/>
      <c r="GD93" s="86">
        <f>SUM(M93:GB93)</f>
        <v>6909</v>
      </c>
    </row>
    <row r="94" spans="1:191">
      <c r="E94" s="87" t="s">
        <v>624</v>
      </c>
      <c r="H94" s="86">
        <f>H34+H35+H36+H37+H38+H39+H41+H42+H50+H51+H76+H77</f>
        <v>0</v>
      </c>
      <c r="I94" s="86">
        <f t="shared" ref="I94:BO94" si="16">I34+I35+I36+I37+I38+I39+I41+I42+I50+I51+I76+I77</f>
        <v>0</v>
      </c>
      <c r="J94" s="86">
        <f t="shared" si="16"/>
        <v>0</v>
      </c>
      <c r="K94" s="86">
        <f t="shared" si="16"/>
        <v>0</v>
      </c>
      <c r="L94" s="86">
        <f t="shared" si="16"/>
        <v>0</v>
      </c>
      <c r="M94" s="86">
        <f t="shared" si="16"/>
        <v>0</v>
      </c>
      <c r="N94" s="86">
        <f t="shared" si="16"/>
        <v>0</v>
      </c>
      <c r="O94" s="86">
        <f t="shared" si="16"/>
        <v>0</v>
      </c>
      <c r="P94" s="86">
        <f t="shared" si="16"/>
        <v>0</v>
      </c>
      <c r="Q94" s="86">
        <f t="shared" si="16"/>
        <v>0</v>
      </c>
      <c r="R94" s="86">
        <f t="shared" si="16"/>
        <v>0</v>
      </c>
      <c r="S94" s="86">
        <f t="shared" si="16"/>
        <v>6</v>
      </c>
      <c r="T94" s="86">
        <f t="shared" si="16"/>
        <v>0</v>
      </c>
      <c r="U94" s="86">
        <f t="shared" si="16"/>
        <v>0</v>
      </c>
      <c r="V94" s="86">
        <f t="shared" si="16"/>
        <v>10</v>
      </c>
      <c r="W94" s="86">
        <f t="shared" si="16"/>
        <v>20</v>
      </c>
      <c r="X94" s="86">
        <f t="shared" si="16"/>
        <v>0</v>
      </c>
      <c r="Y94" s="86">
        <f t="shared" si="16"/>
        <v>5</v>
      </c>
      <c r="Z94" s="86">
        <f t="shared" si="16"/>
        <v>0</v>
      </c>
      <c r="AA94" s="86">
        <f t="shared" si="16"/>
        <v>0</v>
      </c>
      <c r="AB94" s="86">
        <f t="shared" si="16"/>
        <v>0</v>
      </c>
      <c r="AC94" s="86">
        <f t="shared" si="16"/>
        <v>4</v>
      </c>
      <c r="AD94" s="86">
        <f t="shared" si="16"/>
        <v>0</v>
      </c>
      <c r="AE94" s="86">
        <f t="shared" si="16"/>
        <v>0</v>
      </c>
      <c r="AF94" s="86">
        <f t="shared" si="16"/>
        <v>0</v>
      </c>
      <c r="AG94" s="86">
        <f t="shared" si="16"/>
        <v>0</v>
      </c>
      <c r="AH94" s="86">
        <f t="shared" si="16"/>
        <v>0</v>
      </c>
      <c r="AI94" s="86">
        <f t="shared" si="16"/>
        <v>20</v>
      </c>
      <c r="AJ94" s="86">
        <f t="shared" si="16"/>
        <v>0</v>
      </c>
      <c r="AK94" s="86">
        <f t="shared" si="16"/>
        <v>0</v>
      </c>
      <c r="AL94" s="86">
        <f t="shared" si="16"/>
        <v>0</v>
      </c>
      <c r="AM94" s="86">
        <f t="shared" si="16"/>
        <v>0</v>
      </c>
      <c r="AN94" s="86">
        <f t="shared" si="16"/>
        <v>0</v>
      </c>
      <c r="AO94" s="86">
        <f t="shared" si="16"/>
        <v>0</v>
      </c>
      <c r="AP94" s="86">
        <f t="shared" si="16"/>
        <v>0</v>
      </c>
      <c r="AQ94" s="86">
        <f t="shared" si="16"/>
        <v>0</v>
      </c>
      <c r="AR94" s="86">
        <f t="shared" si="16"/>
        <v>0</v>
      </c>
      <c r="AS94" s="86">
        <f t="shared" si="16"/>
        <v>0</v>
      </c>
      <c r="AT94" s="86">
        <f t="shared" si="16"/>
        <v>0</v>
      </c>
      <c r="AU94" s="86">
        <f t="shared" si="16"/>
        <v>0</v>
      </c>
      <c r="AV94" s="86">
        <f t="shared" si="16"/>
        <v>0</v>
      </c>
      <c r="AW94" s="86">
        <f t="shared" si="16"/>
        <v>10</v>
      </c>
      <c r="AX94" s="86">
        <f t="shared" si="16"/>
        <v>0</v>
      </c>
      <c r="AY94" s="86">
        <f t="shared" si="16"/>
        <v>0</v>
      </c>
      <c r="AZ94" s="86">
        <f t="shared" si="16"/>
        <v>20</v>
      </c>
      <c r="BA94" s="86">
        <f t="shared" si="16"/>
        <v>15</v>
      </c>
      <c r="BB94" s="86">
        <f t="shared" si="16"/>
        <v>2</v>
      </c>
      <c r="BC94" s="86">
        <f t="shared" si="16"/>
        <v>0</v>
      </c>
      <c r="BD94" s="86">
        <f t="shared" si="16"/>
        <v>0</v>
      </c>
      <c r="BE94" s="86">
        <f t="shared" si="16"/>
        <v>0</v>
      </c>
      <c r="BF94" s="86">
        <f t="shared" si="16"/>
        <v>0</v>
      </c>
      <c r="BG94" s="86">
        <f t="shared" si="16"/>
        <v>0</v>
      </c>
      <c r="BH94" s="86">
        <f t="shared" si="16"/>
        <v>0</v>
      </c>
      <c r="BI94" s="86">
        <f t="shared" si="16"/>
        <v>0</v>
      </c>
      <c r="BJ94" s="86">
        <f t="shared" si="16"/>
        <v>0</v>
      </c>
      <c r="BK94" s="86">
        <f t="shared" si="16"/>
        <v>6</v>
      </c>
      <c r="BL94" s="86">
        <f t="shared" si="16"/>
        <v>5</v>
      </c>
      <c r="BM94" s="86">
        <f t="shared" si="16"/>
        <v>15</v>
      </c>
      <c r="BN94" s="86">
        <f t="shared" si="16"/>
        <v>10</v>
      </c>
      <c r="BO94" s="86">
        <f t="shared" si="16"/>
        <v>0</v>
      </c>
      <c r="BP94" s="86">
        <f t="shared" ref="BP94:EA94" si="17">BP34+BP35+BP36+BP37+BP38+BP39+BP41+BP42+BP50+BP51+BP76+BP77+BP40</f>
        <v>20</v>
      </c>
      <c r="BQ94" s="86">
        <f t="shared" si="17"/>
        <v>0</v>
      </c>
      <c r="BR94" s="86">
        <f t="shared" si="17"/>
        <v>0</v>
      </c>
      <c r="BS94" s="86">
        <f t="shared" si="17"/>
        <v>0</v>
      </c>
      <c r="BT94" s="86">
        <f t="shared" si="17"/>
        <v>0</v>
      </c>
      <c r="BU94" s="86">
        <f t="shared" si="17"/>
        <v>0</v>
      </c>
      <c r="BV94" s="86">
        <f t="shared" si="17"/>
        <v>0</v>
      </c>
      <c r="BW94" s="86">
        <f t="shared" si="17"/>
        <v>0</v>
      </c>
      <c r="BX94" s="86">
        <f t="shared" si="17"/>
        <v>0</v>
      </c>
      <c r="BY94" s="86">
        <f t="shared" si="17"/>
        <v>7</v>
      </c>
      <c r="BZ94" s="86">
        <f t="shared" si="17"/>
        <v>0</v>
      </c>
      <c r="CA94" s="86">
        <f t="shared" si="17"/>
        <v>0</v>
      </c>
      <c r="CB94" s="86">
        <f t="shared" si="17"/>
        <v>0</v>
      </c>
      <c r="CC94" s="86">
        <f t="shared" si="17"/>
        <v>0</v>
      </c>
      <c r="CD94" s="86">
        <f t="shared" si="17"/>
        <v>0</v>
      </c>
      <c r="CE94" s="86">
        <f t="shared" si="17"/>
        <v>7</v>
      </c>
      <c r="CF94" s="86">
        <f t="shared" si="17"/>
        <v>0</v>
      </c>
      <c r="CG94" s="86">
        <f t="shared" si="17"/>
        <v>0</v>
      </c>
      <c r="CH94" s="86">
        <f t="shared" si="17"/>
        <v>0</v>
      </c>
      <c r="CI94" s="86">
        <f t="shared" si="17"/>
        <v>0</v>
      </c>
      <c r="CJ94" s="86">
        <f t="shared" si="17"/>
        <v>6</v>
      </c>
      <c r="CK94" s="86">
        <f t="shared" si="17"/>
        <v>0</v>
      </c>
      <c r="CL94" s="86">
        <f t="shared" si="17"/>
        <v>15</v>
      </c>
      <c r="CM94" s="86">
        <f t="shared" si="17"/>
        <v>10</v>
      </c>
      <c r="CN94" s="86">
        <f t="shared" si="17"/>
        <v>4</v>
      </c>
      <c r="CO94" s="86">
        <f t="shared" si="17"/>
        <v>0</v>
      </c>
      <c r="CP94" s="86">
        <f t="shared" si="17"/>
        <v>0</v>
      </c>
      <c r="CQ94" s="86">
        <f t="shared" si="17"/>
        <v>10</v>
      </c>
      <c r="CR94" s="86">
        <f t="shared" si="17"/>
        <v>0</v>
      </c>
      <c r="CS94" s="86">
        <f t="shared" si="17"/>
        <v>25</v>
      </c>
      <c r="CT94" s="86">
        <f t="shared" si="17"/>
        <v>0</v>
      </c>
      <c r="CU94" s="86">
        <f t="shared" si="17"/>
        <v>0</v>
      </c>
      <c r="CV94" s="86">
        <f t="shared" si="17"/>
        <v>5</v>
      </c>
      <c r="CW94" s="86">
        <f t="shared" si="17"/>
        <v>0</v>
      </c>
      <c r="CX94" s="86">
        <f t="shared" si="17"/>
        <v>0</v>
      </c>
      <c r="CY94" s="86">
        <f t="shared" si="17"/>
        <v>0</v>
      </c>
      <c r="CZ94" s="86">
        <f t="shared" si="17"/>
        <v>20</v>
      </c>
      <c r="DA94" s="86">
        <f t="shared" si="17"/>
        <v>20</v>
      </c>
      <c r="DB94" s="86">
        <f t="shared" si="17"/>
        <v>60</v>
      </c>
      <c r="DC94" s="86">
        <f t="shared" si="17"/>
        <v>0</v>
      </c>
      <c r="DD94" s="86">
        <f t="shared" si="17"/>
        <v>0</v>
      </c>
      <c r="DE94" s="86">
        <f t="shared" si="17"/>
        <v>20</v>
      </c>
      <c r="DF94" s="86">
        <f t="shared" si="17"/>
        <v>0</v>
      </c>
      <c r="DG94" s="86">
        <f t="shared" si="17"/>
        <v>0</v>
      </c>
      <c r="DH94" s="86">
        <f t="shared" si="17"/>
        <v>0</v>
      </c>
      <c r="DI94" s="86">
        <f t="shared" si="17"/>
        <v>0</v>
      </c>
      <c r="DJ94" s="86">
        <f t="shared" si="17"/>
        <v>20</v>
      </c>
      <c r="DK94" s="86">
        <f t="shared" si="17"/>
        <v>0</v>
      </c>
      <c r="DL94" s="86">
        <f t="shared" si="17"/>
        <v>40</v>
      </c>
      <c r="DM94" s="86">
        <f t="shared" si="17"/>
        <v>40</v>
      </c>
      <c r="DN94" s="86">
        <f t="shared" si="17"/>
        <v>0</v>
      </c>
      <c r="DO94" s="86">
        <f t="shared" si="17"/>
        <v>0</v>
      </c>
      <c r="DP94" s="86">
        <f t="shared" si="17"/>
        <v>40</v>
      </c>
      <c r="DQ94" s="86">
        <f t="shared" si="17"/>
        <v>5</v>
      </c>
      <c r="DR94" s="86">
        <f t="shared" si="17"/>
        <v>0</v>
      </c>
      <c r="DS94" s="86">
        <f t="shared" si="17"/>
        <v>0</v>
      </c>
      <c r="DT94" s="86">
        <f t="shared" si="17"/>
        <v>0</v>
      </c>
      <c r="DU94" s="86">
        <f t="shared" si="17"/>
        <v>0</v>
      </c>
      <c r="DV94" s="86">
        <f t="shared" si="17"/>
        <v>0</v>
      </c>
      <c r="DW94" s="86">
        <f t="shared" si="17"/>
        <v>0</v>
      </c>
      <c r="DX94" s="86">
        <f t="shared" si="17"/>
        <v>0</v>
      </c>
      <c r="DY94" s="86">
        <f t="shared" si="17"/>
        <v>7</v>
      </c>
      <c r="DZ94" s="86">
        <f t="shared" si="17"/>
        <v>0</v>
      </c>
      <c r="EA94" s="86">
        <f t="shared" si="17"/>
        <v>0</v>
      </c>
      <c r="EB94" s="86">
        <f t="shared" ref="EB94:GB94" si="18">EB34+EB35+EB36+EB37+EB38+EB39+EB41+EB42+EB50+EB51+EB76+EB77+EB40</f>
        <v>0</v>
      </c>
      <c r="EC94" s="86">
        <f t="shared" si="18"/>
        <v>0</v>
      </c>
      <c r="ED94" s="86">
        <f t="shared" si="18"/>
        <v>0</v>
      </c>
      <c r="EE94" s="86">
        <f t="shared" si="18"/>
        <v>0</v>
      </c>
      <c r="EF94" s="86">
        <f t="shared" si="18"/>
        <v>0</v>
      </c>
      <c r="EG94" s="86">
        <f t="shared" si="18"/>
        <v>13</v>
      </c>
      <c r="EH94" s="86">
        <f t="shared" si="18"/>
        <v>40</v>
      </c>
      <c r="EI94" s="86">
        <f t="shared" si="18"/>
        <v>0</v>
      </c>
      <c r="EJ94" s="86">
        <f t="shared" si="18"/>
        <v>10</v>
      </c>
      <c r="EK94" s="86">
        <f t="shared" si="18"/>
        <v>0</v>
      </c>
      <c r="EL94" s="86">
        <f t="shared" si="18"/>
        <v>0</v>
      </c>
      <c r="EM94" s="86">
        <f t="shared" si="18"/>
        <v>50</v>
      </c>
      <c r="EN94" s="86">
        <f t="shared" si="18"/>
        <v>0</v>
      </c>
      <c r="EO94" s="86">
        <f t="shared" si="18"/>
        <v>10</v>
      </c>
      <c r="EP94" s="86">
        <f t="shared" si="18"/>
        <v>160</v>
      </c>
      <c r="EQ94" s="86">
        <f t="shared" si="18"/>
        <v>0</v>
      </c>
      <c r="ER94" s="86">
        <f t="shared" si="18"/>
        <v>0</v>
      </c>
      <c r="ES94" s="86">
        <f t="shared" si="18"/>
        <v>0</v>
      </c>
      <c r="ET94" s="86">
        <f t="shared" si="18"/>
        <v>0</v>
      </c>
      <c r="EU94" s="86">
        <f t="shared" si="18"/>
        <v>0</v>
      </c>
      <c r="EV94" s="86">
        <f t="shared" si="18"/>
        <v>2</v>
      </c>
      <c r="EW94" s="86">
        <f t="shared" si="18"/>
        <v>0</v>
      </c>
      <c r="EX94" s="86">
        <f t="shared" si="18"/>
        <v>0</v>
      </c>
      <c r="EY94" s="86">
        <f t="shared" si="18"/>
        <v>40</v>
      </c>
      <c r="EZ94" s="86">
        <f t="shared" si="18"/>
        <v>0</v>
      </c>
      <c r="FA94" s="86">
        <f t="shared" si="18"/>
        <v>0</v>
      </c>
      <c r="FB94" s="86">
        <f t="shared" si="18"/>
        <v>0</v>
      </c>
      <c r="FC94" s="86">
        <f t="shared" si="18"/>
        <v>0</v>
      </c>
      <c r="FD94" s="86">
        <f t="shared" si="18"/>
        <v>0</v>
      </c>
      <c r="FE94" s="86">
        <f t="shared" si="18"/>
        <v>40</v>
      </c>
      <c r="FF94" s="86">
        <f t="shared" si="18"/>
        <v>40</v>
      </c>
      <c r="FG94" s="86">
        <f t="shared" si="18"/>
        <v>0</v>
      </c>
      <c r="FH94" s="86">
        <f t="shared" si="18"/>
        <v>0</v>
      </c>
      <c r="FI94" s="86">
        <f t="shared" si="18"/>
        <v>0</v>
      </c>
      <c r="FJ94" s="86">
        <f t="shared" si="18"/>
        <v>0</v>
      </c>
      <c r="FK94" s="86">
        <f t="shared" si="18"/>
        <v>0</v>
      </c>
      <c r="FL94" s="86">
        <f t="shared" si="18"/>
        <v>0</v>
      </c>
      <c r="FM94" s="86">
        <f t="shared" si="18"/>
        <v>19</v>
      </c>
      <c r="FN94" s="86">
        <f t="shared" si="18"/>
        <v>0</v>
      </c>
      <c r="FO94" s="86">
        <f t="shared" si="18"/>
        <v>0</v>
      </c>
      <c r="FP94" s="86">
        <f t="shared" si="18"/>
        <v>0</v>
      </c>
      <c r="FQ94" s="86">
        <f t="shared" si="18"/>
        <v>3</v>
      </c>
      <c r="FR94" s="86">
        <f t="shared" si="18"/>
        <v>0</v>
      </c>
      <c r="FS94" s="86">
        <f t="shared" si="18"/>
        <v>0</v>
      </c>
      <c r="FT94" s="86">
        <f t="shared" si="18"/>
        <v>0</v>
      </c>
      <c r="FU94" s="86">
        <f t="shared" si="18"/>
        <v>0</v>
      </c>
      <c r="FV94" s="86">
        <f t="shared" si="18"/>
        <v>0</v>
      </c>
      <c r="FW94" s="86">
        <f t="shared" si="18"/>
        <v>0</v>
      </c>
      <c r="FX94" s="86">
        <f t="shared" si="18"/>
        <v>0</v>
      </c>
      <c r="FY94" s="86">
        <f t="shared" si="18"/>
        <v>0</v>
      </c>
      <c r="FZ94" s="86">
        <f t="shared" si="18"/>
        <v>0</v>
      </c>
      <c r="GA94" s="86">
        <f t="shared" si="18"/>
        <v>0</v>
      </c>
      <c r="GB94" s="86">
        <f t="shared" si="18"/>
        <v>0</v>
      </c>
      <c r="GD94" s="84">
        <f t="shared" ref="GD94:GD98" si="19">SUM(M94:GB94)</f>
        <v>956</v>
      </c>
    </row>
    <row r="95" spans="1:191">
      <c r="E95" s="87" t="s">
        <v>625</v>
      </c>
      <c r="H95" s="86">
        <f>H31+H32+H33+H52+H53</f>
        <v>0</v>
      </c>
      <c r="I95" s="86">
        <f t="shared" ref="I95:BT95" si="20">I31+I32+I33+I52+I53</f>
        <v>0</v>
      </c>
      <c r="J95" s="86">
        <f t="shared" si="20"/>
        <v>0</v>
      </c>
      <c r="K95" s="86">
        <f t="shared" si="20"/>
        <v>0</v>
      </c>
      <c r="L95" s="86">
        <f t="shared" si="20"/>
        <v>0</v>
      </c>
      <c r="M95" s="86">
        <f t="shared" si="20"/>
        <v>0</v>
      </c>
      <c r="N95" s="86">
        <f t="shared" si="20"/>
        <v>3</v>
      </c>
      <c r="O95" s="86">
        <f t="shared" si="20"/>
        <v>0</v>
      </c>
      <c r="P95" s="86">
        <f t="shared" si="20"/>
        <v>0</v>
      </c>
      <c r="Q95" s="86">
        <f t="shared" si="20"/>
        <v>0</v>
      </c>
      <c r="R95" s="86">
        <f t="shared" si="20"/>
        <v>0</v>
      </c>
      <c r="S95" s="86">
        <f t="shared" si="20"/>
        <v>5</v>
      </c>
      <c r="T95" s="86">
        <f t="shared" si="20"/>
        <v>2</v>
      </c>
      <c r="U95" s="86">
        <f t="shared" si="20"/>
        <v>0</v>
      </c>
      <c r="V95" s="86">
        <f t="shared" si="20"/>
        <v>10</v>
      </c>
      <c r="W95" s="86">
        <f t="shared" si="20"/>
        <v>5</v>
      </c>
      <c r="X95" s="86">
        <f t="shared" si="20"/>
        <v>0</v>
      </c>
      <c r="Y95" s="86">
        <f t="shared" si="20"/>
        <v>0</v>
      </c>
      <c r="Z95" s="86">
        <f t="shared" si="20"/>
        <v>0</v>
      </c>
      <c r="AA95" s="86">
        <f t="shared" si="20"/>
        <v>0</v>
      </c>
      <c r="AB95" s="86">
        <f t="shared" si="20"/>
        <v>0</v>
      </c>
      <c r="AC95" s="86">
        <f t="shared" si="20"/>
        <v>0</v>
      </c>
      <c r="AD95" s="86">
        <f t="shared" si="20"/>
        <v>0</v>
      </c>
      <c r="AE95" s="86">
        <f t="shared" si="20"/>
        <v>0</v>
      </c>
      <c r="AF95" s="86">
        <f t="shared" si="20"/>
        <v>0</v>
      </c>
      <c r="AG95" s="86">
        <f t="shared" si="20"/>
        <v>0</v>
      </c>
      <c r="AH95" s="86">
        <f t="shared" si="20"/>
        <v>0</v>
      </c>
      <c r="AI95" s="86">
        <f t="shared" si="20"/>
        <v>0</v>
      </c>
      <c r="AJ95" s="86">
        <f t="shared" si="20"/>
        <v>0</v>
      </c>
      <c r="AK95" s="86">
        <f t="shared" si="20"/>
        <v>0</v>
      </c>
      <c r="AL95" s="86">
        <f t="shared" si="20"/>
        <v>0</v>
      </c>
      <c r="AM95" s="86">
        <f t="shared" si="20"/>
        <v>0</v>
      </c>
      <c r="AN95" s="86">
        <f t="shared" si="20"/>
        <v>0</v>
      </c>
      <c r="AO95" s="86">
        <f t="shared" si="20"/>
        <v>0</v>
      </c>
      <c r="AP95" s="86">
        <f t="shared" si="20"/>
        <v>0</v>
      </c>
      <c r="AQ95" s="86">
        <f t="shared" si="20"/>
        <v>0</v>
      </c>
      <c r="AR95" s="86">
        <f t="shared" si="20"/>
        <v>0</v>
      </c>
      <c r="AS95" s="86">
        <f t="shared" si="20"/>
        <v>0</v>
      </c>
      <c r="AT95" s="86">
        <f t="shared" si="20"/>
        <v>0</v>
      </c>
      <c r="AU95" s="86">
        <f t="shared" si="20"/>
        <v>0</v>
      </c>
      <c r="AV95" s="86">
        <f t="shared" si="20"/>
        <v>0</v>
      </c>
      <c r="AW95" s="86">
        <f t="shared" si="20"/>
        <v>0</v>
      </c>
      <c r="AX95" s="86">
        <f t="shared" si="20"/>
        <v>0</v>
      </c>
      <c r="AY95" s="86">
        <f t="shared" si="20"/>
        <v>0</v>
      </c>
      <c r="AZ95" s="86">
        <f t="shared" si="20"/>
        <v>5</v>
      </c>
      <c r="BA95" s="86">
        <f t="shared" si="20"/>
        <v>10</v>
      </c>
      <c r="BB95" s="86">
        <f t="shared" si="20"/>
        <v>0</v>
      </c>
      <c r="BC95" s="86">
        <f t="shared" si="20"/>
        <v>0</v>
      </c>
      <c r="BD95" s="86">
        <f t="shared" si="20"/>
        <v>0</v>
      </c>
      <c r="BE95" s="86">
        <f t="shared" si="20"/>
        <v>0</v>
      </c>
      <c r="BF95" s="86">
        <f t="shared" si="20"/>
        <v>0</v>
      </c>
      <c r="BG95" s="86">
        <f t="shared" si="20"/>
        <v>0</v>
      </c>
      <c r="BH95" s="86">
        <f t="shared" si="20"/>
        <v>0</v>
      </c>
      <c r="BI95" s="86">
        <f t="shared" si="20"/>
        <v>0</v>
      </c>
      <c r="BJ95" s="86">
        <f t="shared" si="20"/>
        <v>0</v>
      </c>
      <c r="BK95" s="86">
        <f t="shared" si="20"/>
        <v>0</v>
      </c>
      <c r="BL95" s="86">
        <f t="shared" si="20"/>
        <v>0</v>
      </c>
      <c r="BM95" s="86">
        <f t="shared" si="20"/>
        <v>0</v>
      </c>
      <c r="BN95" s="86">
        <f t="shared" si="20"/>
        <v>0</v>
      </c>
      <c r="BO95" s="86">
        <f t="shared" si="20"/>
        <v>0</v>
      </c>
      <c r="BP95" s="86">
        <f t="shared" si="20"/>
        <v>0</v>
      </c>
      <c r="BQ95" s="86">
        <f t="shared" si="20"/>
        <v>0</v>
      </c>
      <c r="BR95" s="86">
        <f t="shared" si="20"/>
        <v>0</v>
      </c>
      <c r="BS95" s="86">
        <f t="shared" si="20"/>
        <v>0</v>
      </c>
      <c r="BT95" s="86">
        <f t="shared" si="20"/>
        <v>0</v>
      </c>
      <c r="BU95" s="86">
        <f t="shared" ref="BU95:EF95" si="21">BU31+BU32+BU33+BU52+BU53</f>
        <v>0</v>
      </c>
      <c r="BV95" s="86">
        <f t="shared" si="21"/>
        <v>0</v>
      </c>
      <c r="BW95" s="86">
        <f t="shared" si="21"/>
        <v>0</v>
      </c>
      <c r="BX95" s="86">
        <f t="shared" si="21"/>
        <v>0</v>
      </c>
      <c r="BY95" s="86">
        <f t="shared" si="21"/>
        <v>10</v>
      </c>
      <c r="BZ95" s="86">
        <f t="shared" si="21"/>
        <v>0</v>
      </c>
      <c r="CA95" s="86">
        <f t="shared" si="21"/>
        <v>0</v>
      </c>
      <c r="CB95" s="86">
        <f t="shared" si="21"/>
        <v>5</v>
      </c>
      <c r="CC95" s="86">
        <f t="shared" si="21"/>
        <v>0</v>
      </c>
      <c r="CD95" s="86">
        <f t="shared" si="21"/>
        <v>0</v>
      </c>
      <c r="CE95" s="86">
        <f t="shared" si="21"/>
        <v>30</v>
      </c>
      <c r="CF95" s="86">
        <f t="shared" si="21"/>
        <v>10</v>
      </c>
      <c r="CG95" s="86">
        <f t="shared" si="21"/>
        <v>0</v>
      </c>
      <c r="CH95" s="86">
        <f t="shared" si="21"/>
        <v>5</v>
      </c>
      <c r="CI95" s="86">
        <f t="shared" si="21"/>
        <v>0</v>
      </c>
      <c r="CJ95" s="86">
        <f t="shared" si="21"/>
        <v>0</v>
      </c>
      <c r="CK95" s="86">
        <f t="shared" si="21"/>
        <v>0</v>
      </c>
      <c r="CL95" s="86">
        <f t="shared" si="21"/>
        <v>0</v>
      </c>
      <c r="CM95" s="86">
        <f t="shared" si="21"/>
        <v>0</v>
      </c>
      <c r="CN95" s="86">
        <f t="shared" si="21"/>
        <v>2</v>
      </c>
      <c r="CO95" s="86">
        <f t="shared" si="21"/>
        <v>0</v>
      </c>
      <c r="CP95" s="86">
        <f t="shared" si="21"/>
        <v>0</v>
      </c>
      <c r="CQ95" s="86">
        <f t="shared" si="21"/>
        <v>15</v>
      </c>
      <c r="CR95" s="86">
        <f t="shared" si="21"/>
        <v>0</v>
      </c>
      <c r="CS95" s="86">
        <f t="shared" si="21"/>
        <v>50</v>
      </c>
      <c r="CT95" s="86">
        <f t="shared" si="21"/>
        <v>0</v>
      </c>
      <c r="CU95" s="86">
        <f t="shared" si="21"/>
        <v>0</v>
      </c>
      <c r="CV95" s="86">
        <f t="shared" si="21"/>
        <v>10</v>
      </c>
      <c r="CW95" s="86">
        <f t="shared" si="21"/>
        <v>0</v>
      </c>
      <c r="CX95" s="86">
        <f t="shared" si="21"/>
        <v>0</v>
      </c>
      <c r="CY95" s="86">
        <f t="shared" si="21"/>
        <v>1</v>
      </c>
      <c r="CZ95" s="86">
        <f t="shared" si="21"/>
        <v>10</v>
      </c>
      <c r="DA95" s="86">
        <f t="shared" si="21"/>
        <v>10</v>
      </c>
      <c r="DB95" s="86">
        <f t="shared" si="21"/>
        <v>50</v>
      </c>
      <c r="DC95" s="86">
        <f t="shared" si="21"/>
        <v>0</v>
      </c>
      <c r="DD95" s="86">
        <f t="shared" si="21"/>
        <v>0</v>
      </c>
      <c r="DE95" s="86">
        <f t="shared" si="21"/>
        <v>10</v>
      </c>
      <c r="DF95" s="86">
        <f t="shared" si="21"/>
        <v>0</v>
      </c>
      <c r="DG95" s="86">
        <f t="shared" si="21"/>
        <v>1</v>
      </c>
      <c r="DH95" s="86">
        <f t="shared" si="21"/>
        <v>0</v>
      </c>
      <c r="DI95" s="86">
        <f t="shared" si="21"/>
        <v>0</v>
      </c>
      <c r="DJ95" s="86">
        <f t="shared" si="21"/>
        <v>0</v>
      </c>
      <c r="DK95" s="86">
        <f t="shared" si="21"/>
        <v>0</v>
      </c>
      <c r="DL95" s="86">
        <f t="shared" si="21"/>
        <v>10</v>
      </c>
      <c r="DM95" s="86">
        <f t="shared" si="21"/>
        <v>60</v>
      </c>
      <c r="DN95" s="86">
        <f t="shared" si="21"/>
        <v>0</v>
      </c>
      <c r="DO95" s="86">
        <f t="shared" si="21"/>
        <v>0</v>
      </c>
      <c r="DP95" s="86">
        <f t="shared" si="21"/>
        <v>20</v>
      </c>
      <c r="DQ95" s="86">
        <f t="shared" si="21"/>
        <v>0</v>
      </c>
      <c r="DR95" s="86">
        <f t="shared" si="21"/>
        <v>0</v>
      </c>
      <c r="DS95" s="86">
        <f t="shared" si="21"/>
        <v>0</v>
      </c>
      <c r="DT95" s="86">
        <f t="shared" si="21"/>
        <v>0</v>
      </c>
      <c r="DU95" s="86">
        <f t="shared" si="21"/>
        <v>0</v>
      </c>
      <c r="DV95" s="86">
        <f t="shared" si="21"/>
        <v>0</v>
      </c>
      <c r="DW95" s="86">
        <f t="shared" si="21"/>
        <v>0</v>
      </c>
      <c r="DX95" s="86">
        <f t="shared" si="21"/>
        <v>0</v>
      </c>
      <c r="DY95" s="86">
        <f t="shared" si="21"/>
        <v>0</v>
      </c>
      <c r="DZ95" s="86">
        <f t="shared" si="21"/>
        <v>0</v>
      </c>
      <c r="EA95" s="86">
        <f t="shared" si="21"/>
        <v>0</v>
      </c>
      <c r="EB95" s="86">
        <f t="shared" si="21"/>
        <v>0</v>
      </c>
      <c r="EC95" s="86">
        <f t="shared" si="21"/>
        <v>0</v>
      </c>
      <c r="ED95" s="86">
        <f t="shared" si="21"/>
        <v>0</v>
      </c>
      <c r="EE95" s="86">
        <f t="shared" si="21"/>
        <v>0</v>
      </c>
      <c r="EF95" s="86">
        <f t="shared" si="21"/>
        <v>0</v>
      </c>
      <c r="EG95" s="86">
        <f t="shared" ref="EG95:GB95" si="22">EG31+EG32+EG33+EG52+EG53</f>
        <v>0</v>
      </c>
      <c r="EH95" s="86">
        <f t="shared" si="22"/>
        <v>0</v>
      </c>
      <c r="EI95" s="86">
        <f t="shared" si="22"/>
        <v>0</v>
      </c>
      <c r="EJ95" s="86">
        <f t="shared" si="22"/>
        <v>0</v>
      </c>
      <c r="EK95" s="86">
        <f t="shared" si="22"/>
        <v>0</v>
      </c>
      <c r="EL95" s="86">
        <f t="shared" si="22"/>
        <v>0</v>
      </c>
      <c r="EM95" s="86">
        <f t="shared" si="22"/>
        <v>30</v>
      </c>
      <c r="EN95" s="86">
        <f t="shared" si="22"/>
        <v>0</v>
      </c>
      <c r="EO95" s="86">
        <f t="shared" si="22"/>
        <v>40</v>
      </c>
      <c r="EP95" s="86">
        <f t="shared" si="22"/>
        <v>80</v>
      </c>
      <c r="EQ95" s="86">
        <f t="shared" si="22"/>
        <v>0</v>
      </c>
      <c r="ER95" s="86">
        <f t="shared" si="22"/>
        <v>0</v>
      </c>
      <c r="ES95" s="86">
        <f t="shared" si="22"/>
        <v>0</v>
      </c>
      <c r="ET95" s="86">
        <f t="shared" si="22"/>
        <v>0</v>
      </c>
      <c r="EU95" s="86">
        <f t="shared" si="22"/>
        <v>0</v>
      </c>
      <c r="EV95" s="86">
        <f t="shared" si="22"/>
        <v>20</v>
      </c>
      <c r="EW95" s="86">
        <f t="shared" si="22"/>
        <v>0</v>
      </c>
      <c r="EX95" s="86">
        <f t="shared" si="22"/>
        <v>0</v>
      </c>
      <c r="EY95" s="86">
        <f t="shared" si="22"/>
        <v>0</v>
      </c>
      <c r="EZ95" s="86">
        <f t="shared" si="22"/>
        <v>0</v>
      </c>
      <c r="FA95" s="86">
        <f t="shared" si="22"/>
        <v>0</v>
      </c>
      <c r="FB95" s="86">
        <f t="shared" si="22"/>
        <v>0</v>
      </c>
      <c r="FC95" s="86">
        <f t="shared" si="22"/>
        <v>0</v>
      </c>
      <c r="FD95" s="86">
        <f t="shared" si="22"/>
        <v>0</v>
      </c>
      <c r="FE95" s="86">
        <f t="shared" si="22"/>
        <v>20</v>
      </c>
      <c r="FF95" s="86">
        <f t="shared" si="22"/>
        <v>20</v>
      </c>
      <c r="FG95" s="86">
        <f t="shared" si="22"/>
        <v>0</v>
      </c>
      <c r="FH95" s="86">
        <f t="shared" si="22"/>
        <v>0</v>
      </c>
      <c r="FI95" s="86">
        <f t="shared" si="22"/>
        <v>0</v>
      </c>
      <c r="FJ95" s="86">
        <f t="shared" si="22"/>
        <v>0</v>
      </c>
      <c r="FK95" s="86">
        <f t="shared" si="22"/>
        <v>0</v>
      </c>
      <c r="FL95" s="86">
        <f t="shared" si="22"/>
        <v>0</v>
      </c>
      <c r="FM95" s="86">
        <f t="shared" si="22"/>
        <v>0</v>
      </c>
      <c r="FN95" s="86">
        <f t="shared" si="22"/>
        <v>0</v>
      </c>
      <c r="FO95" s="86">
        <f t="shared" si="22"/>
        <v>0</v>
      </c>
      <c r="FP95" s="86">
        <f t="shared" si="22"/>
        <v>0</v>
      </c>
      <c r="FQ95" s="86">
        <f t="shared" si="22"/>
        <v>0</v>
      </c>
      <c r="FR95" s="86">
        <f t="shared" si="22"/>
        <v>0</v>
      </c>
      <c r="FS95" s="86">
        <f t="shared" si="22"/>
        <v>0</v>
      </c>
      <c r="FT95" s="86">
        <f t="shared" si="22"/>
        <v>0</v>
      </c>
      <c r="FU95" s="86">
        <f t="shared" si="22"/>
        <v>0</v>
      </c>
      <c r="FV95" s="86">
        <f t="shared" si="22"/>
        <v>0</v>
      </c>
      <c r="FW95" s="86">
        <f t="shared" si="22"/>
        <v>0</v>
      </c>
      <c r="FX95" s="86">
        <f t="shared" si="22"/>
        <v>0</v>
      </c>
      <c r="FY95" s="86">
        <f t="shared" si="22"/>
        <v>0</v>
      </c>
      <c r="FZ95" s="86">
        <f t="shared" si="22"/>
        <v>0</v>
      </c>
      <c r="GA95" s="86">
        <f t="shared" si="22"/>
        <v>0</v>
      </c>
      <c r="GB95" s="86">
        <f t="shared" si="22"/>
        <v>0</v>
      </c>
      <c r="GD95" s="84">
        <f t="shared" si="19"/>
        <v>559</v>
      </c>
    </row>
    <row r="96" spans="1:191">
      <c r="E96" s="87" t="s">
        <v>626</v>
      </c>
      <c r="H96" s="86">
        <f t="shared" ref="H96:BS96" si="23">H44+H45+H46+H63+H64+H74+H75+H84+H85</f>
        <v>0</v>
      </c>
      <c r="I96" s="86">
        <f t="shared" si="23"/>
        <v>0</v>
      </c>
      <c r="J96" s="86">
        <f t="shared" si="23"/>
        <v>0</v>
      </c>
      <c r="K96" s="86">
        <f t="shared" si="23"/>
        <v>0</v>
      </c>
      <c r="L96" s="86">
        <f t="shared" si="23"/>
        <v>0</v>
      </c>
      <c r="M96" s="86">
        <f t="shared" si="23"/>
        <v>0</v>
      </c>
      <c r="N96" s="86">
        <f t="shared" si="23"/>
        <v>0</v>
      </c>
      <c r="O96" s="86">
        <f t="shared" si="23"/>
        <v>0</v>
      </c>
      <c r="P96" s="86">
        <f t="shared" si="23"/>
        <v>0</v>
      </c>
      <c r="Q96" s="86">
        <f t="shared" si="23"/>
        <v>0</v>
      </c>
      <c r="R96" s="86">
        <f t="shared" si="23"/>
        <v>0</v>
      </c>
      <c r="S96" s="86">
        <f t="shared" si="23"/>
        <v>0</v>
      </c>
      <c r="T96" s="86">
        <f t="shared" si="23"/>
        <v>0</v>
      </c>
      <c r="U96" s="86">
        <f t="shared" si="23"/>
        <v>0</v>
      </c>
      <c r="V96" s="86">
        <f t="shared" si="23"/>
        <v>0</v>
      </c>
      <c r="W96" s="86">
        <f t="shared" si="23"/>
        <v>0</v>
      </c>
      <c r="X96" s="86">
        <f t="shared" si="23"/>
        <v>0</v>
      </c>
      <c r="Y96" s="86">
        <f t="shared" si="23"/>
        <v>0</v>
      </c>
      <c r="Z96" s="86">
        <f t="shared" si="23"/>
        <v>0</v>
      </c>
      <c r="AA96" s="86">
        <f t="shared" si="23"/>
        <v>0</v>
      </c>
      <c r="AB96" s="86">
        <f t="shared" si="23"/>
        <v>0</v>
      </c>
      <c r="AC96" s="86">
        <f t="shared" si="23"/>
        <v>0</v>
      </c>
      <c r="AD96" s="86">
        <f t="shared" si="23"/>
        <v>0</v>
      </c>
      <c r="AE96" s="86">
        <f t="shared" si="23"/>
        <v>0</v>
      </c>
      <c r="AF96" s="86">
        <f t="shared" si="23"/>
        <v>0</v>
      </c>
      <c r="AG96" s="86">
        <f t="shared" si="23"/>
        <v>0</v>
      </c>
      <c r="AH96" s="86">
        <f t="shared" si="23"/>
        <v>0</v>
      </c>
      <c r="AI96" s="86">
        <f t="shared" si="23"/>
        <v>0</v>
      </c>
      <c r="AJ96" s="86">
        <f t="shared" si="23"/>
        <v>0</v>
      </c>
      <c r="AK96" s="86">
        <f t="shared" si="23"/>
        <v>0</v>
      </c>
      <c r="AL96" s="86">
        <f t="shared" si="23"/>
        <v>0</v>
      </c>
      <c r="AM96" s="86">
        <f t="shared" si="23"/>
        <v>0</v>
      </c>
      <c r="AN96" s="86">
        <f t="shared" si="23"/>
        <v>0</v>
      </c>
      <c r="AO96" s="86">
        <f t="shared" si="23"/>
        <v>0</v>
      </c>
      <c r="AP96" s="86">
        <f t="shared" si="23"/>
        <v>0</v>
      </c>
      <c r="AQ96" s="86">
        <f t="shared" si="23"/>
        <v>0</v>
      </c>
      <c r="AR96" s="86">
        <f t="shared" si="23"/>
        <v>0</v>
      </c>
      <c r="AS96" s="86">
        <f t="shared" si="23"/>
        <v>0</v>
      </c>
      <c r="AT96" s="86">
        <f t="shared" si="23"/>
        <v>0</v>
      </c>
      <c r="AU96" s="86">
        <f t="shared" si="23"/>
        <v>0</v>
      </c>
      <c r="AV96" s="86">
        <f t="shared" si="23"/>
        <v>0</v>
      </c>
      <c r="AW96" s="86">
        <f t="shared" si="23"/>
        <v>0</v>
      </c>
      <c r="AX96" s="86">
        <f t="shared" si="23"/>
        <v>0</v>
      </c>
      <c r="AY96" s="86">
        <f t="shared" si="23"/>
        <v>0</v>
      </c>
      <c r="AZ96" s="86">
        <f t="shared" si="23"/>
        <v>0</v>
      </c>
      <c r="BA96" s="86">
        <f t="shared" si="23"/>
        <v>0</v>
      </c>
      <c r="BB96" s="86">
        <f t="shared" si="23"/>
        <v>0</v>
      </c>
      <c r="BC96" s="86">
        <f t="shared" si="23"/>
        <v>0</v>
      </c>
      <c r="BD96" s="86">
        <f t="shared" si="23"/>
        <v>0</v>
      </c>
      <c r="BE96" s="86">
        <f t="shared" si="23"/>
        <v>0</v>
      </c>
      <c r="BF96" s="86">
        <f t="shared" si="23"/>
        <v>0</v>
      </c>
      <c r="BG96" s="86">
        <f t="shared" si="23"/>
        <v>0</v>
      </c>
      <c r="BH96" s="86">
        <f t="shared" si="23"/>
        <v>0</v>
      </c>
      <c r="BI96" s="86">
        <f t="shared" si="23"/>
        <v>0</v>
      </c>
      <c r="BJ96" s="86">
        <f t="shared" si="23"/>
        <v>0</v>
      </c>
      <c r="BK96" s="86">
        <f t="shared" si="23"/>
        <v>0</v>
      </c>
      <c r="BL96" s="86">
        <f t="shared" si="23"/>
        <v>5</v>
      </c>
      <c r="BM96" s="86">
        <f t="shared" si="23"/>
        <v>20</v>
      </c>
      <c r="BN96" s="86">
        <f t="shared" si="23"/>
        <v>5</v>
      </c>
      <c r="BO96" s="86">
        <f t="shared" si="23"/>
        <v>0</v>
      </c>
      <c r="BP96" s="86">
        <f t="shared" si="23"/>
        <v>0</v>
      </c>
      <c r="BQ96" s="86">
        <f t="shared" si="23"/>
        <v>0</v>
      </c>
      <c r="BR96" s="86">
        <f t="shared" si="23"/>
        <v>0</v>
      </c>
      <c r="BS96" s="86">
        <f t="shared" si="23"/>
        <v>0</v>
      </c>
      <c r="BT96" s="86">
        <f t="shared" ref="BT96:DL96" si="24">BT44+BT45+BT46+BT63+BT64+BT74+BT75+BT84+BT85</f>
        <v>0</v>
      </c>
      <c r="BU96" s="86">
        <f t="shared" si="24"/>
        <v>0</v>
      </c>
      <c r="BV96" s="86">
        <f t="shared" si="24"/>
        <v>0</v>
      </c>
      <c r="BW96" s="86">
        <f t="shared" si="24"/>
        <v>0</v>
      </c>
      <c r="BX96" s="86">
        <f t="shared" si="24"/>
        <v>0</v>
      </c>
      <c r="BY96" s="86">
        <f t="shared" si="24"/>
        <v>0</v>
      </c>
      <c r="BZ96" s="86">
        <f t="shared" si="24"/>
        <v>0</v>
      </c>
      <c r="CA96" s="86">
        <f t="shared" si="24"/>
        <v>0</v>
      </c>
      <c r="CB96" s="86">
        <f t="shared" si="24"/>
        <v>0</v>
      </c>
      <c r="CC96" s="86">
        <f t="shared" si="24"/>
        <v>0</v>
      </c>
      <c r="CD96" s="86">
        <f t="shared" si="24"/>
        <v>0</v>
      </c>
      <c r="CE96" s="86">
        <f t="shared" si="24"/>
        <v>20</v>
      </c>
      <c r="CF96" s="86">
        <f t="shared" si="24"/>
        <v>0</v>
      </c>
      <c r="CG96" s="86">
        <f t="shared" si="24"/>
        <v>1</v>
      </c>
      <c r="CH96" s="86">
        <f t="shared" si="24"/>
        <v>0</v>
      </c>
      <c r="CI96" s="86">
        <f t="shared" si="24"/>
        <v>0</v>
      </c>
      <c r="CJ96" s="86">
        <f t="shared" si="24"/>
        <v>0</v>
      </c>
      <c r="CK96" s="86">
        <f t="shared" si="24"/>
        <v>0</v>
      </c>
      <c r="CL96" s="86">
        <f t="shared" si="24"/>
        <v>5</v>
      </c>
      <c r="CM96" s="86">
        <f t="shared" si="24"/>
        <v>15</v>
      </c>
      <c r="CN96" s="86">
        <f t="shared" si="24"/>
        <v>2</v>
      </c>
      <c r="CO96" s="86">
        <f t="shared" si="24"/>
        <v>0</v>
      </c>
      <c r="CP96" s="86">
        <f t="shared" si="24"/>
        <v>0</v>
      </c>
      <c r="CQ96" s="86">
        <f t="shared" si="24"/>
        <v>10</v>
      </c>
      <c r="CR96" s="86">
        <f t="shared" si="24"/>
        <v>0</v>
      </c>
      <c r="CS96" s="86">
        <f t="shared" si="24"/>
        <v>20</v>
      </c>
      <c r="CT96" s="86">
        <f t="shared" si="24"/>
        <v>0</v>
      </c>
      <c r="CU96" s="86">
        <f t="shared" si="24"/>
        <v>0</v>
      </c>
      <c r="CV96" s="86">
        <f t="shared" si="24"/>
        <v>10</v>
      </c>
      <c r="CW96" s="86">
        <f t="shared" si="24"/>
        <v>0</v>
      </c>
      <c r="CX96" s="86">
        <f t="shared" si="24"/>
        <v>0</v>
      </c>
      <c r="CY96" s="86">
        <f t="shared" si="24"/>
        <v>1</v>
      </c>
      <c r="CZ96" s="86">
        <f t="shared" si="24"/>
        <v>0</v>
      </c>
      <c r="DA96" s="86">
        <f t="shared" si="24"/>
        <v>0</v>
      </c>
      <c r="DB96" s="86">
        <f t="shared" si="24"/>
        <v>240</v>
      </c>
      <c r="DC96" s="86">
        <f t="shared" si="24"/>
        <v>0</v>
      </c>
      <c r="DD96" s="86">
        <f t="shared" si="24"/>
        <v>0</v>
      </c>
      <c r="DE96" s="86">
        <f t="shared" si="24"/>
        <v>60</v>
      </c>
      <c r="DF96" s="86">
        <f t="shared" si="24"/>
        <v>0</v>
      </c>
      <c r="DG96" s="86">
        <f t="shared" si="24"/>
        <v>0</v>
      </c>
      <c r="DH96" s="86">
        <f t="shared" si="24"/>
        <v>0</v>
      </c>
      <c r="DI96" s="86">
        <f t="shared" si="24"/>
        <v>0</v>
      </c>
      <c r="DJ96" s="86">
        <f t="shared" si="24"/>
        <v>10</v>
      </c>
      <c r="DK96" s="86">
        <f t="shared" si="24"/>
        <v>0</v>
      </c>
      <c r="DL96" s="86">
        <f t="shared" si="24"/>
        <v>40</v>
      </c>
      <c r="DM96" s="86">
        <f>DM44+DM45+DM46+DM63+DM64+DM74+DM75+DM84+DM85+DM43+DM62</f>
        <v>100</v>
      </c>
      <c r="DN96" s="86">
        <f t="shared" ref="DN96:FY96" si="25">DN44+DN45+DN46+DN63+DN64+DN74+DN75+DN84+DN85+DN43+DN62</f>
        <v>0</v>
      </c>
      <c r="DO96" s="86">
        <f t="shared" si="25"/>
        <v>0</v>
      </c>
      <c r="DP96" s="86">
        <f t="shared" si="25"/>
        <v>70</v>
      </c>
      <c r="DQ96" s="86">
        <f t="shared" si="25"/>
        <v>5</v>
      </c>
      <c r="DR96" s="86">
        <f t="shared" si="25"/>
        <v>0</v>
      </c>
      <c r="DS96" s="86">
        <f t="shared" si="25"/>
        <v>0</v>
      </c>
      <c r="DT96" s="86">
        <f t="shared" si="25"/>
        <v>0</v>
      </c>
      <c r="DU96" s="86">
        <f t="shared" si="25"/>
        <v>0</v>
      </c>
      <c r="DV96" s="86">
        <f t="shared" si="25"/>
        <v>0</v>
      </c>
      <c r="DW96" s="86">
        <f t="shared" si="25"/>
        <v>0</v>
      </c>
      <c r="DX96" s="86">
        <f t="shared" si="25"/>
        <v>0</v>
      </c>
      <c r="DY96" s="86">
        <f t="shared" si="25"/>
        <v>0</v>
      </c>
      <c r="DZ96" s="86">
        <f t="shared" si="25"/>
        <v>0</v>
      </c>
      <c r="EA96" s="86">
        <f t="shared" si="25"/>
        <v>0</v>
      </c>
      <c r="EB96" s="86">
        <f t="shared" si="25"/>
        <v>0</v>
      </c>
      <c r="EC96" s="86">
        <f t="shared" si="25"/>
        <v>0</v>
      </c>
      <c r="ED96" s="86">
        <f t="shared" si="25"/>
        <v>0</v>
      </c>
      <c r="EE96" s="86">
        <f t="shared" si="25"/>
        <v>0</v>
      </c>
      <c r="EF96" s="86">
        <f t="shared" si="25"/>
        <v>0</v>
      </c>
      <c r="EG96" s="86">
        <f t="shared" si="25"/>
        <v>0</v>
      </c>
      <c r="EH96" s="86">
        <f t="shared" si="25"/>
        <v>0</v>
      </c>
      <c r="EI96" s="86">
        <f t="shared" si="25"/>
        <v>0</v>
      </c>
      <c r="EJ96" s="86">
        <f t="shared" si="25"/>
        <v>0</v>
      </c>
      <c r="EK96" s="86">
        <f t="shared" si="25"/>
        <v>0</v>
      </c>
      <c r="EL96" s="86">
        <f t="shared" si="25"/>
        <v>0</v>
      </c>
      <c r="EM96" s="86">
        <f t="shared" si="25"/>
        <v>0</v>
      </c>
      <c r="EN96" s="86">
        <f t="shared" si="25"/>
        <v>0</v>
      </c>
      <c r="EO96" s="86">
        <f t="shared" si="25"/>
        <v>0</v>
      </c>
      <c r="EP96" s="86">
        <f t="shared" si="25"/>
        <v>0</v>
      </c>
      <c r="EQ96" s="86">
        <f t="shared" si="25"/>
        <v>0</v>
      </c>
      <c r="ER96" s="86">
        <f t="shared" si="25"/>
        <v>0</v>
      </c>
      <c r="ES96" s="86">
        <f t="shared" si="25"/>
        <v>0</v>
      </c>
      <c r="ET96" s="86">
        <f t="shared" si="25"/>
        <v>0</v>
      </c>
      <c r="EU96" s="86">
        <f t="shared" si="25"/>
        <v>0</v>
      </c>
      <c r="EV96" s="86">
        <f t="shared" si="25"/>
        <v>0</v>
      </c>
      <c r="EW96" s="86">
        <f t="shared" si="25"/>
        <v>0</v>
      </c>
      <c r="EX96" s="86">
        <f t="shared" si="25"/>
        <v>0</v>
      </c>
      <c r="EY96" s="86">
        <f t="shared" si="25"/>
        <v>0</v>
      </c>
      <c r="EZ96" s="86">
        <f t="shared" si="25"/>
        <v>0</v>
      </c>
      <c r="FA96" s="86">
        <f t="shared" si="25"/>
        <v>0</v>
      </c>
      <c r="FB96" s="86">
        <f t="shared" si="25"/>
        <v>0</v>
      </c>
      <c r="FC96" s="86">
        <f t="shared" si="25"/>
        <v>0</v>
      </c>
      <c r="FD96" s="86">
        <f t="shared" si="25"/>
        <v>0</v>
      </c>
      <c r="FE96" s="86">
        <f t="shared" si="25"/>
        <v>0</v>
      </c>
      <c r="FF96" s="86">
        <f t="shared" si="25"/>
        <v>0</v>
      </c>
      <c r="FG96" s="86">
        <f t="shared" si="25"/>
        <v>0</v>
      </c>
      <c r="FH96" s="86">
        <f t="shared" si="25"/>
        <v>0</v>
      </c>
      <c r="FI96" s="86">
        <f t="shared" si="25"/>
        <v>0</v>
      </c>
      <c r="FJ96" s="86">
        <f t="shared" si="25"/>
        <v>0</v>
      </c>
      <c r="FK96" s="86">
        <f t="shared" si="25"/>
        <v>0</v>
      </c>
      <c r="FL96" s="86">
        <f t="shared" si="25"/>
        <v>0</v>
      </c>
      <c r="FM96" s="86">
        <f t="shared" si="25"/>
        <v>0</v>
      </c>
      <c r="FN96" s="86">
        <f t="shared" si="25"/>
        <v>0</v>
      </c>
      <c r="FO96" s="86">
        <f t="shared" si="25"/>
        <v>0</v>
      </c>
      <c r="FP96" s="86">
        <f t="shared" si="25"/>
        <v>0</v>
      </c>
      <c r="FQ96" s="86">
        <f t="shared" si="25"/>
        <v>0</v>
      </c>
      <c r="FR96" s="86">
        <f t="shared" si="25"/>
        <v>0</v>
      </c>
      <c r="FS96" s="86">
        <f t="shared" si="25"/>
        <v>0</v>
      </c>
      <c r="FT96" s="86">
        <f t="shared" si="25"/>
        <v>0</v>
      </c>
      <c r="FU96" s="86">
        <f t="shared" si="25"/>
        <v>0</v>
      </c>
      <c r="FV96" s="86">
        <f t="shared" si="25"/>
        <v>0</v>
      </c>
      <c r="FW96" s="86">
        <f t="shared" si="25"/>
        <v>0</v>
      </c>
      <c r="FX96" s="86">
        <f t="shared" si="25"/>
        <v>0</v>
      </c>
      <c r="FY96" s="86">
        <f t="shared" si="25"/>
        <v>0</v>
      </c>
      <c r="FZ96" s="86">
        <f t="shared" ref="FZ96:GB96" si="26">FZ44+FZ45+FZ46+FZ63+FZ64+FZ74+FZ75+FZ84+FZ85+FZ43+FZ62</f>
        <v>0</v>
      </c>
      <c r="GA96" s="86">
        <f t="shared" si="26"/>
        <v>0</v>
      </c>
      <c r="GB96" s="86">
        <f t="shared" si="26"/>
        <v>0</v>
      </c>
      <c r="GD96" s="84">
        <f t="shared" si="19"/>
        <v>639</v>
      </c>
    </row>
    <row r="97" spans="1:190" ht="10.5" thickBot="1">
      <c r="A97" s="88"/>
      <c r="B97" s="88"/>
      <c r="C97" s="88"/>
      <c r="D97" s="88"/>
      <c r="E97" s="89" t="s">
        <v>627</v>
      </c>
      <c r="F97" s="88"/>
      <c r="G97" s="88"/>
      <c r="H97" s="90">
        <f>H57+H58+H59+H60+H61+H65+H66+H67+H81+H82+H83+H86+H87</f>
        <v>0</v>
      </c>
      <c r="I97" s="90">
        <f t="shared" ref="I97:BT97" si="27">I57+I58+I59+I60+I61+I65+I66+I67+I81+I82+I83+I86+I87</f>
        <v>0</v>
      </c>
      <c r="J97" s="90">
        <f t="shared" si="27"/>
        <v>0</v>
      </c>
      <c r="K97" s="90">
        <f t="shared" si="27"/>
        <v>0</v>
      </c>
      <c r="L97" s="90">
        <f t="shared" si="27"/>
        <v>0</v>
      </c>
      <c r="M97" s="90">
        <f t="shared" si="27"/>
        <v>0</v>
      </c>
      <c r="N97" s="90">
        <f t="shared" si="27"/>
        <v>0</v>
      </c>
      <c r="O97" s="90">
        <f t="shared" si="27"/>
        <v>5</v>
      </c>
      <c r="P97" s="90">
        <f t="shared" si="27"/>
        <v>0</v>
      </c>
      <c r="Q97" s="90">
        <f t="shared" si="27"/>
        <v>0</v>
      </c>
      <c r="R97" s="90">
        <f t="shared" si="27"/>
        <v>0</v>
      </c>
      <c r="S97" s="90">
        <f t="shared" si="27"/>
        <v>4</v>
      </c>
      <c r="T97" s="90">
        <f t="shared" si="27"/>
        <v>0</v>
      </c>
      <c r="U97" s="90">
        <f t="shared" si="27"/>
        <v>0</v>
      </c>
      <c r="V97" s="90">
        <f t="shared" si="27"/>
        <v>0</v>
      </c>
      <c r="W97" s="90">
        <f t="shared" si="27"/>
        <v>15</v>
      </c>
      <c r="X97" s="90">
        <f t="shared" si="27"/>
        <v>0</v>
      </c>
      <c r="Y97" s="90">
        <f t="shared" si="27"/>
        <v>5</v>
      </c>
      <c r="Z97" s="90">
        <f t="shared" si="27"/>
        <v>0</v>
      </c>
      <c r="AA97" s="90">
        <f t="shared" si="27"/>
        <v>15</v>
      </c>
      <c r="AB97" s="90">
        <f t="shared" si="27"/>
        <v>0</v>
      </c>
      <c r="AC97" s="90">
        <f t="shared" si="27"/>
        <v>0</v>
      </c>
      <c r="AD97" s="90">
        <f t="shared" si="27"/>
        <v>0</v>
      </c>
      <c r="AE97" s="90">
        <f t="shared" si="27"/>
        <v>0</v>
      </c>
      <c r="AF97" s="90">
        <f t="shared" si="27"/>
        <v>0</v>
      </c>
      <c r="AG97" s="90">
        <f t="shared" si="27"/>
        <v>0</v>
      </c>
      <c r="AH97" s="90">
        <f t="shared" si="27"/>
        <v>0</v>
      </c>
      <c r="AI97" s="90">
        <f t="shared" si="27"/>
        <v>0</v>
      </c>
      <c r="AJ97" s="90">
        <f t="shared" si="27"/>
        <v>0</v>
      </c>
      <c r="AK97" s="90">
        <f t="shared" si="27"/>
        <v>0</v>
      </c>
      <c r="AL97" s="90">
        <f t="shared" si="27"/>
        <v>0</v>
      </c>
      <c r="AM97" s="90">
        <f t="shared" si="27"/>
        <v>0</v>
      </c>
      <c r="AN97" s="90">
        <f t="shared" si="27"/>
        <v>0</v>
      </c>
      <c r="AO97" s="90">
        <f t="shared" si="27"/>
        <v>0</v>
      </c>
      <c r="AP97" s="90">
        <f t="shared" si="27"/>
        <v>0</v>
      </c>
      <c r="AQ97" s="90">
        <f t="shared" si="27"/>
        <v>0</v>
      </c>
      <c r="AR97" s="90">
        <f t="shared" si="27"/>
        <v>0</v>
      </c>
      <c r="AS97" s="90">
        <f t="shared" si="27"/>
        <v>0</v>
      </c>
      <c r="AT97" s="90">
        <f t="shared" si="27"/>
        <v>0</v>
      </c>
      <c r="AU97" s="90">
        <f t="shared" si="27"/>
        <v>0</v>
      </c>
      <c r="AV97" s="90">
        <f t="shared" si="27"/>
        <v>0</v>
      </c>
      <c r="AW97" s="90">
        <f t="shared" si="27"/>
        <v>0</v>
      </c>
      <c r="AX97" s="90">
        <f t="shared" si="27"/>
        <v>0</v>
      </c>
      <c r="AY97" s="90">
        <f t="shared" si="27"/>
        <v>0</v>
      </c>
      <c r="AZ97" s="90">
        <f t="shared" si="27"/>
        <v>20</v>
      </c>
      <c r="BA97" s="90">
        <f t="shared" si="27"/>
        <v>5</v>
      </c>
      <c r="BB97" s="90">
        <f t="shared" si="27"/>
        <v>2</v>
      </c>
      <c r="BC97" s="90">
        <f t="shared" si="27"/>
        <v>0</v>
      </c>
      <c r="BD97" s="90">
        <f t="shared" si="27"/>
        <v>0</v>
      </c>
      <c r="BE97" s="90">
        <f t="shared" si="27"/>
        <v>0</v>
      </c>
      <c r="BF97" s="90">
        <f t="shared" si="27"/>
        <v>0</v>
      </c>
      <c r="BG97" s="90">
        <f t="shared" si="27"/>
        <v>0</v>
      </c>
      <c r="BH97" s="90">
        <f t="shared" si="27"/>
        <v>0</v>
      </c>
      <c r="BI97" s="90">
        <f t="shared" si="27"/>
        <v>0</v>
      </c>
      <c r="BJ97" s="90">
        <f t="shared" si="27"/>
        <v>0</v>
      </c>
      <c r="BK97" s="90">
        <f t="shared" si="27"/>
        <v>0</v>
      </c>
      <c r="BL97" s="90">
        <f t="shared" si="27"/>
        <v>0</v>
      </c>
      <c r="BM97" s="90">
        <f t="shared" si="27"/>
        <v>10</v>
      </c>
      <c r="BN97" s="90">
        <f t="shared" si="27"/>
        <v>5</v>
      </c>
      <c r="BO97" s="90">
        <f t="shared" si="27"/>
        <v>0</v>
      </c>
      <c r="BP97" s="90">
        <f t="shared" si="27"/>
        <v>0</v>
      </c>
      <c r="BQ97" s="90">
        <f t="shared" si="27"/>
        <v>0</v>
      </c>
      <c r="BR97" s="90">
        <f t="shared" si="27"/>
        <v>0</v>
      </c>
      <c r="BS97" s="90">
        <f t="shared" si="27"/>
        <v>0</v>
      </c>
      <c r="BT97" s="90">
        <f t="shared" si="27"/>
        <v>0</v>
      </c>
      <c r="BU97" s="90">
        <f t="shared" ref="BU97:EF97" si="28">BU57+BU58+BU59+BU60+BU61+BU65+BU66+BU67+BU81+BU82+BU83+BU86+BU87</f>
        <v>0</v>
      </c>
      <c r="BV97" s="90">
        <f t="shared" si="28"/>
        <v>0</v>
      </c>
      <c r="BW97" s="90">
        <f t="shared" si="28"/>
        <v>0</v>
      </c>
      <c r="BX97" s="90">
        <f t="shared" si="28"/>
        <v>0</v>
      </c>
      <c r="BY97" s="90">
        <f t="shared" si="28"/>
        <v>0</v>
      </c>
      <c r="BZ97" s="90">
        <f t="shared" si="28"/>
        <v>0</v>
      </c>
      <c r="CA97" s="90">
        <f t="shared" si="28"/>
        <v>0</v>
      </c>
      <c r="CB97" s="90">
        <f t="shared" si="28"/>
        <v>0</v>
      </c>
      <c r="CC97" s="90">
        <f t="shared" si="28"/>
        <v>0</v>
      </c>
      <c r="CD97" s="90">
        <f t="shared" si="28"/>
        <v>0</v>
      </c>
      <c r="CE97" s="90">
        <f t="shared" si="28"/>
        <v>40</v>
      </c>
      <c r="CF97" s="90">
        <f t="shared" si="28"/>
        <v>0</v>
      </c>
      <c r="CG97" s="90">
        <f t="shared" si="28"/>
        <v>0</v>
      </c>
      <c r="CH97" s="90">
        <f t="shared" si="28"/>
        <v>5</v>
      </c>
      <c r="CI97" s="90">
        <f t="shared" si="28"/>
        <v>0</v>
      </c>
      <c r="CJ97" s="90">
        <f t="shared" si="28"/>
        <v>40</v>
      </c>
      <c r="CK97" s="90">
        <f t="shared" si="28"/>
        <v>0</v>
      </c>
      <c r="CL97" s="90">
        <f t="shared" si="28"/>
        <v>5</v>
      </c>
      <c r="CM97" s="90">
        <f t="shared" si="28"/>
        <v>15</v>
      </c>
      <c r="CN97" s="90">
        <f t="shared" si="28"/>
        <v>2</v>
      </c>
      <c r="CO97" s="90">
        <f t="shared" si="28"/>
        <v>0</v>
      </c>
      <c r="CP97" s="90">
        <f t="shared" si="28"/>
        <v>0</v>
      </c>
      <c r="CQ97" s="90">
        <f t="shared" si="28"/>
        <v>10</v>
      </c>
      <c r="CR97" s="90">
        <f t="shared" si="28"/>
        <v>0</v>
      </c>
      <c r="CS97" s="90">
        <f t="shared" si="28"/>
        <v>120</v>
      </c>
      <c r="CT97" s="90">
        <f t="shared" si="28"/>
        <v>0</v>
      </c>
      <c r="CU97" s="90">
        <f t="shared" si="28"/>
        <v>0</v>
      </c>
      <c r="CV97" s="90">
        <f t="shared" si="28"/>
        <v>10</v>
      </c>
      <c r="CW97" s="90">
        <f t="shared" si="28"/>
        <v>0</v>
      </c>
      <c r="CX97" s="90">
        <f t="shared" si="28"/>
        <v>0</v>
      </c>
      <c r="CY97" s="90">
        <f t="shared" si="28"/>
        <v>1</v>
      </c>
      <c r="CZ97" s="90">
        <f t="shared" si="28"/>
        <v>0</v>
      </c>
      <c r="DA97" s="90">
        <f t="shared" si="28"/>
        <v>10</v>
      </c>
      <c r="DB97" s="90">
        <f t="shared" si="28"/>
        <v>270</v>
      </c>
      <c r="DC97" s="90">
        <f t="shared" si="28"/>
        <v>0</v>
      </c>
      <c r="DD97" s="90">
        <f t="shared" si="28"/>
        <v>0</v>
      </c>
      <c r="DE97" s="90">
        <f t="shared" si="28"/>
        <v>60</v>
      </c>
      <c r="DF97" s="90">
        <f t="shared" si="28"/>
        <v>0</v>
      </c>
      <c r="DG97" s="90">
        <f t="shared" si="28"/>
        <v>0</v>
      </c>
      <c r="DH97" s="90">
        <f t="shared" si="28"/>
        <v>0</v>
      </c>
      <c r="DI97" s="90">
        <f t="shared" si="28"/>
        <v>0</v>
      </c>
      <c r="DJ97" s="90">
        <f t="shared" si="28"/>
        <v>0</v>
      </c>
      <c r="DK97" s="90">
        <f t="shared" si="28"/>
        <v>0</v>
      </c>
      <c r="DL97" s="90">
        <f t="shared" si="28"/>
        <v>10</v>
      </c>
      <c r="DM97" s="90">
        <f t="shared" si="28"/>
        <v>80</v>
      </c>
      <c r="DN97" s="90">
        <f t="shared" si="28"/>
        <v>0</v>
      </c>
      <c r="DO97" s="90">
        <f t="shared" si="28"/>
        <v>0</v>
      </c>
      <c r="DP97" s="90">
        <f t="shared" si="28"/>
        <v>60</v>
      </c>
      <c r="DQ97" s="90">
        <f t="shared" si="28"/>
        <v>0</v>
      </c>
      <c r="DR97" s="90">
        <f t="shared" si="28"/>
        <v>0</v>
      </c>
      <c r="DS97" s="90">
        <f t="shared" si="28"/>
        <v>0</v>
      </c>
      <c r="DT97" s="90">
        <f t="shared" si="28"/>
        <v>0</v>
      </c>
      <c r="DU97" s="90">
        <f t="shared" si="28"/>
        <v>8</v>
      </c>
      <c r="DV97" s="90">
        <f t="shared" si="28"/>
        <v>0</v>
      </c>
      <c r="DW97" s="90">
        <f t="shared" si="28"/>
        <v>0</v>
      </c>
      <c r="DX97" s="90">
        <f t="shared" si="28"/>
        <v>0</v>
      </c>
      <c r="DY97" s="90">
        <f t="shared" si="28"/>
        <v>0</v>
      </c>
      <c r="DZ97" s="90">
        <f t="shared" si="28"/>
        <v>0</v>
      </c>
      <c r="EA97" s="90">
        <f t="shared" si="28"/>
        <v>0</v>
      </c>
      <c r="EB97" s="90">
        <f t="shared" si="28"/>
        <v>0</v>
      </c>
      <c r="EC97" s="90">
        <f t="shared" si="28"/>
        <v>0</v>
      </c>
      <c r="ED97" s="90">
        <f t="shared" si="28"/>
        <v>0</v>
      </c>
      <c r="EE97" s="90">
        <f t="shared" si="28"/>
        <v>0</v>
      </c>
      <c r="EF97" s="90">
        <f t="shared" si="28"/>
        <v>0</v>
      </c>
      <c r="EG97" s="90">
        <f t="shared" ref="EG97:GB97" si="29">EG57+EG58+EG59+EG60+EG61+EG65+EG66+EG67+EG81+EG82+EG83+EG86+EG87</f>
        <v>0</v>
      </c>
      <c r="EH97" s="90">
        <f t="shared" si="29"/>
        <v>20</v>
      </c>
      <c r="EI97" s="90">
        <f t="shared" si="29"/>
        <v>0</v>
      </c>
      <c r="EJ97" s="90">
        <f t="shared" si="29"/>
        <v>0</v>
      </c>
      <c r="EK97" s="90">
        <f t="shared" si="29"/>
        <v>0</v>
      </c>
      <c r="EL97" s="90">
        <f t="shared" si="29"/>
        <v>0</v>
      </c>
      <c r="EM97" s="90">
        <f t="shared" si="29"/>
        <v>0</v>
      </c>
      <c r="EN97" s="90">
        <f t="shared" si="29"/>
        <v>0</v>
      </c>
      <c r="EO97" s="90">
        <f t="shared" si="29"/>
        <v>0</v>
      </c>
      <c r="EP97" s="90">
        <f t="shared" si="29"/>
        <v>0</v>
      </c>
      <c r="EQ97" s="90">
        <f t="shared" si="29"/>
        <v>0</v>
      </c>
      <c r="ER97" s="90">
        <f t="shared" si="29"/>
        <v>0</v>
      </c>
      <c r="ES97" s="90">
        <f t="shared" si="29"/>
        <v>0</v>
      </c>
      <c r="ET97" s="90">
        <f t="shared" si="29"/>
        <v>0</v>
      </c>
      <c r="EU97" s="90">
        <f t="shared" si="29"/>
        <v>0</v>
      </c>
      <c r="EV97" s="90">
        <f t="shared" si="29"/>
        <v>0</v>
      </c>
      <c r="EW97" s="90">
        <f t="shared" si="29"/>
        <v>0</v>
      </c>
      <c r="EX97" s="90">
        <f t="shared" si="29"/>
        <v>0</v>
      </c>
      <c r="EY97" s="90">
        <f t="shared" si="29"/>
        <v>20</v>
      </c>
      <c r="EZ97" s="90">
        <f t="shared" si="29"/>
        <v>0</v>
      </c>
      <c r="FA97" s="90">
        <f t="shared" si="29"/>
        <v>0</v>
      </c>
      <c r="FB97" s="90">
        <f t="shared" si="29"/>
        <v>0</v>
      </c>
      <c r="FC97" s="90">
        <f t="shared" si="29"/>
        <v>0</v>
      </c>
      <c r="FD97" s="90">
        <f t="shared" si="29"/>
        <v>40</v>
      </c>
      <c r="FE97" s="90">
        <f t="shared" si="29"/>
        <v>0</v>
      </c>
      <c r="FF97" s="90">
        <f t="shared" si="29"/>
        <v>0</v>
      </c>
      <c r="FG97" s="90">
        <f t="shared" si="29"/>
        <v>0</v>
      </c>
      <c r="FH97" s="90">
        <f t="shared" si="29"/>
        <v>0</v>
      </c>
      <c r="FI97" s="90">
        <f t="shared" si="29"/>
        <v>0</v>
      </c>
      <c r="FJ97" s="90">
        <f t="shared" si="29"/>
        <v>0</v>
      </c>
      <c r="FK97" s="90">
        <f t="shared" si="29"/>
        <v>0</v>
      </c>
      <c r="FL97" s="90">
        <f t="shared" si="29"/>
        <v>0</v>
      </c>
      <c r="FM97" s="90">
        <f t="shared" si="29"/>
        <v>0</v>
      </c>
      <c r="FN97" s="90">
        <f t="shared" si="29"/>
        <v>0</v>
      </c>
      <c r="FO97" s="90">
        <f t="shared" si="29"/>
        <v>0</v>
      </c>
      <c r="FP97" s="90">
        <f t="shared" si="29"/>
        <v>0</v>
      </c>
      <c r="FQ97" s="90">
        <f t="shared" si="29"/>
        <v>0</v>
      </c>
      <c r="FR97" s="90">
        <f t="shared" si="29"/>
        <v>0</v>
      </c>
      <c r="FS97" s="90">
        <f t="shared" si="29"/>
        <v>0</v>
      </c>
      <c r="FT97" s="90">
        <f t="shared" si="29"/>
        <v>0</v>
      </c>
      <c r="FU97" s="90">
        <f t="shared" si="29"/>
        <v>0</v>
      </c>
      <c r="FV97" s="90">
        <f t="shared" si="29"/>
        <v>0</v>
      </c>
      <c r="FW97" s="90">
        <f t="shared" si="29"/>
        <v>0</v>
      </c>
      <c r="FX97" s="90">
        <f t="shared" si="29"/>
        <v>0</v>
      </c>
      <c r="FY97" s="90">
        <f t="shared" si="29"/>
        <v>0</v>
      </c>
      <c r="FZ97" s="90">
        <f t="shared" si="29"/>
        <v>0</v>
      </c>
      <c r="GA97" s="90">
        <f t="shared" si="29"/>
        <v>0</v>
      </c>
      <c r="GB97" s="90">
        <f t="shared" si="29"/>
        <v>0</v>
      </c>
      <c r="GC97" s="88"/>
      <c r="GD97" s="88">
        <f t="shared" si="19"/>
        <v>912</v>
      </c>
      <c r="GE97" s="88"/>
      <c r="GF97" s="88"/>
      <c r="GG97" s="88"/>
      <c r="GH97" s="88"/>
    </row>
    <row r="98" spans="1:190" ht="10.5">
      <c r="E98" s="91" t="s">
        <v>628</v>
      </c>
      <c r="N98" s="84">
        <f>SUBTOTAL(9,N93:N97)</f>
        <v>3</v>
      </c>
      <c r="O98" s="84">
        <f>SUBTOTAL(9,O93:O97)</f>
        <v>35</v>
      </c>
      <c r="S98" s="84">
        <f t="shared" ref="S98:T98" si="30">SUBTOTAL(9,S93:S97)</f>
        <v>40</v>
      </c>
      <c r="T98" s="84">
        <f t="shared" si="30"/>
        <v>12</v>
      </c>
      <c r="V98" s="84">
        <f t="shared" ref="V98:W98" si="31">SUBTOTAL(9,V93:V97)</f>
        <v>50</v>
      </c>
      <c r="W98" s="84">
        <f t="shared" si="31"/>
        <v>100</v>
      </c>
      <c r="Y98" s="84">
        <f t="shared" ref="Y98:AC98" si="32">SUBTOTAL(9,Y93:Y97)</f>
        <v>80</v>
      </c>
      <c r="AA98" s="84">
        <f t="shared" si="32"/>
        <v>90</v>
      </c>
      <c r="AC98" s="84">
        <f t="shared" si="32"/>
        <v>4</v>
      </c>
      <c r="AI98" s="84">
        <f t="shared" ref="AI98" si="33">SUBTOTAL(9,AI93:AI97)</f>
        <v>20</v>
      </c>
      <c r="AW98" s="84">
        <f t="shared" ref="AW98" si="34">SUBTOTAL(9,AW93:AW97)</f>
        <v>95</v>
      </c>
      <c r="AZ98" s="84">
        <f t="shared" ref="AZ98:BB98" si="35">SUBTOTAL(9,AZ93:AZ97)</f>
        <v>130</v>
      </c>
      <c r="BA98" s="84">
        <f t="shared" si="35"/>
        <v>130</v>
      </c>
      <c r="BB98" s="84">
        <f t="shared" si="35"/>
        <v>30</v>
      </c>
      <c r="BD98" s="84">
        <f t="shared" ref="BD98" si="36">SUBTOTAL(9,BD93:BD97)</f>
        <v>100</v>
      </c>
      <c r="BK98" s="84">
        <f t="shared" ref="BK98:BN98" si="37">SUBTOTAL(9,BK93:BK97)</f>
        <v>35</v>
      </c>
      <c r="BL98" s="84">
        <f t="shared" si="37"/>
        <v>45</v>
      </c>
      <c r="BM98" s="84">
        <f t="shared" si="37"/>
        <v>260</v>
      </c>
      <c r="BN98" s="84">
        <f t="shared" si="37"/>
        <v>90</v>
      </c>
      <c r="BP98" s="84">
        <f t="shared" ref="BP98" si="38">SUBTOTAL(9,BP93:BP97)</f>
        <v>40</v>
      </c>
      <c r="BY98" s="84">
        <f t="shared" ref="BY98" si="39">SUBTOTAL(9,BY93:BY97)</f>
        <v>90</v>
      </c>
      <c r="CB98" s="84">
        <f t="shared" ref="CB98" si="40">SUBTOTAL(9,CB93:CB97)</f>
        <v>15</v>
      </c>
      <c r="CD98" s="84">
        <f t="shared" ref="CD98:CH98" si="41">SUBTOTAL(9,CD93:CD97)</f>
        <v>40</v>
      </c>
      <c r="CE98" s="84">
        <f t="shared" si="41"/>
        <v>200</v>
      </c>
      <c r="CF98" s="84">
        <f t="shared" si="41"/>
        <v>40</v>
      </c>
      <c r="CG98" s="84">
        <f t="shared" si="41"/>
        <v>1</v>
      </c>
      <c r="CH98" s="84">
        <f t="shared" si="41"/>
        <v>15</v>
      </c>
      <c r="CJ98" s="84">
        <f t="shared" ref="CJ98" si="42">SUBTOTAL(9,CJ93:CJ97)</f>
        <v>180</v>
      </c>
      <c r="CL98" s="84">
        <f t="shared" ref="CL98:CN98" si="43">SUBTOTAL(9,CL93:CL97)</f>
        <v>50</v>
      </c>
      <c r="CM98" s="84">
        <f t="shared" si="43"/>
        <v>70</v>
      </c>
      <c r="CN98" s="84">
        <f t="shared" si="43"/>
        <v>20</v>
      </c>
      <c r="CP98" s="84">
        <f t="shared" ref="CP98:CQ98" si="44">SUBTOTAL(9,CP93:CP97)</f>
        <v>20</v>
      </c>
      <c r="CQ98" s="84">
        <f t="shared" si="44"/>
        <v>130</v>
      </c>
      <c r="CS98" s="84">
        <f t="shared" ref="CS98" si="45">SUBTOTAL(9,CS93:CS97)</f>
        <v>640</v>
      </c>
      <c r="CV98" s="84">
        <f t="shared" ref="CV98" si="46">SUBTOTAL(9,CV93:CV97)</f>
        <v>70</v>
      </c>
      <c r="CY98" s="84">
        <f t="shared" ref="CY98:DB98" si="47">SUBTOTAL(9,CY93:CY97)</f>
        <v>3</v>
      </c>
      <c r="CZ98" s="84">
        <f t="shared" si="47"/>
        <v>420</v>
      </c>
      <c r="DA98" s="84">
        <f t="shared" si="47"/>
        <v>280</v>
      </c>
      <c r="DB98" s="84">
        <f t="shared" si="47"/>
        <v>1220</v>
      </c>
      <c r="DE98" s="84">
        <f t="shared" ref="DE98" si="48">SUBTOTAL(9,DE93:DE97)</f>
        <v>420</v>
      </c>
      <c r="DG98" s="84">
        <f t="shared" ref="DG98:DJ98" si="49">SUBTOTAL(9,DG93:DG97)</f>
        <v>1</v>
      </c>
      <c r="DH98" s="84">
        <f t="shared" si="49"/>
        <v>1</v>
      </c>
      <c r="DI98" s="84">
        <f t="shared" si="49"/>
        <v>1</v>
      </c>
      <c r="DJ98" s="84">
        <f t="shared" si="49"/>
        <v>100</v>
      </c>
      <c r="DL98" s="84">
        <f t="shared" ref="DL98:DQ98" si="50">SUBTOTAL(9,DL93:DL97)</f>
        <v>360</v>
      </c>
      <c r="DM98" s="84">
        <f t="shared" si="50"/>
        <v>780</v>
      </c>
      <c r="DN98" s="84">
        <f t="shared" si="50"/>
        <v>2</v>
      </c>
      <c r="DO98" s="84">
        <f t="shared" si="50"/>
        <v>1</v>
      </c>
      <c r="DP98" s="84">
        <f t="shared" si="50"/>
        <v>420</v>
      </c>
      <c r="DQ98" s="84">
        <f t="shared" si="50"/>
        <v>60</v>
      </c>
      <c r="DU98" s="84">
        <f t="shared" ref="DU98" si="51">SUBTOTAL(9,DU93:DU97)</f>
        <v>8</v>
      </c>
      <c r="DY98" s="84">
        <f t="shared" ref="DY98:EA98" si="52">SUBTOTAL(9,DY93:DY97)</f>
        <v>7</v>
      </c>
      <c r="DZ98" s="84">
        <f t="shared" si="52"/>
        <v>10</v>
      </c>
      <c r="EA98" s="84">
        <f t="shared" si="52"/>
        <v>28</v>
      </c>
      <c r="EG98" s="84">
        <f t="shared" ref="EG98:EH98" si="53">SUBTOTAL(9,EG93:EG97)</f>
        <v>13</v>
      </c>
      <c r="EH98" s="84">
        <f t="shared" si="53"/>
        <v>80</v>
      </c>
      <c r="EJ98" s="84">
        <f t="shared" ref="EJ98" si="54">SUBTOTAL(9,EJ93:EJ97)</f>
        <v>10</v>
      </c>
      <c r="EM98" s="84">
        <f t="shared" ref="EM98" si="55">SUBTOTAL(9,EM93:EM97)</f>
        <v>80</v>
      </c>
      <c r="EO98" s="84">
        <f t="shared" ref="EO98:ER98" si="56">SUBTOTAL(9,EO93:EO97)</f>
        <v>310</v>
      </c>
      <c r="EP98" s="84">
        <f t="shared" si="56"/>
        <v>1690</v>
      </c>
      <c r="ER98" s="84">
        <f t="shared" si="56"/>
        <v>1</v>
      </c>
      <c r="EV98" s="84">
        <f t="shared" ref="EV98" si="57">SUBTOTAL(9,EV93:EV97)</f>
        <v>22</v>
      </c>
      <c r="EY98" s="84">
        <f t="shared" ref="EY98" si="58">SUBTOTAL(9,EY93:EY97)</f>
        <v>100</v>
      </c>
      <c r="FC98" s="84">
        <f t="shared" ref="FC98:FF98" si="59">SUBTOTAL(9,FC93:FC97)</f>
        <v>15</v>
      </c>
      <c r="FD98" s="84">
        <f t="shared" si="59"/>
        <v>100</v>
      </c>
      <c r="FE98" s="84">
        <f t="shared" si="59"/>
        <v>200</v>
      </c>
      <c r="FF98" s="84">
        <f t="shared" si="59"/>
        <v>180</v>
      </c>
      <c r="FL98" s="84">
        <f t="shared" ref="FL98:FM98" si="60">SUBTOTAL(9,FL93:FL97)</f>
        <v>20</v>
      </c>
      <c r="FM98" s="84">
        <f t="shared" si="60"/>
        <v>19</v>
      </c>
      <c r="FQ98" s="84">
        <f t="shared" ref="FQ98" si="61">SUBTOTAL(9,FQ93:FQ97)</f>
        <v>3</v>
      </c>
      <c r="FT98" s="84">
        <f t="shared" ref="FT98" si="62">SUBTOTAL(9,FT93:FT97)</f>
        <v>0</v>
      </c>
      <c r="GD98" s="84">
        <f t="shared" si="19"/>
        <v>9935</v>
      </c>
    </row>
  </sheetData>
  <autoFilter ref="A6:GI91" xr:uid="{00000000-0009-0000-0000-000000000000}">
    <filterColumn colId="2">
      <filters blank="1">
        <filter val="UA1J"/>
        <filter val="UA1K"/>
      </filters>
    </filterColumn>
  </autoFilter>
  <phoneticPr fontId="3" type="noConversion"/>
  <conditionalFormatting sqref="F91 F5:F6">
    <cfRule type="cellIs" dxfId="1793" priority="239" stopIfTrue="1" operator="equal">
      <formula>"E7"</formula>
    </cfRule>
    <cfRule type="cellIs" dxfId="1792" priority="240" stopIfTrue="1" operator="equal">
      <formula>"E7A"</formula>
    </cfRule>
  </conditionalFormatting>
  <conditionalFormatting sqref="F63">
    <cfRule type="cellIs" dxfId="1791" priority="237" stopIfTrue="1" operator="equal">
      <formula>"E7"</formula>
    </cfRule>
    <cfRule type="cellIs" dxfId="1790" priority="238" stopIfTrue="1" operator="equal">
      <formula>"E7A"</formula>
    </cfRule>
  </conditionalFormatting>
  <conditionalFormatting sqref="F7">
    <cfRule type="cellIs" dxfId="1789" priority="235" stopIfTrue="1" operator="equal">
      <formula>"E7"</formula>
    </cfRule>
    <cfRule type="cellIs" dxfId="1788" priority="236" stopIfTrue="1" operator="equal">
      <formula>"E7A"</formula>
    </cfRule>
  </conditionalFormatting>
  <conditionalFormatting sqref="F8">
    <cfRule type="cellIs" dxfId="1787" priority="233" stopIfTrue="1" operator="equal">
      <formula>"E7"</formula>
    </cfRule>
    <cfRule type="cellIs" dxfId="1786" priority="234" stopIfTrue="1" operator="equal">
      <formula>"E7A"</formula>
    </cfRule>
  </conditionalFormatting>
  <conditionalFormatting sqref="F33">
    <cfRule type="cellIs" dxfId="1785" priority="231" stopIfTrue="1" operator="equal">
      <formula>"E7"</formula>
    </cfRule>
    <cfRule type="cellIs" dxfId="1784" priority="232" stopIfTrue="1" operator="equal">
      <formula>"E7A"</formula>
    </cfRule>
  </conditionalFormatting>
  <conditionalFormatting sqref="F9">
    <cfRule type="cellIs" dxfId="1783" priority="227" stopIfTrue="1" operator="equal">
      <formula>"E7"</formula>
    </cfRule>
    <cfRule type="cellIs" dxfId="1782" priority="228" stopIfTrue="1" operator="equal">
      <formula>"E7A"</formula>
    </cfRule>
  </conditionalFormatting>
  <conditionalFormatting sqref="F32">
    <cfRule type="cellIs" dxfId="1781" priority="229" stopIfTrue="1" operator="equal">
      <formula>"E7"</formula>
    </cfRule>
    <cfRule type="cellIs" dxfId="1780" priority="230" stopIfTrue="1" operator="equal">
      <formula>"E7A"</formula>
    </cfRule>
  </conditionalFormatting>
  <conditionalFormatting sqref="F20">
    <cfRule type="cellIs" dxfId="1779" priority="225" stopIfTrue="1" operator="equal">
      <formula>"E7"</formula>
    </cfRule>
    <cfRule type="cellIs" dxfId="1778" priority="226" stopIfTrue="1" operator="equal">
      <formula>"E7A"</formula>
    </cfRule>
  </conditionalFormatting>
  <conditionalFormatting sqref="F34">
    <cfRule type="cellIs" dxfId="1777" priority="223" stopIfTrue="1" operator="equal">
      <formula>"E7"</formula>
    </cfRule>
    <cfRule type="cellIs" dxfId="1776" priority="224" stopIfTrue="1" operator="equal">
      <formula>"E7A"</formula>
    </cfRule>
  </conditionalFormatting>
  <conditionalFormatting sqref="F57">
    <cfRule type="cellIs" dxfId="1775" priority="221" stopIfTrue="1" operator="equal">
      <formula>"E7"</formula>
    </cfRule>
    <cfRule type="cellIs" dxfId="1774" priority="222" stopIfTrue="1" operator="equal">
      <formula>"E7A"</formula>
    </cfRule>
  </conditionalFormatting>
  <conditionalFormatting sqref="F61:F62 G62:DL62 DN62:DO62 DQ62:GB62">
    <cfRule type="cellIs" dxfId="1773" priority="219" stopIfTrue="1" operator="equal">
      <formula>"E7"</formula>
    </cfRule>
    <cfRule type="cellIs" dxfId="1772" priority="220" stopIfTrue="1" operator="equal">
      <formula>"E7A"</formula>
    </cfRule>
  </conditionalFormatting>
  <conditionalFormatting sqref="F58">
    <cfRule type="cellIs" dxfId="1771" priority="217" stopIfTrue="1" operator="equal">
      <formula>"E7"</formula>
    </cfRule>
    <cfRule type="cellIs" dxfId="1770" priority="218" stopIfTrue="1" operator="equal">
      <formula>"E7A"</formula>
    </cfRule>
  </conditionalFormatting>
  <conditionalFormatting sqref="F59">
    <cfRule type="cellIs" dxfId="1769" priority="215" stopIfTrue="1" operator="equal">
      <formula>"E7"</formula>
    </cfRule>
    <cfRule type="cellIs" dxfId="1768" priority="216" stopIfTrue="1" operator="equal">
      <formula>"E7A"</formula>
    </cfRule>
  </conditionalFormatting>
  <conditionalFormatting sqref="F60">
    <cfRule type="cellIs" dxfId="1767" priority="213" stopIfTrue="1" operator="equal">
      <formula>"E7"</formula>
    </cfRule>
    <cfRule type="cellIs" dxfId="1766" priority="214" stopIfTrue="1" operator="equal">
      <formula>"E7A"</formula>
    </cfRule>
  </conditionalFormatting>
  <conditionalFormatting sqref="F54">
    <cfRule type="cellIs" dxfId="1765" priority="211" stopIfTrue="1" operator="equal">
      <formula>"E7"</formula>
    </cfRule>
    <cfRule type="cellIs" dxfId="1764" priority="212" stopIfTrue="1" operator="equal">
      <formula>"E7A"</formula>
    </cfRule>
  </conditionalFormatting>
  <conditionalFormatting sqref="F55">
    <cfRule type="cellIs" dxfId="1763" priority="209" stopIfTrue="1" operator="equal">
      <formula>"E7"</formula>
    </cfRule>
    <cfRule type="cellIs" dxfId="1762" priority="210" stopIfTrue="1" operator="equal">
      <formula>"E7A"</formula>
    </cfRule>
  </conditionalFormatting>
  <conditionalFormatting sqref="F56">
    <cfRule type="cellIs" dxfId="1761" priority="207" stopIfTrue="1" operator="equal">
      <formula>"E7"</formula>
    </cfRule>
    <cfRule type="cellIs" dxfId="1760" priority="208" stopIfTrue="1" operator="equal">
      <formula>"E7A"</formula>
    </cfRule>
  </conditionalFormatting>
  <conditionalFormatting sqref="B7 B44 B51:B63 B87:B90">
    <cfRule type="expression" dxfId="1759" priority="206">
      <formula>$B7="A"</formula>
    </cfRule>
  </conditionalFormatting>
  <conditionalFormatting sqref="B8:B9 B20 B32:B34">
    <cfRule type="expression" dxfId="1758" priority="205">
      <formula>$B8="A"</formula>
    </cfRule>
  </conditionalFormatting>
  <conditionalFormatting sqref="EN6:EU6 EW6:FR6 FT6:FZ6 DO6:DR6 H6:AH6 AZ6:BQ6 CD6:CH6 CS6 CU6:DB6 DD6:DM6 CA6 CJ6 BS6:BY6 CL6:CQ6 AJ6:AX6">
    <cfRule type="expression" dxfId="1757" priority="167">
      <formula>H266=0</formula>
    </cfRule>
  </conditionalFormatting>
  <conditionalFormatting sqref="F44">
    <cfRule type="cellIs" dxfId="1756" priority="203" stopIfTrue="1" operator="equal">
      <formula>"E7"</formula>
    </cfRule>
    <cfRule type="cellIs" dxfId="1755" priority="204" stopIfTrue="1" operator="equal">
      <formula>"E7A"</formula>
    </cfRule>
  </conditionalFormatting>
  <conditionalFormatting sqref="F51">
    <cfRule type="cellIs" dxfId="1754" priority="201" stopIfTrue="1" operator="equal">
      <formula>"E7"</formula>
    </cfRule>
    <cfRule type="cellIs" dxfId="1753" priority="202" stopIfTrue="1" operator="equal">
      <formula>"E7A"</formula>
    </cfRule>
  </conditionalFormatting>
  <conditionalFormatting sqref="F52">
    <cfRule type="cellIs" dxfId="1752" priority="199" stopIfTrue="1" operator="equal">
      <formula>"E7"</formula>
    </cfRule>
    <cfRule type="cellIs" dxfId="1751" priority="200" stopIfTrue="1" operator="equal">
      <formula>"E7A"</formula>
    </cfRule>
  </conditionalFormatting>
  <conditionalFormatting sqref="F53">
    <cfRule type="cellIs" dxfId="1750" priority="197" stopIfTrue="1" operator="equal">
      <formula>"E7"</formula>
    </cfRule>
    <cfRule type="cellIs" dxfId="1749" priority="198" stopIfTrue="1" operator="equal">
      <formula>"E7A"</formula>
    </cfRule>
  </conditionalFormatting>
  <conditionalFormatting sqref="F48">
    <cfRule type="cellIs" dxfId="1748" priority="195" stopIfTrue="1" operator="equal">
      <formula>"E7"</formula>
    </cfRule>
    <cfRule type="cellIs" dxfId="1747" priority="196" stopIfTrue="1" operator="equal">
      <formula>"E7A"</formula>
    </cfRule>
  </conditionalFormatting>
  <conditionalFormatting sqref="F49">
    <cfRule type="cellIs" dxfId="1746" priority="193" stopIfTrue="1" operator="equal">
      <formula>"E7"</formula>
    </cfRule>
    <cfRule type="cellIs" dxfId="1745" priority="194" stopIfTrue="1" operator="equal">
      <formula>"E7A"</formula>
    </cfRule>
  </conditionalFormatting>
  <conditionalFormatting sqref="F50">
    <cfRule type="cellIs" dxfId="1744" priority="191" stopIfTrue="1" operator="equal">
      <formula>"E7"</formula>
    </cfRule>
    <cfRule type="cellIs" dxfId="1743" priority="192" stopIfTrue="1" operator="equal">
      <formula>"E7A"</formula>
    </cfRule>
  </conditionalFormatting>
  <conditionalFormatting sqref="B45:B50">
    <cfRule type="expression" dxfId="1742" priority="190">
      <formula>$B45="A"</formula>
    </cfRule>
  </conditionalFormatting>
  <conditionalFormatting sqref="F45">
    <cfRule type="cellIs" dxfId="1741" priority="188" stopIfTrue="1" operator="equal">
      <formula>"E7"</formula>
    </cfRule>
    <cfRule type="cellIs" dxfId="1740" priority="189" stopIfTrue="1" operator="equal">
      <formula>"E7A"</formula>
    </cfRule>
  </conditionalFormatting>
  <conditionalFormatting sqref="F46">
    <cfRule type="cellIs" dxfId="1739" priority="186" stopIfTrue="1" operator="equal">
      <formula>"E7"</formula>
    </cfRule>
    <cfRule type="cellIs" dxfId="1738" priority="187" stopIfTrue="1" operator="equal">
      <formula>"E7A"</formula>
    </cfRule>
  </conditionalFormatting>
  <conditionalFormatting sqref="F47">
    <cfRule type="cellIs" dxfId="1737" priority="184" stopIfTrue="1" operator="equal">
      <formula>"E7"</formula>
    </cfRule>
    <cfRule type="cellIs" dxfId="1736" priority="185" stopIfTrue="1" operator="equal">
      <formula>"E7A"</formula>
    </cfRule>
  </conditionalFormatting>
  <conditionalFormatting sqref="B35">
    <cfRule type="expression" dxfId="1735" priority="183">
      <formula>$B35="A"</formula>
    </cfRule>
  </conditionalFormatting>
  <conditionalFormatting sqref="F35">
    <cfRule type="cellIs" dxfId="1734" priority="181" stopIfTrue="1" operator="equal">
      <formula>"E7"</formula>
    </cfRule>
    <cfRule type="cellIs" dxfId="1733" priority="182" stopIfTrue="1" operator="equal">
      <formula>"E7A"</formula>
    </cfRule>
  </conditionalFormatting>
  <conditionalFormatting sqref="F39:F40">
    <cfRule type="cellIs" dxfId="1732" priority="179" stopIfTrue="1" operator="equal">
      <formula>"E7"</formula>
    </cfRule>
    <cfRule type="cellIs" dxfId="1731" priority="180" stopIfTrue="1" operator="equal">
      <formula>"E7A"</formula>
    </cfRule>
  </conditionalFormatting>
  <conditionalFormatting sqref="F41">
    <cfRule type="cellIs" dxfId="1730" priority="177" stopIfTrue="1" operator="equal">
      <formula>"E7"</formula>
    </cfRule>
    <cfRule type="cellIs" dxfId="1729" priority="178" stopIfTrue="1" operator="equal">
      <formula>"E7A"</formula>
    </cfRule>
  </conditionalFormatting>
  <conditionalFormatting sqref="F42:F43">
    <cfRule type="cellIs" dxfId="1728" priority="175" stopIfTrue="1" operator="equal">
      <formula>"E7"</formula>
    </cfRule>
    <cfRule type="cellIs" dxfId="1727" priority="176" stopIfTrue="1" operator="equal">
      <formula>"E7A"</formula>
    </cfRule>
  </conditionalFormatting>
  <conditionalFormatting sqref="B36:B43">
    <cfRule type="expression" dxfId="1726" priority="174">
      <formula>$B36="A"</formula>
    </cfRule>
  </conditionalFormatting>
  <conditionalFormatting sqref="F36">
    <cfRule type="cellIs" dxfId="1725" priority="172" stopIfTrue="1" operator="equal">
      <formula>"E7"</formula>
    </cfRule>
    <cfRule type="cellIs" dxfId="1724" priority="173" stopIfTrue="1" operator="equal">
      <formula>"E7A"</formula>
    </cfRule>
  </conditionalFormatting>
  <conditionalFormatting sqref="F37">
    <cfRule type="cellIs" dxfId="1723" priority="170" stopIfTrue="1" operator="equal">
      <formula>"E7"</formula>
    </cfRule>
    <cfRule type="cellIs" dxfId="1722" priority="171" stopIfTrue="1" operator="equal">
      <formula>"E7A"</formula>
    </cfRule>
  </conditionalFormatting>
  <conditionalFormatting sqref="F38">
    <cfRule type="cellIs" dxfId="1721" priority="168" stopIfTrue="1" operator="equal">
      <formula>"E7"</formula>
    </cfRule>
    <cfRule type="cellIs" dxfId="1720" priority="169" stopIfTrue="1" operator="equal">
      <formula>"E7A"</formula>
    </cfRule>
  </conditionalFormatting>
  <conditionalFormatting sqref="DT6:EM6">
    <cfRule type="expression" dxfId="1719" priority="166">
      <formula>DT266=0</formula>
    </cfRule>
  </conditionalFormatting>
  <conditionalFormatting sqref="H1:AH1 DT1:EM1 DO1:DR1 CD1:CH1 CS1 CU1:DB1 DD1:DM1 CA1 CJ1 BS1:BY1 AZ1:BQ1 CL1:CQ1 AJ1:AX1">
    <cfRule type="duplicateValues" dxfId="1718" priority="165"/>
  </conditionalFormatting>
  <conditionalFormatting sqref="H1 BG1:BH1">
    <cfRule type="duplicateValues" dxfId="1717" priority="164"/>
  </conditionalFormatting>
  <conditionalFormatting sqref="L1">
    <cfRule type="duplicateValues" dxfId="1716" priority="163"/>
  </conditionalFormatting>
  <conditionalFormatting sqref="F12">
    <cfRule type="cellIs" dxfId="1715" priority="161" stopIfTrue="1" operator="equal">
      <formula>"E7"</formula>
    </cfRule>
    <cfRule type="cellIs" dxfId="1714" priority="162" stopIfTrue="1" operator="equal">
      <formula>"E7A"</formula>
    </cfRule>
  </conditionalFormatting>
  <conditionalFormatting sqref="F11">
    <cfRule type="cellIs" dxfId="1713" priority="159" stopIfTrue="1" operator="equal">
      <formula>"E7"</formula>
    </cfRule>
    <cfRule type="cellIs" dxfId="1712" priority="160" stopIfTrue="1" operator="equal">
      <formula>"E7A"</formula>
    </cfRule>
  </conditionalFormatting>
  <conditionalFormatting sqref="F10">
    <cfRule type="cellIs" dxfId="1711" priority="157" stopIfTrue="1" operator="equal">
      <formula>"E7"</formula>
    </cfRule>
    <cfRule type="cellIs" dxfId="1710" priority="158" stopIfTrue="1" operator="equal">
      <formula>"E7A"</formula>
    </cfRule>
  </conditionalFormatting>
  <conditionalFormatting sqref="F13">
    <cfRule type="cellIs" dxfId="1709" priority="155" stopIfTrue="1" operator="equal">
      <formula>"E7"</formula>
    </cfRule>
    <cfRule type="cellIs" dxfId="1708" priority="156" stopIfTrue="1" operator="equal">
      <formula>"E7A"</formula>
    </cfRule>
  </conditionalFormatting>
  <conditionalFormatting sqref="B10:B13">
    <cfRule type="expression" dxfId="1707" priority="154">
      <formula>$B10="A"</formula>
    </cfRule>
  </conditionalFormatting>
  <conditionalFormatting sqref="B14">
    <cfRule type="expression" dxfId="1706" priority="153">
      <formula>$B14="A"</formula>
    </cfRule>
  </conditionalFormatting>
  <conditionalFormatting sqref="F14">
    <cfRule type="cellIs" dxfId="1705" priority="151" stopIfTrue="1" operator="equal">
      <formula>"E7"</formula>
    </cfRule>
    <cfRule type="cellIs" dxfId="1704" priority="152" stopIfTrue="1" operator="equal">
      <formula>"E7A"</formula>
    </cfRule>
  </conditionalFormatting>
  <conditionalFormatting sqref="F18">
    <cfRule type="cellIs" dxfId="1703" priority="149" stopIfTrue="1" operator="equal">
      <formula>"E7"</formula>
    </cfRule>
    <cfRule type="cellIs" dxfId="1702" priority="150" stopIfTrue="1" operator="equal">
      <formula>"E7A"</formula>
    </cfRule>
  </conditionalFormatting>
  <conditionalFormatting sqref="F19">
    <cfRule type="cellIs" dxfId="1701" priority="147" stopIfTrue="1" operator="equal">
      <formula>"E7"</formula>
    </cfRule>
    <cfRule type="cellIs" dxfId="1700" priority="148" stopIfTrue="1" operator="equal">
      <formula>"E7A"</formula>
    </cfRule>
  </conditionalFormatting>
  <conditionalFormatting sqref="B15:B19">
    <cfRule type="expression" dxfId="1699" priority="146">
      <formula>$B15="A"</formula>
    </cfRule>
  </conditionalFormatting>
  <conditionalFormatting sqref="F15">
    <cfRule type="cellIs" dxfId="1698" priority="144" stopIfTrue="1" operator="equal">
      <formula>"E7"</formula>
    </cfRule>
    <cfRule type="cellIs" dxfId="1697" priority="145" stopIfTrue="1" operator="equal">
      <formula>"E7A"</formula>
    </cfRule>
  </conditionalFormatting>
  <conditionalFormatting sqref="F16">
    <cfRule type="cellIs" dxfId="1696" priority="142" stopIfTrue="1" operator="equal">
      <formula>"E7"</formula>
    </cfRule>
    <cfRule type="cellIs" dxfId="1695" priority="143" stopIfTrue="1" operator="equal">
      <formula>"E7A"</formula>
    </cfRule>
  </conditionalFormatting>
  <conditionalFormatting sqref="F17">
    <cfRule type="cellIs" dxfId="1694" priority="140" stopIfTrue="1" operator="equal">
      <formula>"E7"</formula>
    </cfRule>
    <cfRule type="cellIs" dxfId="1693" priority="141" stopIfTrue="1" operator="equal">
      <formula>"E7A"</formula>
    </cfRule>
  </conditionalFormatting>
  <conditionalFormatting sqref="DR4">
    <cfRule type="duplicateValues" dxfId="1692" priority="139"/>
  </conditionalFormatting>
  <conditionalFormatting sqref="H4:AH4 DT4:EM4 DO4:DQ4 CD4:CH4 CS4 CU4:DB4 DD4:DM4 CA4 CJ4 BS4:BY4 AZ4:BQ4 CL4:CQ4 AJ4:AX4">
    <cfRule type="duplicateValues" dxfId="1691" priority="138"/>
  </conditionalFormatting>
  <conditionalFormatting sqref="F76">
    <cfRule type="cellIs" dxfId="1690" priority="136" stopIfTrue="1" operator="equal">
      <formula>"E7"</formula>
    </cfRule>
    <cfRule type="cellIs" dxfId="1689" priority="137" stopIfTrue="1" operator="equal">
      <formula>"E7A"</formula>
    </cfRule>
  </conditionalFormatting>
  <conditionalFormatting sqref="F75">
    <cfRule type="cellIs" dxfId="1688" priority="134" stopIfTrue="1" operator="equal">
      <formula>"E7"</formula>
    </cfRule>
    <cfRule type="cellIs" dxfId="1687" priority="135" stopIfTrue="1" operator="equal">
      <formula>"E7A"</formula>
    </cfRule>
  </conditionalFormatting>
  <conditionalFormatting sqref="F74">
    <cfRule type="cellIs" dxfId="1686" priority="132" stopIfTrue="1" operator="equal">
      <formula>"E7"</formula>
    </cfRule>
    <cfRule type="cellIs" dxfId="1685" priority="133" stopIfTrue="1" operator="equal">
      <formula>"E7A"</formula>
    </cfRule>
  </conditionalFormatting>
  <conditionalFormatting sqref="F77">
    <cfRule type="cellIs" dxfId="1684" priority="130" stopIfTrue="1" operator="equal">
      <formula>"E7"</formula>
    </cfRule>
    <cfRule type="cellIs" dxfId="1683" priority="131" stopIfTrue="1" operator="equal">
      <formula>"E7A"</formula>
    </cfRule>
  </conditionalFormatting>
  <conditionalFormatting sqref="B86">
    <cfRule type="expression" dxfId="1682" priority="129">
      <formula>$B86="A"</formula>
    </cfRule>
  </conditionalFormatting>
  <conditionalFormatting sqref="B74:B77">
    <cfRule type="expression" dxfId="1681" priority="128">
      <formula>$B74="A"</formula>
    </cfRule>
  </conditionalFormatting>
  <conditionalFormatting sqref="F86">
    <cfRule type="cellIs" dxfId="1680" priority="126" stopIfTrue="1" operator="equal">
      <formula>"E7"</formula>
    </cfRule>
    <cfRule type="cellIs" dxfId="1679" priority="127" stopIfTrue="1" operator="equal">
      <formula>"E7A"</formula>
    </cfRule>
  </conditionalFormatting>
  <conditionalFormatting sqref="F88">
    <cfRule type="cellIs" dxfId="1678" priority="124" stopIfTrue="1" operator="equal">
      <formula>"E7"</formula>
    </cfRule>
    <cfRule type="cellIs" dxfId="1677" priority="125" stopIfTrue="1" operator="equal">
      <formula>"E7A"</formula>
    </cfRule>
  </conditionalFormatting>
  <conditionalFormatting sqref="F89">
    <cfRule type="cellIs" dxfId="1676" priority="122" stopIfTrue="1" operator="equal">
      <formula>"E7"</formula>
    </cfRule>
    <cfRule type="cellIs" dxfId="1675" priority="123" stopIfTrue="1" operator="equal">
      <formula>"E7A"</formula>
    </cfRule>
  </conditionalFormatting>
  <conditionalFormatting sqref="F90">
    <cfRule type="cellIs" dxfId="1674" priority="120" stopIfTrue="1" operator="equal">
      <formula>"E7"</formula>
    </cfRule>
    <cfRule type="cellIs" dxfId="1673" priority="121" stopIfTrue="1" operator="equal">
      <formula>"E7A"</formula>
    </cfRule>
  </conditionalFormatting>
  <conditionalFormatting sqref="F87">
    <cfRule type="cellIs" dxfId="1672" priority="118" stopIfTrue="1" operator="equal">
      <formula>"E7"</formula>
    </cfRule>
    <cfRule type="cellIs" dxfId="1671" priority="119" stopIfTrue="1" operator="equal">
      <formula>"E7A"</formula>
    </cfRule>
  </conditionalFormatting>
  <conditionalFormatting sqref="B78">
    <cfRule type="expression" dxfId="1670" priority="117">
      <formula>$B78="A"</formula>
    </cfRule>
  </conditionalFormatting>
  <conditionalFormatting sqref="F78">
    <cfRule type="cellIs" dxfId="1669" priority="115" stopIfTrue="1" operator="equal">
      <formula>"E7"</formula>
    </cfRule>
    <cfRule type="cellIs" dxfId="1668" priority="116" stopIfTrue="1" operator="equal">
      <formula>"E7A"</formula>
    </cfRule>
  </conditionalFormatting>
  <conditionalFormatting sqref="F83">
    <cfRule type="cellIs" dxfId="1667" priority="113" stopIfTrue="1" operator="equal">
      <formula>"E7"</formula>
    </cfRule>
    <cfRule type="cellIs" dxfId="1666" priority="114" stopIfTrue="1" operator="equal">
      <formula>"E7A"</formula>
    </cfRule>
  </conditionalFormatting>
  <conditionalFormatting sqref="F84">
    <cfRule type="cellIs" dxfId="1665" priority="111" stopIfTrue="1" operator="equal">
      <formula>"E7"</formula>
    </cfRule>
    <cfRule type="cellIs" dxfId="1664" priority="112" stopIfTrue="1" operator="equal">
      <formula>"E7A"</formula>
    </cfRule>
  </conditionalFormatting>
  <conditionalFormatting sqref="F85">
    <cfRule type="cellIs" dxfId="1663" priority="109" stopIfTrue="1" operator="equal">
      <formula>"E7"</formula>
    </cfRule>
    <cfRule type="cellIs" dxfId="1662" priority="110" stopIfTrue="1" operator="equal">
      <formula>"E7A"</formula>
    </cfRule>
  </conditionalFormatting>
  <conditionalFormatting sqref="B79:B85">
    <cfRule type="expression" dxfId="1661" priority="108">
      <formula>$B79="A"</formula>
    </cfRule>
  </conditionalFormatting>
  <conditionalFormatting sqref="F79:F80">
    <cfRule type="cellIs" dxfId="1660" priority="106" stopIfTrue="1" operator="equal">
      <formula>"E7"</formula>
    </cfRule>
    <cfRule type="cellIs" dxfId="1659" priority="107" stopIfTrue="1" operator="equal">
      <formula>"E7A"</formula>
    </cfRule>
  </conditionalFormatting>
  <conditionalFormatting sqref="F81">
    <cfRule type="cellIs" dxfId="1658" priority="104" stopIfTrue="1" operator="equal">
      <formula>"E7"</formula>
    </cfRule>
    <cfRule type="cellIs" dxfId="1657" priority="105" stopIfTrue="1" operator="equal">
      <formula>"E7A"</formula>
    </cfRule>
  </conditionalFormatting>
  <conditionalFormatting sqref="F82">
    <cfRule type="cellIs" dxfId="1656" priority="102" stopIfTrue="1" operator="equal">
      <formula>"E7"</formula>
    </cfRule>
    <cfRule type="cellIs" dxfId="1655" priority="103" stopIfTrue="1" operator="equal">
      <formula>"E7A"</formula>
    </cfRule>
  </conditionalFormatting>
  <conditionalFormatting sqref="F66">
    <cfRule type="cellIs" dxfId="1654" priority="100" stopIfTrue="1" operator="equal">
      <formula>"E7"</formula>
    </cfRule>
    <cfRule type="cellIs" dxfId="1653" priority="101" stopIfTrue="1" operator="equal">
      <formula>"E7A"</formula>
    </cfRule>
  </conditionalFormatting>
  <conditionalFormatting sqref="F65">
    <cfRule type="cellIs" dxfId="1652" priority="98" stopIfTrue="1" operator="equal">
      <formula>"E7"</formula>
    </cfRule>
    <cfRule type="cellIs" dxfId="1651" priority="99" stopIfTrue="1" operator="equal">
      <formula>"E7A"</formula>
    </cfRule>
  </conditionalFormatting>
  <conditionalFormatting sqref="F64">
    <cfRule type="cellIs" dxfId="1650" priority="96" stopIfTrue="1" operator="equal">
      <formula>"E7"</formula>
    </cfRule>
    <cfRule type="cellIs" dxfId="1649" priority="97" stopIfTrue="1" operator="equal">
      <formula>"E7A"</formula>
    </cfRule>
  </conditionalFormatting>
  <conditionalFormatting sqref="F67">
    <cfRule type="cellIs" dxfId="1648" priority="94" stopIfTrue="1" operator="equal">
      <formula>"E7"</formula>
    </cfRule>
    <cfRule type="cellIs" dxfId="1647" priority="95" stopIfTrue="1" operator="equal">
      <formula>"E7A"</formula>
    </cfRule>
  </conditionalFormatting>
  <conditionalFormatting sqref="B64:B67">
    <cfRule type="expression" dxfId="1646" priority="93">
      <formula>$B64="A"</formula>
    </cfRule>
  </conditionalFormatting>
  <conditionalFormatting sqref="B68">
    <cfRule type="expression" dxfId="1645" priority="92">
      <formula>$B68="A"</formula>
    </cfRule>
  </conditionalFormatting>
  <conditionalFormatting sqref="F68">
    <cfRule type="cellIs" dxfId="1644" priority="90" stopIfTrue="1" operator="equal">
      <formula>"E7"</formula>
    </cfRule>
    <cfRule type="cellIs" dxfId="1643" priority="91" stopIfTrue="1" operator="equal">
      <formula>"E7A"</formula>
    </cfRule>
  </conditionalFormatting>
  <conditionalFormatting sqref="F72">
    <cfRule type="cellIs" dxfId="1642" priority="88" stopIfTrue="1" operator="equal">
      <formula>"E7"</formula>
    </cfRule>
    <cfRule type="cellIs" dxfId="1641" priority="89" stopIfTrue="1" operator="equal">
      <formula>"E7A"</formula>
    </cfRule>
  </conditionalFormatting>
  <conditionalFormatting sqref="F73">
    <cfRule type="cellIs" dxfId="1640" priority="86" stopIfTrue="1" operator="equal">
      <formula>"E7"</formula>
    </cfRule>
    <cfRule type="cellIs" dxfId="1639" priority="87" stopIfTrue="1" operator="equal">
      <formula>"E7A"</formula>
    </cfRule>
  </conditionalFormatting>
  <conditionalFormatting sqref="B69:B73">
    <cfRule type="expression" dxfId="1638" priority="85">
      <formula>$B69="A"</formula>
    </cfRule>
  </conditionalFormatting>
  <conditionalFormatting sqref="F69">
    <cfRule type="cellIs" dxfId="1637" priority="83" stopIfTrue="1" operator="equal">
      <formula>"E7"</formula>
    </cfRule>
    <cfRule type="cellIs" dxfId="1636" priority="84" stopIfTrue="1" operator="equal">
      <formula>"E7A"</formula>
    </cfRule>
  </conditionalFormatting>
  <conditionalFormatting sqref="F70">
    <cfRule type="cellIs" dxfId="1635" priority="81" stopIfTrue="1" operator="equal">
      <formula>"E7"</formula>
    </cfRule>
    <cfRule type="cellIs" dxfId="1634" priority="82" stopIfTrue="1" operator="equal">
      <formula>"E7A"</formula>
    </cfRule>
  </conditionalFormatting>
  <conditionalFormatting sqref="F71">
    <cfRule type="cellIs" dxfId="1633" priority="79" stopIfTrue="1" operator="equal">
      <formula>"E7"</formula>
    </cfRule>
    <cfRule type="cellIs" dxfId="1632" priority="80" stopIfTrue="1" operator="equal">
      <formula>"E7A"</formula>
    </cfRule>
  </conditionalFormatting>
  <conditionalFormatting sqref="F31">
    <cfRule type="cellIs" dxfId="1631" priority="77" stopIfTrue="1" operator="equal">
      <formula>"E7"</formula>
    </cfRule>
    <cfRule type="cellIs" dxfId="1630" priority="78" stopIfTrue="1" operator="equal">
      <formula>"E7A"</formula>
    </cfRule>
  </conditionalFormatting>
  <conditionalFormatting sqref="B31">
    <cfRule type="expression" dxfId="1629" priority="76">
      <formula>$B31="A"</formula>
    </cfRule>
  </conditionalFormatting>
  <conditionalFormatting sqref="F23">
    <cfRule type="cellIs" dxfId="1628" priority="74" stopIfTrue="1" operator="equal">
      <formula>"E7"</formula>
    </cfRule>
    <cfRule type="cellIs" dxfId="1627" priority="75" stopIfTrue="1" operator="equal">
      <formula>"E7A"</formula>
    </cfRule>
  </conditionalFormatting>
  <conditionalFormatting sqref="F22">
    <cfRule type="cellIs" dxfId="1626" priority="72" stopIfTrue="1" operator="equal">
      <formula>"E7"</formula>
    </cfRule>
    <cfRule type="cellIs" dxfId="1625" priority="73" stopIfTrue="1" operator="equal">
      <formula>"E7A"</formula>
    </cfRule>
  </conditionalFormatting>
  <conditionalFormatting sqref="F21">
    <cfRule type="cellIs" dxfId="1624" priority="70" stopIfTrue="1" operator="equal">
      <formula>"E7"</formula>
    </cfRule>
    <cfRule type="cellIs" dxfId="1623" priority="71" stopIfTrue="1" operator="equal">
      <formula>"E7A"</formula>
    </cfRule>
  </conditionalFormatting>
  <conditionalFormatting sqref="F24">
    <cfRule type="cellIs" dxfId="1622" priority="68" stopIfTrue="1" operator="equal">
      <formula>"E7"</formula>
    </cfRule>
    <cfRule type="cellIs" dxfId="1621" priority="69" stopIfTrue="1" operator="equal">
      <formula>"E7A"</formula>
    </cfRule>
  </conditionalFormatting>
  <conditionalFormatting sqref="B21:B24">
    <cfRule type="expression" dxfId="1620" priority="67">
      <formula>$B21="A"</formula>
    </cfRule>
  </conditionalFormatting>
  <conditionalFormatting sqref="B25">
    <cfRule type="expression" dxfId="1619" priority="66">
      <formula>$B25="A"</formula>
    </cfRule>
  </conditionalFormatting>
  <conditionalFormatting sqref="F25">
    <cfRule type="cellIs" dxfId="1618" priority="64" stopIfTrue="1" operator="equal">
      <formula>"E7"</formula>
    </cfRule>
    <cfRule type="cellIs" dxfId="1617" priority="65" stopIfTrue="1" operator="equal">
      <formula>"E7A"</formula>
    </cfRule>
  </conditionalFormatting>
  <conditionalFormatting sqref="F29">
    <cfRule type="cellIs" dxfId="1616" priority="62" stopIfTrue="1" operator="equal">
      <formula>"E7"</formula>
    </cfRule>
    <cfRule type="cellIs" dxfId="1615" priority="63" stopIfTrue="1" operator="equal">
      <formula>"E7A"</formula>
    </cfRule>
  </conditionalFormatting>
  <conditionalFormatting sqref="F30">
    <cfRule type="cellIs" dxfId="1614" priority="60" stopIfTrue="1" operator="equal">
      <formula>"E7"</formula>
    </cfRule>
    <cfRule type="cellIs" dxfId="1613" priority="61" stopIfTrue="1" operator="equal">
      <formula>"E7A"</formula>
    </cfRule>
  </conditionalFormatting>
  <conditionalFormatting sqref="B26:B30">
    <cfRule type="expression" dxfId="1612" priority="59">
      <formula>$B26="A"</formula>
    </cfRule>
  </conditionalFormatting>
  <conditionalFormatting sqref="F26">
    <cfRule type="cellIs" dxfId="1611" priority="57" stopIfTrue="1" operator="equal">
      <formula>"E7"</formula>
    </cfRule>
    <cfRule type="cellIs" dxfId="1610" priority="58" stopIfTrue="1" operator="equal">
      <formula>"E7A"</formula>
    </cfRule>
  </conditionalFormatting>
  <conditionalFormatting sqref="F27">
    <cfRule type="cellIs" dxfId="1609" priority="55" stopIfTrue="1" operator="equal">
      <formula>"E7"</formula>
    </cfRule>
    <cfRule type="cellIs" dxfId="1608" priority="56" stopIfTrue="1" operator="equal">
      <formula>"E7A"</formula>
    </cfRule>
  </conditionalFormatting>
  <conditionalFormatting sqref="F28">
    <cfRule type="cellIs" dxfId="1607" priority="53" stopIfTrue="1" operator="equal">
      <formula>"E7"</formula>
    </cfRule>
    <cfRule type="cellIs" dxfId="1606" priority="54" stopIfTrue="1" operator="equal">
      <formula>"E7A"</formula>
    </cfRule>
  </conditionalFormatting>
  <conditionalFormatting sqref="FZ4">
    <cfRule type="duplicateValues" dxfId="1605" priority="241"/>
  </conditionalFormatting>
  <conditionalFormatting sqref="EN1:EU1 EW1:FR1 FT1:FU1">
    <cfRule type="duplicateValues" dxfId="1604" priority="242"/>
  </conditionalFormatting>
  <conditionalFormatting sqref="EN4:EU4 EW4:FR4 FT4:FY4">
    <cfRule type="duplicateValues" dxfId="1603" priority="243"/>
  </conditionalFormatting>
  <conditionalFormatting sqref="GA6">
    <cfRule type="expression" dxfId="1602" priority="51">
      <formula>GA266=0</formula>
    </cfRule>
  </conditionalFormatting>
  <conditionalFormatting sqref="GA4">
    <cfRule type="duplicateValues" dxfId="1601" priority="52"/>
  </conditionalFormatting>
  <conditionalFormatting sqref="GB6">
    <cfRule type="expression" dxfId="1600" priority="49">
      <formula>GB266=0</formula>
    </cfRule>
  </conditionalFormatting>
  <conditionalFormatting sqref="GB4">
    <cfRule type="duplicateValues" dxfId="1599" priority="50"/>
  </conditionalFormatting>
  <conditionalFormatting sqref="FV1:GB1">
    <cfRule type="duplicateValues" dxfId="1598" priority="48"/>
  </conditionalFormatting>
  <conditionalFormatting sqref="DS6">
    <cfRule type="expression" dxfId="1597" priority="47">
      <formula>DS266=0</formula>
    </cfRule>
  </conditionalFormatting>
  <conditionalFormatting sqref="DS1">
    <cfRule type="duplicateValues" dxfId="1596" priority="46"/>
  </conditionalFormatting>
  <conditionalFormatting sqref="DS4">
    <cfRule type="duplicateValues" dxfId="1595" priority="45"/>
  </conditionalFormatting>
  <conditionalFormatting sqref="EV6">
    <cfRule type="expression" dxfId="1594" priority="42">
      <formula>EV266=0</formula>
    </cfRule>
  </conditionalFormatting>
  <conditionalFormatting sqref="EV1">
    <cfRule type="duplicateValues" dxfId="1593" priority="43"/>
  </conditionalFormatting>
  <conditionalFormatting sqref="EV4">
    <cfRule type="duplicateValues" dxfId="1592" priority="44"/>
  </conditionalFormatting>
  <conditionalFormatting sqref="FS6">
    <cfRule type="expression" dxfId="1591" priority="39">
      <formula>FS266=0</formula>
    </cfRule>
  </conditionalFormatting>
  <conditionalFormatting sqref="FS1">
    <cfRule type="duplicateValues" dxfId="1590" priority="40"/>
  </conditionalFormatting>
  <conditionalFormatting sqref="FS4">
    <cfRule type="duplicateValues" dxfId="1589" priority="41"/>
  </conditionalFormatting>
  <conditionalFormatting sqref="DN6">
    <cfRule type="expression" dxfId="1588" priority="38">
      <formula>DN266=0</formula>
    </cfRule>
  </conditionalFormatting>
  <conditionalFormatting sqref="DN1">
    <cfRule type="duplicateValues" dxfId="1587" priority="37"/>
  </conditionalFormatting>
  <conditionalFormatting sqref="DN4">
    <cfRule type="duplicateValues" dxfId="1586" priority="36"/>
  </conditionalFormatting>
  <conditionalFormatting sqref="CB6">
    <cfRule type="expression" dxfId="1585" priority="35">
      <formula>CB266=0</formula>
    </cfRule>
  </conditionalFormatting>
  <conditionalFormatting sqref="CB1">
    <cfRule type="duplicateValues" dxfId="1584" priority="34"/>
  </conditionalFormatting>
  <conditionalFormatting sqref="CB4">
    <cfRule type="duplicateValues" dxfId="1583" priority="33"/>
  </conditionalFormatting>
  <conditionalFormatting sqref="CR6">
    <cfRule type="expression" dxfId="1582" priority="32">
      <formula>CR266=0</formula>
    </cfRule>
  </conditionalFormatting>
  <conditionalFormatting sqref="CR1">
    <cfRule type="duplicateValues" dxfId="1581" priority="31"/>
  </conditionalFormatting>
  <conditionalFormatting sqref="CR4">
    <cfRule type="duplicateValues" dxfId="1580" priority="30"/>
  </conditionalFormatting>
  <conditionalFormatting sqref="CT6">
    <cfRule type="expression" dxfId="1579" priority="29">
      <formula>CT266=0</formula>
    </cfRule>
  </conditionalFormatting>
  <conditionalFormatting sqref="CT1">
    <cfRule type="duplicateValues" dxfId="1578" priority="28"/>
  </conditionalFormatting>
  <conditionalFormatting sqref="CT4">
    <cfRule type="duplicateValues" dxfId="1577" priority="27"/>
  </conditionalFormatting>
  <conditionalFormatting sqref="DC6">
    <cfRule type="expression" dxfId="1576" priority="26">
      <formula>DC266=0</formula>
    </cfRule>
  </conditionalFormatting>
  <conditionalFormatting sqref="DC1">
    <cfRule type="duplicateValues" dxfId="1575" priority="25"/>
  </conditionalFormatting>
  <conditionalFormatting sqref="DC4">
    <cfRule type="duplicateValues" dxfId="1574" priority="24"/>
  </conditionalFormatting>
  <conditionalFormatting sqref="CC6">
    <cfRule type="expression" dxfId="1573" priority="23">
      <formula>CC266=0</formula>
    </cfRule>
  </conditionalFormatting>
  <conditionalFormatting sqref="CC1">
    <cfRule type="duplicateValues" dxfId="1572" priority="22"/>
  </conditionalFormatting>
  <conditionalFormatting sqref="CC4">
    <cfRule type="duplicateValues" dxfId="1571" priority="21"/>
  </conditionalFormatting>
  <conditionalFormatting sqref="BZ6">
    <cfRule type="expression" dxfId="1570" priority="20">
      <formula>BZ266=0</formula>
    </cfRule>
  </conditionalFormatting>
  <conditionalFormatting sqref="BZ1">
    <cfRule type="duplicateValues" dxfId="1569" priority="19"/>
  </conditionalFormatting>
  <conditionalFormatting sqref="BZ4">
    <cfRule type="duplicateValues" dxfId="1568" priority="18"/>
  </conditionalFormatting>
  <conditionalFormatting sqref="CI6">
    <cfRule type="expression" dxfId="1567" priority="17">
      <formula>CI266=0</formula>
    </cfRule>
  </conditionalFormatting>
  <conditionalFormatting sqref="CI1">
    <cfRule type="duplicateValues" dxfId="1566" priority="16"/>
  </conditionalFormatting>
  <conditionalFormatting sqref="CI4">
    <cfRule type="duplicateValues" dxfId="1565" priority="15"/>
  </conditionalFormatting>
  <conditionalFormatting sqref="BR6">
    <cfRule type="expression" dxfId="1564" priority="14">
      <formula>BR266=0</formula>
    </cfRule>
  </conditionalFormatting>
  <conditionalFormatting sqref="BR1">
    <cfRule type="duplicateValues" dxfId="1563" priority="13"/>
  </conditionalFormatting>
  <conditionalFormatting sqref="BR4">
    <cfRule type="duplicateValues" dxfId="1562" priority="12"/>
  </conditionalFormatting>
  <conditionalFormatting sqref="AY6">
    <cfRule type="expression" dxfId="1561" priority="11">
      <formula>AY266=0</formula>
    </cfRule>
  </conditionalFormatting>
  <conditionalFormatting sqref="AY1">
    <cfRule type="duplicateValues" dxfId="1560" priority="10"/>
  </conditionalFormatting>
  <conditionalFormatting sqref="AY4">
    <cfRule type="duplicateValues" dxfId="1559" priority="9"/>
  </conditionalFormatting>
  <conditionalFormatting sqref="CK6">
    <cfRule type="expression" dxfId="1558" priority="8">
      <formula>CK266=0</formula>
    </cfRule>
  </conditionalFormatting>
  <conditionalFormatting sqref="CK1">
    <cfRule type="duplicateValues" dxfId="1557" priority="7"/>
  </conditionalFormatting>
  <conditionalFormatting sqref="CK4">
    <cfRule type="duplicateValues" dxfId="1556" priority="6"/>
  </conditionalFormatting>
  <conditionalFormatting sqref="H6:AH6 DT6:EM6 DO6:DQ6 CD6:CH6 CS6 CU6:DB6 DD6:DM6 CA6 CJ6 BS6:BY6 AZ6:BQ6 CL6:CQ6 AJ6:AX6">
    <cfRule type="expression" dxfId="1555" priority="244">
      <formula>H$267&gt;0</formula>
    </cfRule>
    <cfRule type="duplicateValues" dxfId="1554" priority="245"/>
  </conditionalFormatting>
  <conditionalFormatting sqref="EN6:EU6 EW6:FR6 FT6:FY6">
    <cfRule type="expression" dxfId="1553" priority="246">
      <formula>EN$267&gt;0</formula>
    </cfRule>
    <cfRule type="duplicateValues" dxfId="1552" priority="247"/>
  </conditionalFormatting>
  <conditionalFormatting sqref="GA6">
    <cfRule type="expression" dxfId="1551" priority="248">
      <formula>GA$267&gt;0</formula>
    </cfRule>
    <cfRule type="duplicateValues" dxfId="1550" priority="249"/>
  </conditionalFormatting>
  <conditionalFormatting sqref="GB6">
    <cfRule type="expression" dxfId="1549" priority="250">
      <formula>GB$267&gt;0</formula>
    </cfRule>
    <cfRule type="duplicateValues" dxfId="1548" priority="251"/>
  </conditionalFormatting>
  <conditionalFormatting sqref="FZ6">
    <cfRule type="expression" dxfId="1547" priority="252">
      <formula>FZ$267&gt;0</formula>
    </cfRule>
    <cfRule type="duplicateValues" dxfId="1546" priority="253"/>
  </conditionalFormatting>
  <conditionalFormatting sqref="DS6">
    <cfRule type="expression" dxfId="1545" priority="254">
      <formula>DS$267&gt;0</formula>
    </cfRule>
    <cfRule type="duplicateValues" dxfId="1544" priority="255"/>
  </conditionalFormatting>
  <conditionalFormatting sqref="EV6">
    <cfRule type="expression" dxfId="1543" priority="256">
      <formula>EV$267&gt;0</formula>
    </cfRule>
    <cfRule type="duplicateValues" dxfId="1542" priority="257"/>
  </conditionalFormatting>
  <conditionalFormatting sqref="FS6">
    <cfRule type="expression" dxfId="1541" priority="258">
      <formula>FS$267&gt;0</formula>
    </cfRule>
    <cfRule type="duplicateValues" dxfId="1540" priority="259"/>
  </conditionalFormatting>
  <conditionalFormatting sqref="DN6">
    <cfRule type="expression" dxfId="1539" priority="260">
      <formula>DN$267&gt;0</formula>
    </cfRule>
    <cfRule type="duplicateValues" dxfId="1538" priority="261"/>
  </conditionalFormatting>
  <conditionalFormatting sqref="CB6">
    <cfRule type="expression" dxfId="1537" priority="262">
      <formula>CB$267&gt;0</formula>
    </cfRule>
    <cfRule type="duplicateValues" dxfId="1536" priority="263"/>
  </conditionalFormatting>
  <conditionalFormatting sqref="CR6">
    <cfRule type="expression" dxfId="1535" priority="264">
      <formula>CR$267&gt;0</formula>
    </cfRule>
    <cfRule type="duplicateValues" dxfId="1534" priority="265"/>
  </conditionalFormatting>
  <conditionalFormatting sqref="CT6">
    <cfRule type="expression" dxfId="1533" priority="266">
      <formula>CT$267&gt;0</formula>
    </cfRule>
    <cfRule type="duplicateValues" dxfId="1532" priority="267"/>
  </conditionalFormatting>
  <conditionalFormatting sqref="DC6">
    <cfRule type="expression" dxfId="1531" priority="268">
      <formula>DC$267&gt;0</formula>
    </cfRule>
    <cfRule type="duplicateValues" dxfId="1530" priority="269"/>
  </conditionalFormatting>
  <conditionalFormatting sqref="CC6">
    <cfRule type="expression" dxfId="1529" priority="270">
      <formula>CC$267&gt;0</formula>
    </cfRule>
    <cfRule type="duplicateValues" dxfId="1528" priority="271"/>
  </conditionalFormatting>
  <conditionalFormatting sqref="BZ6">
    <cfRule type="expression" dxfId="1527" priority="272">
      <formula>BZ$267&gt;0</formula>
    </cfRule>
    <cfRule type="duplicateValues" dxfId="1526" priority="273"/>
  </conditionalFormatting>
  <conditionalFormatting sqref="CI6">
    <cfRule type="expression" dxfId="1525" priority="274">
      <formula>CI$267&gt;0</formula>
    </cfRule>
    <cfRule type="duplicateValues" dxfId="1524" priority="275"/>
  </conditionalFormatting>
  <conditionalFormatting sqref="BR6">
    <cfRule type="expression" dxfId="1523" priority="276">
      <formula>BR$267&gt;0</formula>
    </cfRule>
    <cfRule type="duplicateValues" dxfId="1522" priority="277"/>
  </conditionalFormatting>
  <conditionalFormatting sqref="AY6">
    <cfRule type="expression" dxfId="1521" priority="278">
      <formula>AY$267&gt;0</formula>
    </cfRule>
    <cfRule type="duplicateValues" dxfId="1520" priority="279"/>
  </conditionalFormatting>
  <conditionalFormatting sqref="CK6">
    <cfRule type="expression" dxfId="1519" priority="280">
      <formula>CK$267&gt;0</formula>
    </cfRule>
    <cfRule type="duplicateValues" dxfId="1518" priority="281"/>
  </conditionalFormatting>
  <conditionalFormatting sqref="DR6">
    <cfRule type="expression" dxfId="1517" priority="282">
      <formula>DR$267&gt;0</formula>
    </cfRule>
    <cfRule type="duplicateValues" dxfId="1516" priority="283"/>
  </conditionalFormatting>
  <conditionalFormatting sqref="AI6">
    <cfRule type="expression" dxfId="1515" priority="3">
      <formula>AI266=0</formula>
    </cfRule>
  </conditionalFormatting>
  <conditionalFormatting sqref="AI1">
    <cfRule type="duplicateValues" dxfId="1514" priority="2"/>
  </conditionalFormatting>
  <conditionalFormatting sqref="AI4">
    <cfRule type="duplicateValues" dxfId="1513" priority="1"/>
  </conditionalFormatting>
  <conditionalFormatting sqref="AI6">
    <cfRule type="expression" dxfId="1512" priority="4">
      <formula>AI$267&gt;0</formula>
    </cfRule>
    <cfRule type="duplicateValues" dxfId="1511" priority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V103"/>
  <sheetViews>
    <sheetView workbookViewId="0">
      <pane xSplit="7" ySplit="6" topLeftCell="FM82" activePane="bottomRight" state="frozen"/>
      <selection pane="topRight" activeCell="I1" sqref="I1"/>
      <selection pane="bottomLeft" activeCell="A7" sqref="A7"/>
      <selection pane="bottomRight" activeCell="E85" sqref="E85:E90"/>
    </sheetView>
  </sheetViews>
  <sheetFormatPr defaultColWidth="9" defaultRowHeight="10"/>
  <cols>
    <col min="1" max="6" width="9" style="92"/>
    <col min="7" max="7" width="12.19921875" style="92" bestFit="1" customWidth="1"/>
    <col min="8" max="197" width="9.09765625" style="92" bestFit="1" customWidth="1"/>
    <col min="198" max="198" width="9" style="92"/>
    <col min="199" max="199" width="13.09765625" style="92" bestFit="1" customWidth="1"/>
    <col min="200" max="202" width="9" style="92"/>
    <col min="203" max="203" width="9.3984375" style="92" bestFit="1" customWidth="1"/>
    <col min="204" max="16384" width="9" style="92"/>
  </cols>
  <sheetData>
    <row r="1" spans="1:204" ht="11">
      <c r="A1" s="93"/>
      <c r="B1" s="93"/>
      <c r="C1" s="93"/>
      <c r="D1" s="93"/>
      <c r="E1" s="93"/>
      <c r="F1" s="93"/>
      <c r="G1" s="94" t="s">
        <v>0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6" t="s">
        <v>740</v>
      </c>
      <c r="AS1" s="96" t="s">
        <v>740</v>
      </c>
      <c r="AT1" s="96" t="s">
        <v>740</v>
      </c>
      <c r="AU1" s="96" t="s">
        <v>740</v>
      </c>
      <c r="AV1" s="96" t="s">
        <v>740</v>
      </c>
      <c r="AW1" s="96" t="s">
        <v>740</v>
      </c>
      <c r="AX1" s="96" t="s">
        <v>740</v>
      </c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6" t="s">
        <v>740</v>
      </c>
      <c r="CB1" s="96" t="s">
        <v>740</v>
      </c>
      <c r="CC1" s="96" t="s">
        <v>740</v>
      </c>
      <c r="CD1" s="96" t="s">
        <v>740</v>
      </c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7"/>
      <c r="ER1" s="95"/>
      <c r="ES1" s="95"/>
      <c r="ET1" s="95"/>
      <c r="EU1" s="95"/>
      <c r="EV1" s="95"/>
      <c r="EW1" s="95"/>
      <c r="EX1" s="95"/>
      <c r="EY1" s="95"/>
      <c r="EZ1" s="95"/>
      <c r="FA1" s="96" t="s">
        <v>740</v>
      </c>
      <c r="FB1" s="96" t="s">
        <v>740</v>
      </c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5"/>
      <c r="FS1" s="95"/>
      <c r="FT1" s="95"/>
      <c r="FU1" s="95"/>
      <c r="FV1" s="95"/>
      <c r="FW1" s="95"/>
      <c r="FX1" s="95"/>
      <c r="FY1" s="95"/>
      <c r="FZ1" s="95"/>
      <c r="GA1" s="95"/>
      <c r="GB1" s="95"/>
      <c r="GC1" s="95"/>
      <c r="GD1" s="95"/>
      <c r="GE1" s="95"/>
      <c r="GF1" s="95"/>
      <c r="GG1" s="98" t="s">
        <v>1</v>
      </c>
      <c r="GH1" s="98" t="s">
        <v>1</v>
      </c>
      <c r="GI1" s="98" t="s">
        <v>1</v>
      </c>
      <c r="GJ1" s="98" t="s">
        <v>1</v>
      </c>
      <c r="GK1" s="98" t="s">
        <v>1</v>
      </c>
      <c r="GL1" s="98" t="s">
        <v>1</v>
      </c>
      <c r="GM1" s="98" t="s">
        <v>1</v>
      </c>
      <c r="GN1" s="98" t="s">
        <v>1</v>
      </c>
      <c r="GO1" s="98" t="s">
        <v>1</v>
      </c>
      <c r="GP1" s="99"/>
      <c r="GQ1" s="100"/>
      <c r="GR1" s="101"/>
      <c r="GS1" s="102"/>
      <c r="GT1" s="102"/>
      <c r="GU1" s="102"/>
      <c r="GV1" s="102"/>
    </row>
    <row r="2" spans="1:204" ht="11">
      <c r="A2" s="93"/>
      <c r="B2" s="93"/>
      <c r="C2" s="93"/>
      <c r="D2" s="93"/>
      <c r="E2" s="93"/>
      <c r="F2" s="93"/>
      <c r="G2" s="94" t="s">
        <v>2</v>
      </c>
      <c r="H2" s="103" t="s">
        <v>3</v>
      </c>
      <c r="I2" s="103" t="s">
        <v>4</v>
      </c>
      <c r="J2" s="103" t="s">
        <v>4</v>
      </c>
      <c r="K2" s="103" t="s">
        <v>4</v>
      </c>
      <c r="L2" s="103" t="s">
        <v>3</v>
      </c>
      <c r="M2" s="103" t="s">
        <v>4</v>
      </c>
      <c r="N2" s="103" t="s">
        <v>4</v>
      </c>
      <c r="O2" s="103" t="s">
        <v>4</v>
      </c>
      <c r="P2" s="103" t="s">
        <v>3</v>
      </c>
      <c r="Q2" s="103" t="s">
        <v>3</v>
      </c>
      <c r="R2" s="103" t="s">
        <v>4</v>
      </c>
      <c r="S2" s="103" t="s">
        <v>4</v>
      </c>
      <c r="T2" s="104" t="s">
        <v>4</v>
      </c>
      <c r="U2" s="103" t="s">
        <v>3</v>
      </c>
      <c r="V2" s="104" t="s">
        <v>3</v>
      </c>
      <c r="W2" s="104" t="s">
        <v>631</v>
      </c>
      <c r="X2" s="103" t="s">
        <v>4</v>
      </c>
      <c r="Y2" s="103" t="s">
        <v>4</v>
      </c>
      <c r="Z2" s="104" t="s">
        <v>631</v>
      </c>
      <c r="AA2" s="103" t="s">
        <v>4</v>
      </c>
      <c r="AB2" s="104" t="s">
        <v>631</v>
      </c>
      <c r="AC2" s="103" t="s">
        <v>4</v>
      </c>
      <c r="AD2" s="103" t="s">
        <v>4</v>
      </c>
      <c r="AE2" s="103" t="s">
        <v>4</v>
      </c>
      <c r="AF2" s="103" t="s">
        <v>4</v>
      </c>
      <c r="AG2" s="103" t="s">
        <v>4</v>
      </c>
      <c r="AH2" s="103" t="s">
        <v>4</v>
      </c>
      <c r="AI2" s="103" t="s">
        <v>4</v>
      </c>
      <c r="AJ2" s="103" t="s">
        <v>4</v>
      </c>
      <c r="AK2" s="103" t="s">
        <v>4</v>
      </c>
      <c r="AL2" s="103" t="s">
        <v>4</v>
      </c>
      <c r="AM2" s="103" t="s">
        <v>4</v>
      </c>
      <c r="AN2" s="103" t="s">
        <v>4</v>
      </c>
      <c r="AO2" s="103" t="s">
        <v>4</v>
      </c>
      <c r="AP2" s="103" t="s">
        <v>4</v>
      </c>
      <c r="AQ2" s="103" t="s">
        <v>4</v>
      </c>
      <c r="AR2" s="104" t="s">
        <v>631</v>
      </c>
      <c r="AS2" s="104" t="s">
        <v>631</v>
      </c>
      <c r="AT2" s="104" t="s">
        <v>631</v>
      </c>
      <c r="AU2" s="104" t="s">
        <v>631</v>
      </c>
      <c r="AV2" s="104" t="s">
        <v>631</v>
      </c>
      <c r="AW2" s="104" t="s">
        <v>631</v>
      </c>
      <c r="AX2" s="104" t="s">
        <v>631</v>
      </c>
      <c r="AY2" s="103" t="s">
        <v>4</v>
      </c>
      <c r="AZ2" s="104" t="s">
        <v>632</v>
      </c>
      <c r="BA2" s="104" t="s">
        <v>631</v>
      </c>
      <c r="BB2" s="104" t="s">
        <v>631</v>
      </c>
      <c r="BC2" s="103" t="s">
        <v>4</v>
      </c>
      <c r="BD2" s="104" t="s">
        <v>631</v>
      </c>
      <c r="BE2" s="104" t="s">
        <v>631</v>
      </c>
      <c r="BF2" s="104" t="s">
        <v>631</v>
      </c>
      <c r="BG2" s="103" t="s">
        <v>4</v>
      </c>
      <c r="BH2" s="103" t="s">
        <v>4</v>
      </c>
      <c r="BI2" s="103" t="s">
        <v>4</v>
      </c>
      <c r="BJ2" s="103" t="s">
        <v>4</v>
      </c>
      <c r="BK2" s="103" t="s">
        <v>4</v>
      </c>
      <c r="BL2" s="103" t="s">
        <v>4</v>
      </c>
      <c r="BM2" s="103" t="s">
        <v>4</v>
      </c>
      <c r="BN2" s="103" t="s">
        <v>4</v>
      </c>
      <c r="BO2" s="104" t="s">
        <v>631</v>
      </c>
      <c r="BP2" s="103" t="s">
        <v>4</v>
      </c>
      <c r="BQ2" s="104" t="s">
        <v>631</v>
      </c>
      <c r="BR2" s="104" t="s">
        <v>631</v>
      </c>
      <c r="BS2" s="103" t="s">
        <v>4</v>
      </c>
      <c r="BT2" s="103" t="s">
        <v>4</v>
      </c>
      <c r="BU2" s="104" t="s">
        <v>632</v>
      </c>
      <c r="BV2" s="104" t="s">
        <v>632</v>
      </c>
      <c r="BW2" s="104" t="s">
        <v>632</v>
      </c>
      <c r="BX2" s="104" t="s">
        <v>632</v>
      </c>
      <c r="BY2" s="104" t="s">
        <v>632</v>
      </c>
      <c r="BZ2" s="104" t="s">
        <v>632</v>
      </c>
      <c r="CA2" s="103" t="s">
        <v>4</v>
      </c>
      <c r="CB2" s="103" t="s">
        <v>4</v>
      </c>
      <c r="CC2" s="104" t="s">
        <v>631</v>
      </c>
      <c r="CD2" s="103" t="s">
        <v>4</v>
      </c>
      <c r="CE2" s="104" t="s">
        <v>631</v>
      </c>
      <c r="CF2" s="104" t="s">
        <v>631</v>
      </c>
      <c r="CG2" s="103" t="s">
        <v>4</v>
      </c>
      <c r="CH2" s="104" t="s">
        <v>631</v>
      </c>
      <c r="CI2" s="103" t="s">
        <v>4</v>
      </c>
      <c r="CJ2" s="104" t="s">
        <v>631</v>
      </c>
      <c r="CK2" s="103" t="s">
        <v>4</v>
      </c>
      <c r="CL2" s="103" t="s">
        <v>4</v>
      </c>
      <c r="CM2" s="103" t="s">
        <v>4</v>
      </c>
      <c r="CN2" s="103" t="s">
        <v>4</v>
      </c>
      <c r="CO2" s="103" t="s">
        <v>4</v>
      </c>
      <c r="CP2" s="104" t="s">
        <v>631</v>
      </c>
      <c r="CQ2" s="104" t="s">
        <v>631</v>
      </c>
      <c r="CR2" s="103" t="s">
        <v>4</v>
      </c>
      <c r="CS2" s="103" t="s">
        <v>4</v>
      </c>
      <c r="CT2" s="104" t="s">
        <v>632</v>
      </c>
      <c r="CU2" s="104" t="s">
        <v>631</v>
      </c>
      <c r="CV2" s="104" t="s">
        <v>631</v>
      </c>
      <c r="CW2" s="104" t="s">
        <v>632</v>
      </c>
      <c r="CX2" s="103" t="s">
        <v>4</v>
      </c>
      <c r="CY2" s="103" t="s">
        <v>4</v>
      </c>
      <c r="CZ2" s="103" t="s">
        <v>4</v>
      </c>
      <c r="DA2" s="103" t="s">
        <v>4</v>
      </c>
      <c r="DB2" s="104" t="s">
        <v>631</v>
      </c>
      <c r="DC2" s="104" t="s">
        <v>631</v>
      </c>
      <c r="DD2" s="103" t="s">
        <v>633</v>
      </c>
      <c r="DE2" s="104" t="s">
        <v>631</v>
      </c>
      <c r="DF2" s="104" t="s">
        <v>631</v>
      </c>
      <c r="DG2" s="104" t="s">
        <v>631</v>
      </c>
      <c r="DH2" s="103" t="s">
        <v>4</v>
      </c>
      <c r="DI2" s="103" t="s">
        <v>4</v>
      </c>
      <c r="DJ2" s="103" t="s">
        <v>4</v>
      </c>
      <c r="DK2" s="103" t="s">
        <v>4</v>
      </c>
      <c r="DL2" s="103" t="s">
        <v>4</v>
      </c>
      <c r="DM2" s="103" t="s">
        <v>4</v>
      </c>
      <c r="DN2" s="103" t="s">
        <v>4</v>
      </c>
      <c r="DO2" s="103" t="s">
        <v>4</v>
      </c>
      <c r="DP2" s="104" t="s">
        <v>631</v>
      </c>
      <c r="DQ2" s="104" t="s">
        <v>631</v>
      </c>
      <c r="DR2" s="104" t="s">
        <v>632</v>
      </c>
      <c r="DS2" s="103" t="s">
        <v>4</v>
      </c>
      <c r="DT2" s="103" t="s">
        <v>4</v>
      </c>
      <c r="DU2" s="103" t="s">
        <v>634</v>
      </c>
      <c r="DV2" s="103" t="s">
        <v>4</v>
      </c>
      <c r="DW2" s="103" t="s">
        <v>4</v>
      </c>
      <c r="DX2" s="103" t="s">
        <v>4</v>
      </c>
      <c r="DY2" s="103" t="s">
        <v>4</v>
      </c>
      <c r="DZ2" s="103" t="s">
        <v>4</v>
      </c>
      <c r="EA2" s="104" t="s">
        <v>4</v>
      </c>
      <c r="EB2" s="103" t="s">
        <v>4</v>
      </c>
      <c r="EC2" s="104" t="s">
        <v>631</v>
      </c>
      <c r="ED2" s="104" t="s">
        <v>635</v>
      </c>
      <c r="EE2" s="103" t="s">
        <v>8</v>
      </c>
      <c r="EF2" s="104" t="s">
        <v>8</v>
      </c>
      <c r="EG2" s="103" t="s">
        <v>8</v>
      </c>
      <c r="EH2" s="104" t="s">
        <v>8</v>
      </c>
      <c r="EI2" s="104" t="s">
        <v>635</v>
      </c>
      <c r="EJ2" s="104" t="s">
        <v>8</v>
      </c>
      <c r="EK2" s="103" t="s">
        <v>8</v>
      </c>
      <c r="EL2" s="103" t="s">
        <v>4</v>
      </c>
      <c r="EM2" s="103" t="s">
        <v>4</v>
      </c>
      <c r="EN2" s="104" t="s">
        <v>635</v>
      </c>
      <c r="EO2" s="103" t="s">
        <v>4</v>
      </c>
      <c r="EP2" s="103" t="s">
        <v>4</v>
      </c>
      <c r="EQ2" s="105" t="s">
        <v>636</v>
      </c>
      <c r="ER2" s="104" t="s">
        <v>635</v>
      </c>
      <c r="ES2" s="104" t="s">
        <v>635</v>
      </c>
      <c r="ET2" s="103" t="s">
        <v>8</v>
      </c>
      <c r="EU2" s="104" t="s">
        <v>635</v>
      </c>
      <c r="EV2" s="103" t="s">
        <v>8</v>
      </c>
      <c r="EW2" s="104" t="s">
        <v>635</v>
      </c>
      <c r="EX2" s="104" t="s">
        <v>635</v>
      </c>
      <c r="EY2" s="103" t="s">
        <v>4</v>
      </c>
      <c r="EZ2" s="103" t="s">
        <v>8</v>
      </c>
      <c r="FA2" s="104" t="s">
        <v>8</v>
      </c>
      <c r="FB2" s="104" t="s">
        <v>635</v>
      </c>
      <c r="FC2" s="103" t="s">
        <v>4</v>
      </c>
      <c r="FD2" s="103" t="s">
        <v>3</v>
      </c>
      <c r="FE2" s="104" t="s">
        <v>635</v>
      </c>
      <c r="FF2" s="103" t="s">
        <v>4</v>
      </c>
      <c r="FG2" s="103" t="s">
        <v>4</v>
      </c>
      <c r="FH2" s="104" t="s">
        <v>635</v>
      </c>
      <c r="FI2" s="103" t="s">
        <v>8</v>
      </c>
      <c r="FJ2" s="103" t="s">
        <v>4</v>
      </c>
      <c r="FK2" s="103" t="s">
        <v>4</v>
      </c>
      <c r="FL2" s="103" t="s">
        <v>4</v>
      </c>
      <c r="FM2" s="103" t="s">
        <v>4</v>
      </c>
      <c r="FN2" s="103" t="s">
        <v>8</v>
      </c>
      <c r="FO2" s="104" t="s">
        <v>635</v>
      </c>
      <c r="FP2" s="103" t="s">
        <v>8</v>
      </c>
      <c r="FQ2" s="104" t="s">
        <v>4</v>
      </c>
      <c r="FR2" s="103" t="s">
        <v>4</v>
      </c>
      <c r="FS2" s="103" t="s">
        <v>4</v>
      </c>
      <c r="FT2" s="103" t="s">
        <v>8</v>
      </c>
      <c r="FU2" s="103" t="s">
        <v>8</v>
      </c>
      <c r="FV2" s="103" t="s">
        <v>3</v>
      </c>
      <c r="FW2" s="104" t="s">
        <v>635</v>
      </c>
      <c r="FX2" s="103" t="s">
        <v>8</v>
      </c>
      <c r="FY2" s="103" t="s">
        <v>8</v>
      </c>
      <c r="FZ2" s="103" t="s">
        <v>8</v>
      </c>
      <c r="GA2" s="103" t="s">
        <v>4</v>
      </c>
      <c r="GB2" s="103" t="s">
        <v>8</v>
      </c>
      <c r="GC2" s="103" t="s">
        <v>8</v>
      </c>
      <c r="GD2" s="103" t="s">
        <v>8</v>
      </c>
      <c r="GE2" s="103" t="s">
        <v>8</v>
      </c>
      <c r="GF2" s="103" t="s">
        <v>4</v>
      </c>
      <c r="GG2" s="103" t="s">
        <v>3</v>
      </c>
      <c r="GH2" s="103" t="s">
        <v>3</v>
      </c>
      <c r="GI2" s="103" t="s">
        <v>3</v>
      </c>
      <c r="GJ2" s="103" t="s">
        <v>3</v>
      </c>
      <c r="GK2" s="103" t="s">
        <v>3</v>
      </c>
      <c r="GL2" s="103" t="s">
        <v>3</v>
      </c>
      <c r="GM2" s="103" t="s">
        <v>3</v>
      </c>
      <c r="GN2" s="103" t="s">
        <v>3</v>
      </c>
      <c r="GO2" s="103" t="s">
        <v>3</v>
      </c>
      <c r="GP2" s="99"/>
      <c r="GQ2" s="106"/>
      <c r="GR2" s="107"/>
      <c r="GS2" s="108"/>
      <c r="GT2" s="108"/>
      <c r="GU2" s="108"/>
      <c r="GV2" s="108"/>
    </row>
    <row r="3" spans="1:204">
      <c r="A3" s="93"/>
      <c r="B3" s="93"/>
      <c r="C3" s="93"/>
      <c r="D3" s="93"/>
      <c r="E3" s="93"/>
      <c r="F3" s="93"/>
      <c r="G3" s="109" t="s">
        <v>10</v>
      </c>
      <c r="H3" s="103">
        <v>10</v>
      </c>
      <c r="I3" s="103">
        <v>5</v>
      </c>
      <c r="J3" s="103">
        <v>5</v>
      </c>
      <c r="K3" s="103">
        <v>10</v>
      </c>
      <c r="L3" s="103">
        <v>10</v>
      </c>
      <c r="M3" s="103">
        <v>5</v>
      </c>
      <c r="N3" s="103">
        <v>5</v>
      </c>
      <c r="O3" s="103">
        <v>10</v>
      </c>
      <c r="P3" s="103">
        <v>10</v>
      </c>
      <c r="Q3" s="103">
        <v>10</v>
      </c>
      <c r="R3" s="103">
        <v>5</v>
      </c>
      <c r="S3" s="103">
        <v>10</v>
      </c>
      <c r="T3" s="103">
        <v>10</v>
      </c>
      <c r="U3" s="103">
        <v>10</v>
      </c>
      <c r="V3" s="103">
        <v>10</v>
      </c>
      <c r="W3" s="103">
        <v>10</v>
      </c>
      <c r="X3" s="103">
        <v>10</v>
      </c>
      <c r="Y3" s="103">
        <v>10</v>
      </c>
      <c r="Z3" s="103">
        <v>10</v>
      </c>
      <c r="AA3" s="103">
        <v>10</v>
      </c>
      <c r="AB3" s="103">
        <v>10</v>
      </c>
      <c r="AC3" s="103" t="s">
        <v>11</v>
      </c>
      <c r="AD3" s="103">
        <v>5</v>
      </c>
      <c r="AE3" s="103">
        <v>10</v>
      </c>
      <c r="AF3" s="103">
        <v>10</v>
      </c>
      <c r="AG3" s="103">
        <v>10</v>
      </c>
      <c r="AH3" s="103">
        <v>10</v>
      </c>
      <c r="AI3" s="103">
        <v>10</v>
      </c>
      <c r="AJ3" s="103">
        <v>10</v>
      </c>
      <c r="AK3" s="103">
        <v>10</v>
      </c>
      <c r="AL3" s="103">
        <v>10</v>
      </c>
      <c r="AM3" s="103">
        <v>10</v>
      </c>
      <c r="AN3" s="103">
        <v>10</v>
      </c>
      <c r="AO3" s="103">
        <v>10</v>
      </c>
      <c r="AP3" s="103">
        <v>10</v>
      </c>
      <c r="AQ3" s="103">
        <v>10</v>
      </c>
      <c r="AR3" s="103">
        <v>1</v>
      </c>
      <c r="AS3" s="103">
        <v>1</v>
      </c>
      <c r="AT3" s="103">
        <v>1</v>
      </c>
      <c r="AU3" s="103">
        <v>1</v>
      </c>
      <c r="AV3" s="103">
        <v>1</v>
      </c>
      <c r="AW3" s="103">
        <v>4</v>
      </c>
      <c r="AX3" s="103">
        <v>5</v>
      </c>
      <c r="AY3" s="103">
        <v>5</v>
      </c>
      <c r="AZ3" s="103">
        <v>5</v>
      </c>
      <c r="BA3" s="103">
        <v>5</v>
      </c>
      <c r="BB3" s="103">
        <v>10</v>
      </c>
      <c r="BC3" s="103">
        <v>10</v>
      </c>
      <c r="BD3" s="103">
        <v>10</v>
      </c>
      <c r="BE3" s="103">
        <v>10</v>
      </c>
      <c r="BF3" s="103">
        <v>10</v>
      </c>
      <c r="BG3" s="103">
        <v>5</v>
      </c>
      <c r="BH3" s="103">
        <v>1</v>
      </c>
      <c r="BI3" s="103">
        <v>1</v>
      </c>
      <c r="BJ3" s="103">
        <v>1</v>
      </c>
      <c r="BK3" s="103">
        <v>1</v>
      </c>
      <c r="BL3" s="103">
        <v>1</v>
      </c>
      <c r="BM3" s="103">
        <v>4</v>
      </c>
      <c r="BN3" s="103">
        <v>5</v>
      </c>
      <c r="BO3" s="103">
        <v>5</v>
      </c>
      <c r="BP3" s="103">
        <v>5</v>
      </c>
      <c r="BQ3" s="103">
        <v>10</v>
      </c>
      <c r="BR3" s="103">
        <v>10</v>
      </c>
      <c r="BS3" s="103">
        <v>10</v>
      </c>
      <c r="BT3" s="103">
        <v>10</v>
      </c>
      <c r="BU3" s="103">
        <v>1</v>
      </c>
      <c r="BV3" s="103">
        <v>1</v>
      </c>
      <c r="BW3" s="103">
        <v>1</v>
      </c>
      <c r="BX3" s="103">
        <v>1</v>
      </c>
      <c r="BY3" s="103">
        <v>1</v>
      </c>
      <c r="BZ3" s="103">
        <v>1</v>
      </c>
      <c r="CA3" s="103">
        <v>4</v>
      </c>
      <c r="CB3" s="103">
        <v>4</v>
      </c>
      <c r="CC3" s="103">
        <v>5</v>
      </c>
      <c r="CD3" s="103">
        <v>5</v>
      </c>
      <c r="CE3" s="103">
        <v>5</v>
      </c>
      <c r="CF3" s="103">
        <v>5</v>
      </c>
      <c r="CG3" s="103">
        <v>5</v>
      </c>
      <c r="CH3" s="103">
        <v>5</v>
      </c>
      <c r="CI3" s="103">
        <v>10</v>
      </c>
      <c r="CJ3" s="103">
        <v>10</v>
      </c>
      <c r="CK3" s="103">
        <v>10</v>
      </c>
      <c r="CL3" s="103">
        <v>10</v>
      </c>
      <c r="CM3" s="103">
        <v>10</v>
      </c>
      <c r="CN3" s="103">
        <v>10</v>
      </c>
      <c r="CO3" s="103">
        <v>10</v>
      </c>
      <c r="CP3" s="103">
        <v>5</v>
      </c>
      <c r="CQ3" s="103">
        <v>10</v>
      </c>
      <c r="CR3" s="103">
        <v>10</v>
      </c>
      <c r="CS3" s="103">
        <v>10</v>
      </c>
      <c r="CT3" s="103">
        <v>10</v>
      </c>
      <c r="CU3" s="103">
        <v>5</v>
      </c>
      <c r="CV3" s="103">
        <v>10</v>
      </c>
      <c r="CW3" s="103">
        <v>10</v>
      </c>
      <c r="CX3" s="103">
        <v>10</v>
      </c>
      <c r="CY3" s="103">
        <v>10</v>
      </c>
      <c r="CZ3" s="103">
        <v>5</v>
      </c>
      <c r="DA3" s="103">
        <v>5</v>
      </c>
      <c r="DB3" s="103">
        <v>10</v>
      </c>
      <c r="DC3" s="103">
        <v>10</v>
      </c>
      <c r="DD3" s="103">
        <v>10</v>
      </c>
      <c r="DE3" s="103">
        <v>10</v>
      </c>
      <c r="DF3" s="103">
        <v>10</v>
      </c>
      <c r="DG3" s="103">
        <v>10</v>
      </c>
      <c r="DH3" s="103" t="s">
        <v>11</v>
      </c>
      <c r="DI3" s="103">
        <v>10</v>
      </c>
      <c r="DJ3" s="103">
        <v>10</v>
      </c>
      <c r="DK3" s="103">
        <v>10</v>
      </c>
      <c r="DL3" s="103">
        <v>10</v>
      </c>
      <c r="DM3" s="103">
        <v>10</v>
      </c>
      <c r="DN3" s="103">
        <v>10</v>
      </c>
      <c r="DO3" s="103">
        <v>5</v>
      </c>
      <c r="DP3" s="103">
        <v>10</v>
      </c>
      <c r="DQ3" s="103">
        <v>10</v>
      </c>
      <c r="DR3" s="103">
        <v>10</v>
      </c>
      <c r="DS3" s="103">
        <v>10</v>
      </c>
      <c r="DT3" s="103">
        <v>10</v>
      </c>
      <c r="DU3" s="103">
        <v>10</v>
      </c>
      <c r="DV3" s="103">
        <v>10</v>
      </c>
      <c r="DW3" s="103">
        <v>5</v>
      </c>
      <c r="DX3" s="103">
        <v>5</v>
      </c>
      <c r="DY3" s="103">
        <v>5</v>
      </c>
      <c r="DZ3" s="103">
        <v>10</v>
      </c>
      <c r="EA3" s="103">
        <v>10</v>
      </c>
      <c r="EB3" s="103">
        <v>10</v>
      </c>
      <c r="EC3" s="103">
        <v>10</v>
      </c>
      <c r="ED3" s="103">
        <v>10</v>
      </c>
      <c r="EE3" s="103">
        <v>10</v>
      </c>
      <c r="EF3" s="103">
        <v>20</v>
      </c>
      <c r="EG3" s="103">
        <v>10</v>
      </c>
      <c r="EH3" s="103">
        <v>10</v>
      </c>
      <c r="EI3" s="103">
        <v>20</v>
      </c>
      <c r="EJ3" s="103">
        <v>10</v>
      </c>
      <c r="EK3" s="103">
        <v>10</v>
      </c>
      <c r="EL3" s="103">
        <v>10</v>
      </c>
      <c r="EM3" s="103">
        <v>20</v>
      </c>
      <c r="EN3" s="103">
        <v>10</v>
      </c>
      <c r="EO3" s="103">
        <v>10</v>
      </c>
      <c r="EP3" s="103">
        <v>5</v>
      </c>
      <c r="EQ3" s="110"/>
      <c r="ER3" s="103">
        <v>20</v>
      </c>
      <c r="ES3" s="103">
        <v>10</v>
      </c>
      <c r="ET3" s="103">
        <v>20</v>
      </c>
      <c r="EU3" s="103">
        <v>10</v>
      </c>
      <c r="EV3" s="103">
        <v>10</v>
      </c>
      <c r="EW3" s="103">
        <v>20</v>
      </c>
      <c r="EX3" s="103">
        <v>20</v>
      </c>
      <c r="EY3" s="103">
        <v>10</v>
      </c>
      <c r="EZ3" s="103">
        <v>20</v>
      </c>
      <c r="FA3" s="103">
        <v>20</v>
      </c>
      <c r="FB3" s="103">
        <v>20</v>
      </c>
      <c r="FC3" s="103">
        <v>20</v>
      </c>
      <c r="FD3" s="103">
        <v>10</v>
      </c>
      <c r="FE3" s="103">
        <v>20</v>
      </c>
      <c r="FF3" s="103">
        <v>20</v>
      </c>
      <c r="FG3" s="103">
        <v>20</v>
      </c>
      <c r="FH3" s="103">
        <v>20</v>
      </c>
      <c r="FI3" s="103">
        <v>10</v>
      </c>
      <c r="FJ3" s="103">
        <v>20</v>
      </c>
      <c r="FK3" s="103">
        <v>20</v>
      </c>
      <c r="FL3" s="103">
        <v>20</v>
      </c>
      <c r="FM3" s="103">
        <v>10</v>
      </c>
      <c r="FN3" s="103">
        <v>20</v>
      </c>
      <c r="FO3" s="103">
        <v>20</v>
      </c>
      <c r="FP3" s="103">
        <v>20</v>
      </c>
      <c r="FQ3" s="103">
        <v>20</v>
      </c>
      <c r="FR3" s="103">
        <v>20</v>
      </c>
      <c r="FS3" s="103">
        <v>20</v>
      </c>
      <c r="FT3" s="103">
        <v>20</v>
      </c>
      <c r="FU3" s="103">
        <v>20</v>
      </c>
      <c r="FV3" s="103">
        <v>20</v>
      </c>
      <c r="FW3" s="103">
        <v>20</v>
      </c>
      <c r="FX3" s="103">
        <v>20</v>
      </c>
      <c r="FY3" s="103">
        <v>30</v>
      </c>
      <c r="FZ3" s="103">
        <v>20</v>
      </c>
      <c r="GA3" s="103">
        <v>30</v>
      </c>
      <c r="GB3" s="103">
        <v>30</v>
      </c>
      <c r="GC3" s="103">
        <v>20</v>
      </c>
      <c r="GD3" s="103">
        <v>30</v>
      </c>
      <c r="GE3" s="103">
        <v>30</v>
      </c>
      <c r="GF3" s="103">
        <v>20</v>
      </c>
      <c r="GG3" s="103">
        <v>4</v>
      </c>
      <c r="GH3" s="103">
        <v>4</v>
      </c>
      <c r="GI3" s="103">
        <v>8</v>
      </c>
      <c r="GJ3" s="103">
        <v>5</v>
      </c>
      <c r="GK3" s="103">
        <v>5</v>
      </c>
      <c r="GL3" s="103"/>
      <c r="GM3" s="103"/>
      <c r="GN3" s="103">
        <v>5</v>
      </c>
      <c r="GO3" s="103">
        <v>5</v>
      </c>
      <c r="GP3" s="111"/>
      <c r="GQ3" s="112"/>
      <c r="GR3" s="108"/>
      <c r="GS3" s="106"/>
      <c r="GT3" s="107"/>
      <c r="GU3" s="108"/>
      <c r="GV3" s="108"/>
    </row>
    <row r="4" spans="1:204" ht="40">
      <c r="A4" s="113"/>
      <c r="B4" s="93"/>
      <c r="C4" s="93"/>
      <c r="D4" s="93"/>
      <c r="E4" s="113"/>
      <c r="F4" s="113"/>
      <c r="G4" s="113" t="s">
        <v>12</v>
      </c>
      <c r="H4" s="114" t="s">
        <v>13</v>
      </c>
      <c r="I4" s="114" t="s">
        <v>14</v>
      </c>
      <c r="J4" s="114" t="s">
        <v>15</v>
      </c>
      <c r="K4" s="114" t="s">
        <v>16</v>
      </c>
      <c r="L4" s="114" t="s">
        <v>17</v>
      </c>
      <c r="M4" s="114" t="s">
        <v>18</v>
      </c>
      <c r="N4" s="114" t="s">
        <v>19</v>
      </c>
      <c r="O4" s="114" t="s">
        <v>20</v>
      </c>
      <c r="P4" s="114" t="s">
        <v>21</v>
      </c>
      <c r="Q4" s="114" t="s">
        <v>22</v>
      </c>
      <c r="R4" s="114" t="s">
        <v>23</v>
      </c>
      <c r="S4" s="114" t="s">
        <v>24</v>
      </c>
      <c r="T4" s="114" t="s">
        <v>25</v>
      </c>
      <c r="U4" s="114" t="s">
        <v>26</v>
      </c>
      <c r="V4" s="114" t="s">
        <v>27</v>
      </c>
      <c r="W4" s="114" t="s">
        <v>28</v>
      </c>
      <c r="X4" s="115" t="s">
        <v>637</v>
      </c>
      <c r="Y4" s="114" t="s">
        <v>29</v>
      </c>
      <c r="Z4" s="114" t="s">
        <v>30</v>
      </c>
      <c r="AA4" s="114" t="s">
        <v>31</v>
      </c>
      <c r="AB4" s="114" t="s">
        <v>32</v>
      </c>
      <c r="AC4" s="114" t="s">
        <v>33</v>
      </c>
      <c r="AD4" s="114" t="s">
        <v>34</v>
      </c>
      <c r="AE4" s="114" t="s">
        <v>35</v>
      </c>
      <c r="AF4" s="114" t="s">
        <v>36</v>
      </c>
      <c r="AG4" s="114" t="s">
        <v>37</v>
      </c>
      <c r="AH4" s="114" t="s">
        <v>38</v>
      </c>
      <c r="AI4" s="114" t="s">
        <v>39</v>
      </c>
      <c r="AJ4" s="114" t="s">
        <v>638</v>
      </c>
      <c r="AK4" s="114" t="s">
        <v>41</v>
      </c>
      <c r="AL4" s="114" t="s">
        <v>42</v>
      </c>
      <c r="AM4" s="114" t="s">
        <v>43</v>
      </c>
      <c r="AN4" s="114" t="s">
        <v>44</v>
      </c>
      <c r="AO4" s="114" t="s">
        <v>45</v>
      </c>
      <c r="AP4" s="114" t="s">
        <v>46</v>
      </c>
      <c r="AQ4" s="114" t="s">
        <v>47</v>
      </c>
      <c r="AR4" s="114" t="s">
        <v>48</v>
      </c>
      <c r="AS4" s="114" t="s">
        <v>48</v>
      </c>
      <c r="AT4" s="114" t="s">
        <v>48</v>
      </c>
      <c r="AU4" s="116" t="s">
        <v>48</v>
      </c>
      <c r="AV4" s="116" t="s">
        <v>48</v>
      </c>
      <c r="AW4" s="114" t="s">
        <v>49</v>
      </c>
      <c r="AX4" s="114" t="s">
        <v>50</v>
      </c>
      <c r="AY4" s="114" t="s">
        <v>51</v>
      </c>
      <c r="AZ4" s="116" t="s">
        <v>52</v>
      </c>
      <c r="BA4" s="116" t="s">
        <v>52</v>
      </c>
      <c r="BB4" s="114" t="s">
        <v>53</v>
      </c>
      <c r="BC4" s="114" t="s">
        <v>54</v>
      </c>
      <c r="BD4" s="114" t="s">
        <v>55</v>
      </c>
      <c r="BE4" s="114" t="s">
        <v>56</v>
      </c>
      <c r="BF4" s="117" t="s">
        <v>57</v>
      </c>
      <c r="BG4" s="117" t="s">
        <v>639</v>
      </c>
      <c r="BH4" s="118" t="s">
        <v>58</v>
      </c>
      <c r="BI4" s="118" t="s">
        <v>58</v>
      </c>
      <c r="BJ4" s="118" t="s">
        <v>58</v>
      </c>
      <c r="BK4" s="116" t="s">
        <v>58</v>
      </c>
      <c r="BL4" s="116" t="s">
        <v>58</v>
      </c>
      <c r="BM4" s="114" t="s">
        <v>59</v>
      </c>
      <c r="BN4" s="114" t="s">
        <v>60</v>
      </c>
      <c r="BO4" s="114" t="s">
        <v>61</v>
      </c>
      <c r="BP4" s="114" t="s">
        <v>62</v>
      </c>
      <c r="BQ4" s="114" t="s">
        <v>63</v>
      </c>
      <c r="BR4" s="114" t="s">
        <v>64</v>
      </c>
      <c r="BS4" s="114" t="s">
        <v>65</v>
      </c>
      <c r="BT4" s="114" t="s">
        <v>66</v>
      </c>
      <c r="BU4" s="114" t="s">
        <v>67</v>
      </c>
      <c r="BV4" s="114" t="s">
        <v>67</v>
      </c>
      <c r="BW4" s="114" t="s">
        <v>67</v>
      </c>
      <c r="BX4" s="114" t="s">
        <v>67</v>
      </c>
      <c r="BY4" s="114" t="s">
        <v>67</v>
      </c>
      <c r="BZ4" s="114" t="s">
        <v>67</v>
      </c>
      <c r="CA4" s="116" t="s">
        <v>68</v>
      </c>
      <c r="CB4" s="116" t="s">
        <v>68</v>
      </c>
      <c r="CC4" s="116" t="s">
        <v>69</v>
      </c>
      <c r="CD4" s="116" t="s">
        <v>69</v>
      </c>
      <c r="CE4" s="116" t="s">
        <v>70</v>
      </c>
      <c r="CF4" s="116" t="s">
        <v>70</v>
      </c>
      <c r="CG4" s="116" t="s">
        <v>71</v>
      </c>
      <c r="CH4" s="116" t="s">
        <v>71</v>
      </c>
      <c r="CI4" s="114" t="s">
        <v>72</v>
      </c>
      <c r="CJ4" s="114" t="s">
        <v>73</v>
      </c>
      <c r="CK4" s="114" t="s">
        <v>74</v>
      </c>
      <c r="CL4" s="114" t="s">
        <v>75</v>
      </c>
      <c r="CM4" s="116" t="s">
        <v>76</v>
      </c>
      <c r="CN4" s="116" t="s">
        <v>76</v>
      </c>
      <c r="CO4" s="114" t="s">
        <v>77</v>
      </c>
      <c r="CP4" s="114" t="s">
        <v>78</v>
      </c>
      <c r="CQ4" s="114" t="s">
        <v>79</v>
      </c>
      <c r="CR4" s="114" t="s">
        <v>80</v>
      </c>
      <c r="CS4" s="114" t="s">
        <v>81</v>
      </c>
      <c r="CT4" s="114" t="s">
        <v>82</v>
      </c>
      <c r="CU4" s="114" t="s">
        <v>83</v>
      </c>
      <c r="CV4" s="114" t="s">
        <v>84</v>
      </c>
      <c r="CW4" s="114" t="s">
        <v>85</v>
      </c>
      <c r="CX4" s="114" t="s">
        <v>86</v>
      </c>
      <c r="CY4" s="114" t="s">
        <v>87</v>
      </c>
      <c r="CZ4" s="114" t="s">
        <v>87</v>
      </c>
      <c r="DA4" s="114" t="s">
        <v>88</v>
      </c>
      <c r="DB4" s="114" t="s">
        <v>89</v>
      </c>
      <c r="DC4" s="116" t="s">
        <v>90</v>
      </c>
      <c r="DD4" s="116" t="s">
        <v>90</v>
      </c>
      <c r="DE4" s="114" t="s">
        <v>91</v>
      </c>
      <c r="DF4" s="114" t="s">
        <v>92</v>
      </c>
      <c r="DG4" s="119" t="s">
        <v>93</v>
      </c>
      <c r="DH4" s="114" t="s">
        <v>93</v>
      </c>
      <c r="DI4" s="116" t="s">
        <v>94</v>
      </c>
      <c r="DJ4" s="116" t="s">
        <v>94</v>
      </c>
      <c r="DK4" s="114" t="s">
        <v>95</v>
      </c>
      <c r="DL4" s="114" t="s">
        <v>96</v>
      </c>
      <c r="DM4" s="120" t="s">
        <v>97</v>
      </c>
      <c r="DN4" s="120" t="s">
        <v>97</v>
      </c>
      <c r="DO4" s="114" t="s">
        <v>97</v>
      </c>
      <c r="DP4" s="114" t="s">
        <v>98</v>
      </c>
      <c r="DQ4" s="114" t="s">
        <v>99</v>
      </c>
      <c r="DR4" s="114" t="s">
        <v>100</v>
      </c>
      <c r="DS4" s="120" t="s">
        <v>101</v>
      </c>
      <c r="DT4" s="116" t="s">
        <v>101</v>
      </c>
      <c r="DU4" s="120" t="s">
        <v>640</v>
      </c>
      <c r="DV4" s="116" t="s">
        <v>640</v>
      </c>
      <c r="DW4" s="114" t="s">
        <v>102</v>
      </c>
      <c r="DX4" s="116" t="s">
        <v>641</v>
      </c>
      <c r="DY4" s="116" t="s">
        <v>641</v>
      </c>
      <c r="DZ4" s="114" t="s">
        <v>103</v>
      </c>
      <c r="EA4" s="114" t="s">
        <v>104</v>
      </c>
      <c r="EB4" s="114" t="s">
        <v>105</v>
      </c>
      <c r="EC4" s="120" t="s">
        <v>106</v>
      </c>
      <c r="ED4" s="121" t="s">
        <v>106</v>
      </c>
      <c r="EE4" s="114" t="s">
        <v>107</v>
      </c>
      <c r="EF4" s="114" t="s">
        <v>642</v>
      </c>
      <c r="EG4" s="114" t="s">
        <v>108</v>
      </c>
      <c r="EH4" s="114" t="s">
        <v>109</v>
      </c>
      <c r="EI4" s="114" t="s">
        <v>110</v>
      </c>
      <c r="EJ4" s="114" t="s">
        <v>643</v>
      </c>
      <c r="EK4" s="114" t="s">
        <v>111</v>
      </c>
      <c r="EL4" s="114" t="s">
        <v>112</v>
      </c>
      <c r="EM4" s="114" t="s">
        <v>113</v>
      </c>
      <c r="EN4" s="114" t="s">
        <v>114</v>
      </c>
      <c r="EO4" s="114" t="s">
        <v>115</v>
      </c>
      <c r="EP4" s="114" t="s">
        <v>644</v>
      </c>
      <c r="EQ4" s="122" t="s">
        <v>644</v>
      </c>
      <c r="ER4" s="114" t="s">
        <v>116</v>
      </c>
      <c r="ES4" s="114" t="s">
        <v>117</v>
      </c>
      <c r="ET4" s="114" t="s">
        <v>118</v>
      </c>
      <c r="EU4" s="114" t="s">
        <v>119</v>
      </c>
      <c r="EV4" s="114" t="s">
        <v>120</v>
      </c>
      <c r="EW4" s="114" t="s">
        <v>121</v>
      </c>
      <c r="EX4" s="114" t="s">
        <v>122</v>
      </c>
      <c r="EY4" s="114" t="s">
        <v>123</v>
      </c>
      <c r="EZ4" s="114" t="s">
        <v>124</v>
      </c>
      <c r="FA4" s="116" t="s">
        <v>125</v>
      </c>
      <c r="FB4" s="116" t="s">
        <v>125</v>
      </c>
      <c r="FC4" s="114" t="s">
        <v>126</v>
      </c>
      <c r="FD4" s="114" t="s">
        <v>127</v>
      </c>
      <c r="FE4" s="114" t="s">
        <v>128</v>
      </c>
      <c r="FF4" s="114" t="s">
        <v>129</v>
      </c>
      <c r="FG4" s="116" t="s">
        <v>130</v>
      </c>
      <c r="FH4" s="116" t="s">
        <v>130</v>
      </c>
      <c r="FI4" s="114" t="s">
        <v>131</v>
      </c>
      <c r="FJ4" s="114" t="s">
        <v>132</v>
      </c>
      <c r="FK4" s="114" t="s">
        <v>748</v>
      </c>
      <c r="FL4" s="114" t="s">
        <v>134</v>
      </c>
      <c r="FM4" s="114" t="s">
        <v>135</v>
      </c>
      <c r="FN4" s="114" t="s">
        <v>136</v>
      </c>
      <c r="FO4" s="114" t="s">
        <v>137</v>
      </c>
      <c r="FP4" s="114" t="s">
        <v>138</v>
      </c>
      <c r="FQ4" s="114" t="s">
        <v>139</v>
      </c>
      <c r="FR4" s="114" t="s">
        <v>140</v>
      </c>
      <c r="FS4" s="114" t="s">
        <v>141</v>
      </c>
      <c r="FT4" s="114" t="s">
        <v>142</v>
      </c>
      <c r="FU4" s="114" t="s">
        <v>143</v>
      </c>
      <c r="FV4" s="114" t="s">
        <v>144</v>
      </c>
      <c r="FW4" s="114" t="s">
        <v>145</v>
      </c>
      <c r="FX4" s="114" t="s">
        <v>146</v>
      </c>
      <c r="FY4" s="114" t="s">
        <v>147</v>
      </c>
      <c r="FZ4" s="114" t="s">
        <v>148</v>
      </c>
      <c r="GA4" s="114" t="s">
        <v>149</v>
      </c>
      <c r="GB4" s="114" t="s">
        <v>150</v>
      </c>
      <c r="GC4" s="114" t="s">
        <v>151</v>
      </c>
      <c r="GD4" s="114" t="s">
        <v>152</v>
      </c>
      <c r="GE4" s="114" t="s">
        <v>645</v>
      </c>
      <c r="GF4" s="114" t="s">
        <v>154</v>
      </c>
      <c r="GG4" s="123" t="s">
        <v>155</v>
      </c>
      <c r="GH4" s="123" t="s">
        <v>156</v>
      </c>
      <c r="GI4" s="123" t="s">
        <v>157</v>
      </c>
      <c r="GJ4" s="123" t="s">
        <v>158</v>
      </c>
      <c r="GK4" s="123" t="s">
        <v>159</v>
      </c>
      <c r="GL4" s="124" t="s">
        <v>646</v>
      </c>
      <c r="GM4" s="124" t="s">
        <v>647</v>
      </c>
      <c r="GN4" s="123" t="s">
        <v>648</v>
      </c>
      <c r="GO4" s="123" t="s">
        <v>649</v>
      </c>
      <c r="GP4" s="125"/>
      <c r="GQ4" s="113"/>
      <c r="GR4" s="93"/>
      <c r="GS4" s="126"/>
      <c r="GT4" s="93"/>
      <c r="GU4" s="93"/>
      <c r="GV4" s="93"/>
    </row>
    <row r="5" spans="1:204" ht="20">
      <c r="A5" s="127"/>
      <c r="B5" s="102"/>
      <c r="C5" s="102"/>
      <c r="D5" s="128"/>
      <c r="E5" s="95" t="s">
        <v>162</v>
      </c>
      <c r="F5" s="129" t="s">
        <v>163</v>
      </c>
      <c r="G5" s="95" t="s">
        <v>164</v>
      </c>
      <c r="H5" s="130" t="s">
        <v>165</v>
      </c>
      <c r="I5" s="130" t="s">
        <v>166</v>
      </c>
      <c r="J5" s="130" t="s">
        <v>167</v>
      </c>
      <c r="K5" s="130" t="s">
        <v>168</v>
      </c>
      <c r="L5" s="130" t="s">
        <v>169</v>
      </c>
      <c r="M5" s="130" t="s">
        <v>170</v>
      </c>
      <c r="N5" s="130" t="s">
        <v>171</v>
      </c>
      <c r="O5" s="130" t="s">
        <v>172</v>
      </c>
      <c r="P5" s="130" t="s">
        <v>173</v>
      </c>
      <c r="Q5" s="130" t="s">
        <v>174</v>
      </c>
      <c r="R5" s="130" t="s">
        <v>175</v>
      </c>
      <c r="S5" s="130" t="s">
        <v>176</v>
      </c>
      <c r="T5" s="130" t="s">
        <v>177</v>
      </c>
      <c r="U5" s="130" t="s">
        <v>178</v>
      </c>
      <c r="V5" s="130" t="s">
        <v>179</v>
      </c>
      <c r="W5" s="130" t="s">
        <v>180</v>
      </c>
      <c r="X5" s="130" t="s">
        <v>650</v>
      </c>
      <c r="Y5" s="130" t="s">
        <v>181</v>
      </c>
      <c r="Z5" s="130" t="s">
        <v>182</v>
      </c>
      <c r="AA5" s="130" t="s">
        <v>183</v>
      </c>
      <c r="AB5" s="130" t="s">
        <v>184</v>
      </c>
      <c r="AC5" s="130" t="s">
        <v>185</v>
      </c>
      <c r="AD5" s="130" t="s">
        <v>186</v>
      </c>
      <c r="AE5" s="130" t="s">
        <v>187</v>
      </c>
      <c r="AF5" s="130" t="s">
        <v>651</v>
      </c>
      <c r="AG5" s="130" t="s">
        <v>189</v>
      </c>
      <c r="AH5" s="130" t="s">
        <v>190</v>
      </c>
      <c r="AI5" s="130" t="s">
        <v>191</v>
      </c>
      <c r="AJ5" s="130" t="s">
        <v>193</v>
      </c>
      <c r="AK5" s="130" t="s">
        <v>194</v>
      </c>
      <c r="AL5" s="130" t="s">
        <v>195</v>
      </c>
      <c r="AM5" s="130" t="s">
        <v>196</v>
      </c>
      <c r="AN5" s="130" t="s">
        <v>197</v>
      </c>
      <c r="AO5" s="130" t="s">
        <v>198</v>
      </c>
      <c r="AP5" s="130" t="s">
        <v>199</v>
      </c>
      <c r="AQ5" s="130" t="s">
        <v>200</v>
      </c>
      <c r="AR5" s="130" t="s">
        <v>201</v>
      </c>
      <c r="AS5" s="130" t="s">
        <v>202</v>
      </c>
      <c r="AT5" s="130" t="s">
        <v>203</v>
      </c>
      <c r="AU5" s="130" t="s">
        <v>652</v>
      </c>
      <c r="AV5" s="130" t="s">
        <v>653</v>
      </c>
      <c r="AW5" s="130" t="s">
        <v>204</v>
      </c>
      <c r="AX5" s="130" t="s">
        <v>205</v>
      </c>
      <c r="AY5" s="130" t="s">
        <v>206</v>
      </c>
      <c r="AZ5" s="130" t="s">
        <v>654</v>
      </c>
      <c r="BA5" s="130" t="s">
        <v>208</v>
      </c>
      <c r="BB5" s="130" t="s">
        <v>209</v>
      </c>
      <c r="BC5" s="130" t="s">
        <v>210</v>
      </c>
      <c r="BD5" s="130" t="s">
        <v>211</v>
      </c>
      <c r="BE5" s="130" t="s">
        <v>212</v>
      </c>
      <c r="BF5" s="130" t="s">
        <v>213</v>
      </c>
      <c r="BG5" s="130" t="s">
        <v>214</v>
      </c>
      <c r="BH5" s="130" t="s">
        <v>215</v>
      </c>
      <c r="BI5" s="130" t="s">
        <v>216</v>
      </c>
      <c r="BJ5" s="130" t="s">
        <v>217</v>
      </c>
      <c r="BK5" s="130" t="s">
        <v>655</v>
      </c>
      <c r="BL5" s="130" t="s">
        <v>656</v>
      </c>
      <c r="BM5" s="130" t="s">
        <v>218</v>
      </c>
      <c r="BN5" s="130" t="s">
        <v>219</v>
      </c>
      <c r="BO5" s="130" t="s">
        <v>220</v>
      </c>
      <c r="BP5" s="130" t="s">
        <v>221</v>
      </c>
      <c r="BQ5" s="130" t="s">
        <v>222</v>
      </c>
      <c r="BR5" s="130" t="s">
        <v>223</v>
      </c>
      <c r="BS5" s="130" t="s">
        <v>224</v>
      </c>
      <c r="BT5" s="130" t="s">
        <v>225</v>
      </c>
      <c r="BU5" s="130" t="s">
        <v>657</v>
      </c>
      <c r="BV5" s="130" t="s">
        <v>227</v>
      </c>
      <c r="BW5" s="130" t="s">
        <v>228</v>
      </c>
      <c r="BX5" s="130" t="s">
        <v>229</v>
      </c>
      <c r="BY5" s="130" t="s">
        <v>230</v>
      </c>
      <c r="BZ5" s="130" t="s">
        <v>231</v>
      </c>
      <c r="CA5" s="130" t="s">
        <v>658</v>
      </c>
      <c r="CB5" s="130" t="s">
        <v>232</v>
      </c>
      <c r="CC5" s="130" t="s">
        <v>659</v>
      </c>
      <c r="CD5" s="130" t="s">
        <v>660</v>
      </c>
      <c r="CE5" s="130" t="s">
        <v>661</v>
      </c>
      <c r="CF5" s="130" t="s">
        <v>235</v>
      </c>
      <c r="CG5" s="130" t="s">
        <v>662</v>
      </c>
      <c r="CH5" s="130" t="s">
        <v>237</v>
      </c>
      <c r="CI5" s="130" t="s">
        <v>239</v>
      </c>
      <c r="CJ5" s="130" t="s">
        <v>240</v>
      </c>
      <c r="CK5" s="130" t="s">
        <v>241</v>
      </c>
      <c r="CL5" s="130" t="s">
        <v>242</v>
      </c>
      <c r="CM5" s="130" t="s">
        <v>663</v>
      </c>
      <c r="CN5" s="130" t="s">
        <v>244</v>
      </c>
      <c r="CO5" s="130" t="s">
        <v>246</v>
      </c>
      <c r="CP5" s="130" t="s">
        <v>247</v>
      </c>
      <c r="CQ5" s="130" t="s">
        <v>248</v>
      </c>
      <c r="CR5" s="130" t="s">
        <v>249</v>
      </c>
      <c r="CS5" s="130" t="s">
        <v>250</v>
      </c>
      <c r="CT5" s="130" t="s">
        <v>251</v>
      </c>
      <c r="CU5" s="130" t="s">
        <v>252</v>
      </c>
      <c r="CV5" s="130" t="s">
        <v>254</v>
      </c>
      <c r="CW5" s="130" t="s">
        <v>256</v>
      </c>
      <c r="CX5" s="130" t="s">
        <v>257</v>
      </c>
      <c r="CY5" s="130" t="s">
        <v>258</v>
      </c>
      <c r="CZ5" s="130" t="s">
        <v>664</v>
      </c>
      <c r="DA5" s="130" t="s">
        <v>260</v>
      </c>
      <c r="DB5" s="130" t="s">
        <v>261</v>
      </c>
      <c r="DC5" s="130" t="s">
        <v>665</v>
      </c>
      <c r="DD5" s="130" t="s">
        <v>666</v>
      </c>
      <c r="DE5" s="130" t="s">
        <v>263</v>
      </c>
      <c r="DF5" s="130" t="s">
        <v>265</v>
      </c>
      <c r="DG5" s="130" t="s">
        <v>266</v>
      </c>
      <c r="DH5" s="130" t="s">
        <v>267</v>
      </c>
      <c r="DI5" s="130" t="s">
        <v>667</v>
      </c>
      <c r="DJ5" s="130" t="s">
        <v>668</v>
      </c>
      <c r="DK5" s="130" t="s">
        <v>269</v>
      </c>
      <c r="DL5" s="130" t="s">
        <v>270</v>
      </c>
      <c r="DM5" s="130" t="s">
        <v>271</v>
      </c>
      <c r="DN5" s="130" t="s">
        <v>669</v>
      </c>
      <c r="DO5" s="130" t="s">
        <v>670</v>
      </c>
      <c r="DP5" s="130" t="s">
        <v>273</v>
      </c>
      <c r="DQ5" s="130" t="s">
        <v>274</v>
      </c>
      <c r="DR5" s="130" t="s">
        <v>671</v>
      </c>
      <c r="DS5" s="130" t="s">
        <v>672</v>
      </c>
      <c r="DT5" s="130" t="s">
        <v>673</v>
      </c>
      <c r="DU5" s="130" t="s">
        <v>674</v>
      </c>
      <c r="DV5" s="130" t="s">
        <v>280</v>
      </c>
      <c r="DW5" s="130" t="s">
        <v>279</v>
      </c>
      <c r="DX5" s="130" t="s">
        <v>675</v>
      </c>
      <c r="DY5" s="130" t="s">
        <v>676</v>
      </c>
      <c r="DZ5" s="130" t="s">
        <v>281</v>
      </c>
      <c r="EA5" s="130" t="s">
        <v>282</v>
      </c>
      <c r="EB5" s="130" t="s">
        <v>283</v>
      </c>
      <c r="EC5" s="130" t="s">
        <v>677</v>
      </c>
      <c r="ED5" s="130" t="s">
        <v>678</v>
      </c>
      <c r="EE5" s="130" t="s">
        <v>285</v>
      </c>
      <c r="EF5" s="130" t="s">
        <v>679</v>
      </c>
      <c r="EG5" s="130" t="s">
        <v>286</v>
      </c>
      <c r="EH5" s="130" t="s">
        <v>287</v>
      </c>
      <c r="EI5" s="130" t="s">
        <v>288</v>
      </c>
      <c r="EJ5" s="130" t="s">
        <v>680</v>
      </c>
      <c r="EK5" s="130" t="s">
        <v>289</v>
      </c>
      <c r="EL5" s="130" t="s">
        <v>290</v>
      </c>
      <c r="EM5" s="130" t="s">
        <v>291</v>
      </c>
      <c r="EN5" s="130" t="s">
        <v>292</v>
      </c>
      <c r="EO5" s="130" t="s">
        <v>293</v>
      </c>
      <c r="EP5" s="130" t="s">
        <v>681</v>
      </c>
      <c r="EQ5" s="130" t="s">
        <v>682</v>
      </c>
      <c r="ER5" s="130" t="s">
        <v>294</v>
      </c>
      <c r="ES5" s="130" t="s">
        <v>295</v>
      </c>
      <c r="ET5" s="130" t="s">
        <v>296</v>
      </c>
      <c r="EU5" s="130" t="s">
        <v>297</v>
      </c>
      <c r="EV5" s="130" t="s">
        <v>298</v>
      </c>
      <c r="EW5" s="130" t="s">
        <v>299</v>
      </c>
      <c r="EX5" s="130" t="s">
        <v>300</v>
      </c>
      <c r="EY5" s="130" t="s">
        <v>301</v>
      </c>
      <c r="EZ5" s="130" t="s">
        <v>302</v>
      </c>
      <c r="FA5" s="130" t="s">
        <v>683</v>
      </c>
      <c r="FB5" s="130" t="s">
        <v>684</v>
      </c>
      <c r="FC5" s="130" t="s">
        <v>304</v>
      </c>
      <c r="FD5" s="130" t="s">
        <v>305</v>
      </c>
      <c r="FE5" s="130" t="s">
        <v>306</v>
      </c>
      <c r="FF5" s="130" t="s">
        <v>307</v>
      </c>
      <c r="FG5" s="130" t="s">
        <v>685</v>
      </c>
      <c r="FH5" s="130" t="s">
        <v>309</v>
      </c>
      <c r="FI5" s="130" t="s">
        <v>310</v>
      </c>
      <c r="FJ5" s="130" t="s">
        <v>311</v>
      </c>
      <c r="FK5" s="130" t="s">
        <v>312</v>
      </c>
      <c r="FL5" s="130" t="s">
        <v>313</v>
      </c>
      <c r="FM5" s="130" t="s">
        <v>314</v>
      </c>
      <c r="FN5" s="130" t="s">
        <v>315</v>
      </c>
      <c r="FO5" s="130" t="s">
        <v>316</v>
      </c>
      <c r="FP5" s="130" t="s">
        <v>317</v>
      </c>
      <c r="FQ5" s="130" t="s">
        <v>318</v>
      </c>
      <c r="FR5" s="130" t="s">
        <v>319</v>
      </c>
      <c r="FS5" s="130" t="s">
        <v>320</v>
      </c>
      <c r="FT5" s="130" t="s">
        <v>321</v>
      </c>
      <c r="FU5" s="130" t="s">
        <v>322</v>
      </c>
      <c r="FV5" s="130" t="s">
        <v>323</v>
      </c>
      <c r="FW5" s="130" t="s">
        <v>324</v>
      </c>
      <c r="FX5" s="130" t="s">
        <v>325</v>
      </c>
      <c r="FY5" s="130" t="s">
        <v>326</v>
      </c>
      <c r="FZ5" s="130" t="s">
        <v>327</v>
      </c>
      <c r="GA5" s="130" t="s">
        <v>328</v>
      </c>
      <c r="GB5" s="130" t="s">
        <v>329</v>
      </c>
      <c r="GC5" s="130" t="s">
        <v>330</v>
      </c>
      <c r="GD5" s="130" t="s">
        <v>331</v>
      </c>
      <c r="GE5" s="130" t="s">
        <v>333</v>
      </c>
      <c r="GF5" s="130" t="s">
        <v>334</v>
      </c>
      <c r="GG5" s="130" t="s">
        <v>335</v>
      </c>
      <c r="GH5" s="130" t="s">
        <v>336</v>
      </c>
      <c r="GI5" s="130" t="s">
        <v>337</v>
      </c>
      <c r="GJ5" s="130" t="s">
        <v>338</v>
      </c>
      <c r="GK5" s="130" t="s">
        <v>339</v>
      </c>
      <c r="GL5" s="130" t="s">
        <v>686</v>
      </c>
      <c r="GM5" s="130" t="s">
        <v>687</v>
      </c>
      <c r="GN5" s="130" t="s">
        <v>688</v>
      </c>
      <c r="GO5" s="130" t="s">
        <v>341</v>
      </c>
      <c r="GP5" s="131"/>
      <c r="GQ5" s="100"/>
      <c r="GR5" s="101"/>
      <c r="GS5" s="102"/>
      <c r="GT5" s="102"/>
      <c r="GU5" s="102"/>
      <c r="GV5" s="102"/>
    </row>
    <row r="6" spans="1:204" ht="11">
      <c r="A6" s="132" t="s">
        <v>743</v>
      </c>
      <c r="B6" s="128" t="s">
        <v>744</v>
      </c>
      <c r="C6" s="128" t="s">
        <v>745</v>
      </c>
      <c r="D6" s="128" t="s">
        <v>746</v>
      </c>
      <c r="E6" s="133" t="s">
        <v>346</v>
      </c>
      <c r="F6" s="133"/>
      <c r="G6" s="134" t="s">
        <v>347</v>
      </c>
      <c r="H6" s="135" t="s">
        <v>348</v>
      </c>
      <c r="I6" s="135" t="s">
        <v>349</v>
      </c>
      <c r="J6" s="135" t="s">
        <v>350</v>
      </c>
      <c r="K6" s="135" t="s">
        <v>351</v>
      </c>
      <c r="L6" s="135" t="s">
        <v>352</v>
      </c>
      <c r="M6" s="135" t="s">
        <v>353</v>
      </c>
      <c r="N6" s="135" t="s">
        <v>354</v>
      </c>
      <c r="O6" s="135" t="s">
        <v>355</v>
      </c>
      <c r="P6" s="135" t="s">
        <v>356</v>
      </c>
      <c r="Q6" s="135" t="s">
        <v>357</v>
      </c>
      <c r="R6" s="135" t="s">
        <v>358</v>
      </c>
      <c r="S6" s="135" t="s">
        <v>359</v>
      </c>
      <c r="T6" s="135" t="s">
        <v>360</v>
      </c>
      <c r="U6" s="135" t="s">
        <v>361</v>
      </c>
      <c r="V6" s="135" t="s">
        <v>362</v>
      </c>
      <c r="W6" s="135" t="s">
        <v>363</v>
      </c>
      <c r="X6" s="135" t="s">
        <v>689</v>
      </c>
      <c r="Y6" s="135" t="s">
        <v>364</v>
      </c>
      <c r="Z6" s="135" t="s">
        <v>365</v>
      </c>
      <c r="AA6" s="135" t="s">
        <v>366</v>
      </c>
      <c r="AB6" s="135" t="s">
        <v>367</v>
      </c>
      <c r="AC6" s="135" t="s">
        <v>368</v>
      </c>
      <c r="AD6" s="135" t="s">
        <v>369</v>
      </c>
      <c r="AE6" s="135" t="s">
        <v>370</v>
      </c>
      <c r="AF6" s="135" t="s">
        <v>371</v>
      </c>
      <c r="AG6" s="135" t="s">
        <v>372</v>
      </c>
      <c r="AH6" s="135" t="s">
        <v>373</v>
      </c>
      <c r="AI6" s="135" t="s">
        <v>374</v>
      </c>
      <c r="AJ6" s="135" t="s">
        <v>376</v>
      </c>
      <c r="AK6" s="135" t="s">
        <v>377</v>
      </c>
      <c r="AL6" s="135" t="s">
        <v>378</v>
      </c>
      <c r="AM6" s="135" t="s">
        <v>379</v>
      </c>
      <c r="AN6" s="135" t="s">
        <v>380</v>
      </c>
      <c r="AO6" s="135" t="s">
        <v>381</v>
      </c>
      <c r="AP6" s="135" t="s">
        <v>382</v>
      </c>
      <c r="AQ6" s="135" t="s">
        <v>383</v>
      </c>
      <c r="AR6" s="135" t="s">
        <v>384</v>
      </c>
      <c r="AS6" s="135" t="s">
        <v>385</v>
      </c>
      <c r="AT6" s="135" t="s">
        <v>386</v>
      </c>
      <c r="AU6" s="135" t="s">
        <v>690</v>
      </c>
      <c r="AV6" s="135" t="s">
        <v>691</v>
      </c>
      <c r="AW6" s="135" t="s">
        <v>387</v>
      </c>
      <c r="AX6" s="135" t="s">
        <v>388</v>
      </c>
      <c r="AY6" s="135" t="s">
        <v>389</v>
      </c>
      <c r="AZ6" s="135" t="s">
        <v>390</v>
      </c>
      <c r="BA6" s="135" t="s">
        <v>390</v>
      </c>
      <c r="BB6" s="135" t="s">
        <v>391</v>
      </c>
      <c r="BC6" s="135" t="s">
        <v>392</v>
      </c>
      <c r="BD6" s="135" t="s">
        <v>393</v>
      </c>
      <c r="BE6" s="135" t="s">
        <v>394</v>
      </c>
      <c r="BF6" s="135" t="s">
        <v>395</v>
      </c>
      <c r="BG6" s="135" t="s">
        <v>396</v>
      </c>
      <c r="BH6" s="135" t="s">
        <v>397</v>
      </c>
      <c r="BI6" s="135" t="s">
        <v>692</v>
      </c>
      <c r="BJ6" s="135" t="s">
        <v>399</v>
      </c>
      <c r="BK6" s="135" t="s">
        <v>693</v>
      </c>
      <c r="BL6" s="135" t="s">
        <v>694</v>
      </c>
      <c r="BM6" s="135" t="s">
        <v>400</v>
      </c>
      <c r="BN6" s="135" t="s">
        <v>401</v>
      </c>
      <c r="BO6" s="135" t="s">
        <v>402</v>
      </c>
      <c r="BP6" s="135" t="s">
        <v>403</v>
      </c>
      <c r="BQ6" s="135" t="s">
        <v>404</v>
      </c>
      <c r="BR6" s="135" t="s">
        <v>405</v>
      </c>
      <c r="BS6" s="135" t="s">
        <v>406</v>
      </c>
      <c r="BT6" s="135" t="s">
        <v>407</v>
      </c>
      <c r="BU6" s="135" t="s">
        <v>408</v>
      </c>
      <c r="BV6" s="135" t="s">
        <v>408</v>
      </c>
      <c r="BW6" s="135" t="s">
        <v>409</v>
      </c>
      <c r="BX6" s="135" t="s">
        <v>410</v>
      </c>
      <c r="BY6" s="135" t="s">
        <v>411</v>
      </c>
      <c r="BZ6" s="135" t="s">
        <v>412</v>
      </c>
      <c r="CA6" s="135" t="s">
        <v>413</v>
      </c>
      <c r="CB6" s="135" t="s">
        <v>413</v>
      </c>
      <c r="CC6" s="135" t="s">
        <v>414</v>
      </c>
      <c r="CD6" s="135" t="s">
        <v>414</v>
      </c>
      <c r="CE6" s="135" t="s">
        <v>415</v>
      </c>
      <c r="CF6" s="135" t="s">
        <v>415</v>
      </c>
      <c r="CG6" s="135" t="s">
        <v>416</v>
      </c>
      <c r="CH6" s="135" t="s">
        <v>416</v>
      </c>
      <c r="CI6" s="135" t="s">
        <v>417</v>
      </c>
      <c r="CJ6" s="135" t="s">
        <v>418</v>
      </c>
      <c r="CK6" s="135" t="s">
        <v>419</v>
      </c>
      <c r="CL6" s="135" t="s">
        <v>420</v>
      </c>
      <c r="CM6" s="135" t="s">
        <v>421</v>
      </c>
      <c r="CN6" s="135" t="s">
        <v>421</v>
      </c>
      <c r="CO6" s="135" t="s">
        <v>422</v>
      </c>
      <c r="CP6" s="135" t="s">
        <v>423</v>
      </c>
      <c r="CQ6" s="135" t="s">
        <v>424</v>
      </c>
      <c r="CR6" s="135" t="s">
        <v>425</v>
      </c>
      <c r="CS6" s="135" t="s">
        <v>426</v>
      </c>
      <c r="CT6" s="135" t="s">
        <v>427</v>
      </c>
      <c r="CU6" s="135" t="s">
        <v>428</v>
      </c>
      <c r="CV6" s="135" t="s">
        <v>429</v>
      </c>
      <c r="CW6" s="135" t="s">
        <v>430</v>
      </c>
      <c r="CX6" s="135" t="s">
        <v>431</v>
      </c>
      <c r="CY6" s="135" t="s">
        <v>432</v>
      </c>
      <c r="CZ6" s="135" t="s">
        <v>433</v>
      </c>
      <c r="DA6" s="135" t="s">
        <v>434</v>
      </c>
      <c r="DB6" s="135" t="s">
        <v>435</v>
      </c>
      <c r="DC6" s="135" t="s">
        <v>436</v>
      </c>
      <c r="DD6" s="135" t="s">
        <v>436</v>
      </c>
      <c r="DE6" s="135" t="s">
        <v>437</v>
      </c>
      <c r="DF6" s="135" t="s">
        <v>438</v>
      </c>
      <c r="DG6" s="135" t="s">
        <v>439</v>
      </c>
      <c r="DH6" s="135" t="s">
        <v>440</v>
      </c>
      <c r="DI6" s="135" t="s">
        <v>441</v>
      </c>
      <c r="DJ6" s="135" t="s">
        <v>441</v>
      </c>
      <c r="DK6" s="135" t="s">
        <v>442</v>
      </c>
      <c r="DL6" s="135" t="s">
        <v>443</v>
      </c>
      <c r="DM6" s="135" t="s">
        <v>444</v>
      </c>
      <c r="DN6" s="135" t="s">
        <v>444</v>
      </c>
      <c r="DO6" s="135" t="s">
        <v>445</v>
      </c>
      <c r="DP6" s="135" t="s">
        <v>446</v>
      </c>
      <c r="DQ6" s="135" t="s">
        <v>447</v>
      </c>
      <c r="DR6" s="135" t="s">
        <v>448</v>
      </c>
      <c r="DS6" s="135" t="s">
        <v>449</v>
      </c>
      <c r="DT6" s="135" t="s">
        <v>449</v>
      </c>
      <c r="DU6" s="135" t="s">
        <v>450</v>
      </c>
      <c r="DV6" s="135" t="s">
        <v>450</v>
      </c>
      <c r="DW6" s="135" t="s">
        <v>451</v>
      </c>
      <c r="DX6" s="135" t="s">
        <v>695</v>
      </c>
      <c r="DY6" s="135" t="s">
        <v>695</v>
      </c>
      <c r="DZ6" s="135" t="s">
        <v>452</v>
      </c>
      <c r="EA6" s="135" t="s">
        <v>453</v>
      </c>
      <c r="EB6" s="135" t="s">
        <v>454</v>
      </c>
      <c r="EC6" s="135" t="s">
        <v>455</v>
      </c>
      <c r="ED6" s="135" t="s">
        <v>455</v>
      </c>
      <c r="EE6" s="135" t="s">
        <v>456</v>
      </c>
      <c r="EF6" s="135" t="s">
        <v>696</v>
      </c>
      <c r="EG6" s="135" t="s">
        <v>457</v>
      </c>
      <c r="EH6" s="135" t="s">
        <v>458</v>
      </c>
      <c r="EI6" s="135" t="s">
        <v>459</v>
      </c>
      <c r="EJ6" s="135" t="s">
        <v>697</v>
      </c>
      <c r="EK6" s="135" t="s">
        <v>460</v>
      </c>
      <c r="EL6" s="135" t="s">
        <v>461</v>
      </c>
      <c r="EM6" s="135" t="s">
        <v>462</v>
      </c>
      <c r="EN6" s="135" t="s">
        <v>463</v>
      </c>
      <c r="EO6" s="135" t="s">
        <v>464</v>
      </c>
      <c r="EP6" s="135" t="s">
        <v>698</v>
      </c>
      <c r="EQ6" s="136" t="s">
        <v>699</v>
      </c>
      <c r="ER6" s="135" t="s">
        <v>465</v>
      </c>
      <c r="ES6" s="135" t="s">
        <v>466</v>
      </c>
      <c r="ET6" s="135" t="s">
        <v>467</v>
      </c>
      <c r="EU6" s="135" t="s">
        <v>468</v>
      </c>
      <c r="EV6" s="135" t="s">
        <v>469</v>
      </c>
      <c r="EW6" s="135" t="s">
        <v>470</v>
      </c>
      <c r="EX6" s="135" t="s">
        <v>471</v>
      </c>
      <c r="EY6" s="135" t="s">
        <v>472</v>
      </c>
      <c r="EZ6" s="135" t="s">
        <v>473</v>
      </c>
      <c r="FA6" s="135" t="s">
        <v>474</v>
      </c>
      <c r="FB6" s="135" t="s">
        <v>474</v>
      </c>
      <c r="FC6" s="135" t="s">
        <v>475</v>
      </c>
      <c r="FD6" s="135" t="s">
        <v>476</v>
      </c>
      <c r="FE6" s="135" t="s">
        <v>477</v>
      </c>
      <c r="FF6" s="135" t="s">
        <v>478</v>
      </c>
      <c r="FG6" s="135" t="s">
        <v>479</v>
      </c>
      <c r="FH6" s="135" t="s">
        <v>479</v>
      </c>
      <c r="FI6" s="135" t="s">
        <v>480</v>
      </c>
      <c r="FJ6" s="135" t="s">
        <v>481</v>
      </c>
      <c r="FK6" s="135" t="s">
        <v>482</v>
      </c>
      <c r="FL6" s="135" t="s">
        <v>483</v>
      </c>
      <c r="FM6" s="135" t="s">
        <v>484</v>
      </c>
      <c r="FN6" s="135" t="s">
        <v>485</v>
      </c>
      <c r="FO6" s="135" t="s">
        <v>486</v>
      </c>
      <c r="FP6" s="135" t="s">
        <v>487</v>
      </c>
      <c r="FQ6" s="135" t="s">
        <v>488</v>
      </c>
      <c r="FR6" s="135" t="s">
        <v>489</v>
      </c>
      <c r="FS6" s="135" t="s">
        <v>490</v>
      </c>
      <c r="FT6" s="135" t="s">
        <v>491</v>
      </c>
      <c r="FU6" s="135" t="s">
        <v>492</v>
      </c>
      <c r="FV6" s="135" t="s">
        <v>493</v>
      </c>
      <c r="FW6" s="135" t="s">
        <v>494</v>
      </c>
      <c r="FX6" s="135" t="s">
        <v>495</v>
      </c>
      <c r="FY6" s="135" t="s">
        <v>496</v>
      </c>
      <c r="FZ6" s="135" t="s">
        <v>497</v>
      </c>
      <c r="GA6" s="135" t="s">
        <v>498</v>
      </c>
      <c r="GB6" s="135" t="s">
        <v>499</v>
      </c>
      <c r="GC6" s="135" t="s">
        <v>500</v>
      </c>
      <c r="GD6" s="135" t="s">
        <v>501</v>
      </c>
      <c r="GE6" s="135" t="s">
        <v>502</v>
      </c>
      <c r="GF6" s="135" t="s">
        <v>503</v>
      </c>
      <c r="GG6" s="135" t="s">
        <v>504</v>
      </c>
      <c r="GH6" s="135" t="s">
        <v>505</v>
      </c>
      <c r="GI6" s="135" t="s">
        <v>506</v>
      </c>
      <c r="GJ6" s="135" t="s">
        <v>507</v>
      </c>
      <c r="GK6" s="135" t="s">
        <v>508</v>
      </c>
      <c r="GL6" s="135" t="s">
        <v>700</v>
      </c>
      <c r="GM6" s="135" t="s">
        <v>647</v>
      </c>
      <c r="GN6" s="135" t="s">
        <v>701</v>
      </c>
      <c r="GO6" s="135" t="s">
        <v>702</v>
      </c>
      <c r="GP6" s="137" t="s">
        <v>511</v>
      </c>
      <c r="GQ6" s="137" t="s">
        <v>512</v>
      </c>
      <c r="GR6" s="137" t="s">
        <v>513</v>
      </c>
      <c r="GS6" s="137" t="s">
        <v>514</v>
      </c>
      <c r="GT6" s="137" t="s">
        <v>515</v>
      </c>
      <c r="GU6" s="108"/>
      <c r="GV6" s="112" t="s">
        <v>516</v>
      </c>
    </row>
    <row r="7" spans="1:204">
      <c r="A7" s="138" t="s">
        <v>517</v>
      </c>
      <c r="B7" s="138" t="s">
        <v>517</v>
      </c>
      <c r="C7" s="138" t="s">
        <v>518</v>
      </c>
      <c r="D7" s="139" t="s">
        <v>8</v>
      </c>
      <c r="E7" s="140" t="s">
        <v>519</v>
      </c>
      <c r="F7" s="138" t="s">
        <v>520</v>
      </c>
      <c r="G7" s="138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2">
        <f>500-500</f>
        <v>0</v>
      </c>
      <c r="EB7" s="141"/>
      <c r="EC7" s="141"/>
      <c r="ED7" s="141"/>
      <c r="EE7" s="142">
        <f>1000-1000+80</f>
        <v>80</v>
      </c>
      <c r="EF7" s="142">
        <f>50-50</f>
        <v>0</v>
      </c>
      <c r="EG7" s="142">
        <f>50-50+2</f>
        <v>2</v>
      </c>
      <c r="EH7" s="142">
        <f>50-50+10</f>
        <v>10</v>
      </c>
      <c r="EI7" s="142">
        <f>50-50</f>
        <v>0</v>
      </c>
      <c r="EJ7" s="142">
        <f>50-50</f>
        <v>0</v>
      </c>
      <c r="EK7" s="142">
        <f>100-100</f>
        <v>0</v>
      </c>
      <c r="EL7" s="141"/>
      <c r="EM7" s="141"/>
      <c r="EN7" s="141"/>
      <c r="EO7" s="141"/>
      <c r="EP7" s="141"/>
      <c r="EQ7" s="141"/>
      <c r="ER7" s="141"/>
      <c r="ES7" s="142">
        <f>3000-3000+40</f>
        <v>40</v>
      </c>
      <c r="ET7" s="141"/>
      <c r="EU7" s="141"/>
      <c r="EV7" s="142">
        <f>4000-4000</f>
        <v>0</v>
      </c>
      <c r="EW7" s="142">
        <f>3000-3000+700</f>
        <v>700</v>
      </c>
      <c r="EX7" s="142">
        <f>200-200+60</f>
        <v>60</v>
      </c>
      <c r="EY7" s="141"/>
      <c r="EZ7" s="142">
        <f>3000-3000</f>
        <v>0</v>
      </c>
      <c r="FA7" s="142">
        <f>5000-5000+3320</f>
        <v>3320</v>
      </c>
      <c r="FB7" s="141"/>
      <c r="FC7" s="141"/>
      <c r="FD7" s="141"/>
      <c r="FE7" s="142">
        <f>100-100+15</f>
        <v>15</v>
      </c>
      <c r="FF7" s="141"/>
      <c r="FG7" s="141"/>
      <c r="FH7" s="142">
        <f>100-100+14</f>
        <v>14</v>
      </c>
      <c r="FI7" s="142">
        <f>100-100</f>
        <v>0</v>
      </c>
      <c r="FJ7" s="141"/>
      <c r="FK7" s="141"/>
      <c r="FL7" s="141"/>
      <c r="FM7" s="141"/>
      <c r="FN7" s="142">
        <f>100-100</f>
        <v>0</v>
      </c>
      <c r="FO7" s="141"/>
      <c r="FP7" s="141"/>
      <c r="FQ7" s="141"/>
      <c r="FR7" s="141"/>
      <c r="FS7" s="141"/>
      <c r="FT7" s="141"/>
      <c r="FU7" s="141"/>
      <c r="FV7" s="141"/>
      <c r="FW7" s="141"/>
      <c r="FX7" s="141"/>
      <c r="FY7" s="141"/>
      <c r="FZ7" s="141"/>
      <c r="GA7" s="141"/>
      <c r="GB7" s="141"/>
      <c r="GC7" s="141"/>
      <c r="GD7" s="141"/>
      <c r="GE7" s="141"/>
      <c r="GF7" s="141"/>
      <c r="GG7" s="141"/>
      <c r="GH7" s="141"/>
      <c r="GI7" s="141"/>
      <c r="GJ7" s="141"/>
      <c r="GK7" s="141"/>
      <c r="GL7" s="141"/>
      <c r="GM7" s="141"/>
      <c r="GN7" s="141"/>
      <c r="GO7" s="141"/>
      <c r="GP7" s="141"/>
      <c r="GQ7" s="141"/>
      <c r="GR7" s="143" t="s">
        <v>522</v>
      </c>
      <c r="GS7" s="143"/>
      <c r="GT7" s="143" t="s">
        <v>523</v>
      </c>
      <c r="GU7" s="144">
        <f t="shared" ref="GU7:GU38" si="0">SUM(H7:GO7)</f>
        <v>4241</v>
      </c>
      <c r="GV7" s="145" t="s">
        <v>524</v>
      </c>
    </row>
    <row r="8" spans="1:204">
      <c r="A8" s="138" t="s">
        <v>517</v>
      </c>
      <c r="B8" s="138" t="s">
        <v>517</v>
      </c>
      <c r="C8" s="138" t="s">
        <v>518</v>
      </c>
      <c r="D8" s="139" t="s">
        <v>4</v>
      </c>
      <c r="E8" s="140" t="s">
        <v>519</v>
      </c>
      <c r="F8" s="138" t="s">
        <v>520</v>
      </c>
      <c r="G8" s="138"/>
      <c r="H8" s="141"/>
      <c r="I8" s="141"/>
      <c r="J8" s="142">
        <f>200-200</f>
        <v>0</v>
      </c>
      <c r="K8" s="142">
        <f>500-500</f>
        <v>0</v>
      </c>
      <c r="L8" s="141"/>
      <c r="M8" s="142">
        <f>300-300</f>
        <v>0</v>
      </c>
      <c r="N8" s="146">
        <f>500-500+20-20</f>
        <v>0</v>
      </c>
      <c r="O8" s="142">
        <f>1500-1500</f>
        <v>0</v>
      </c>
      <c r="P8" s="141"/>
      <c r="Q8" s="141"/>
      <c r="R8" s="142">
        <f>1000-1000</f>
        <v>0</v>
      </c>
      <c r="S8" s="142">
        <f>2000-2000</f>
        <v>0</v>
      </c>
      <c r="T8" s="146">
        <f>100-100+8-8</f>
        <v>0</v>
      </c>
      <c r="U8" s="141"/>
      <c r="V8" s="147"/>
      <c r="W8" s="146">
        <f>2000-2000+1140-640</f>
        <v>500</v>
      </c>
      <c r="X8" s="142">
        <f>2000-2000</f>
        <v>0</v>
      </c>
      <c r="Y8" s="146">
        <f>2000-2000+1-1</f>
        <v>0</v>
      </c>
      <c r="Z8" s="146">
        <f>2000-2000+380-120</f>
        <v>260</v>
      </c>
      <c r="AA8" s="142">
        <f>2000-2000</f>
        <v>0</v>
      </c>
      <c r="AB8" s="146">
        <f>1000-1000+390-150</f>
        <v>240</v>
      </c>
      <c r="AC8" s="142">
        <f>2000-2000</f>
        <v>0</v>
      </c>
      <c r="AD8" s="142">
        <f>500-500</f>
        <v>0</v>
      </c>
      <c r="AE8" s="142">
        <f>1000-1000</f>
        <v>0</v>
      </c>
      <c r="AF8" s="146">
        <f>100-100+9-9</f>
        <v>0</v>
      </c>
      <c r="AG8" s="142">
        <f>1000-1000</f>
        <v>0</v>
      </c>
      <c r="AH8" s="142">
        <f>100-100</f>
        <v>0</v>
      </c>
      <c r="AI8" s="141"/>
      <c r="AJ8" s="141"/>
      <c r="AK8" s="141"/>
      <c r="AL8" s="141"/>
      <c r="AM8" s="141"/>
      <c r="AN8" s="141"/>
      <c r="AO8" s="141"/>
      <c r="AP8" s="141"/>
      <c r="AQ8" s="141"/>
      <c r="AR8" s="142">
        <f>20-20+10</f>
        <v>10</v>
      </c>
      <c r="AS8" s="141"/>
      <c r="AT8" s="141"/>
      <c r="AU8" s="141"/>
      <c r="AV8" s="141"/>
      <c r="AW8" s="142">
        <f>200-200+90</f>
        <v>90</v>
      </c>
      <c r="AX8" s="142">
        <f>200-200+90</f>
        <v>90</v>
      </c>
      <c r="AY8" s="142">
        <f>400-400</f>
        <v>0</v>
      </c>
      <c r="AZ8" s="147"/>
      <c r="BA8" s="142">
        <f>500-500+5</f>
        <v>5</v>
      </c>
      <c r="BB8" s="142">
        <f>1000-1000+670</f>
        <v>670</v>
      </c>
      <c r="BC8" s="142">
        <f>600-600</f>
        <v>0</v>
      </c>
      <c r="BD8" s="142">
        <f>800-800+150</f>
        <v>150</v>
      </c>
      <c r="BE8" s="142">
        <f>500-500+1</f>
        <v>1</v>
      </c>
      <c r="BF8" s="142">
        <f>1000-1000+440</f>
        <v>440</v>
      </c>
      <c r="BG8" s="141"/>
      <c r="BH8" s="142">
        <f>60-60+14</f>
        <v>14</v>
      </c>
      <c r="BI8" s="141"/>
      <c r="BJ8" s="141"/>
      <c r="BK8" s="141"/>
      <c r="BL8" s="141"/>
      <c r="BM8" s="142">
        <f>200-200</f>
        <v>0</v>
      </c>
      <c r="BN8" s="142">
        <f>200-200</f>
        <v>0</v>
      </c>
      <c r="BO8" s="142">
        <f>500-500+95</f>
        <v>95</v>
      </c>
      <c r="BP8" s="142">
        <f>500-500</f>
        <v>0</v>
      </c>
      <c r="BQ8" s="142">
        <f>800-800+620</f>
        <v>620</v>
      </c>
      <c r="BR8" s="142">
        <f>300-300+470</f>
        <v>470</v>
      </c>
      <c r="BS8" s="142">
        <f>300-300</f>
        <v>0</v>
      </c>
      <c r="BT8" s="142">
        <f>1000-1000+820</f>
        <v>820</v>
      </c>
      <c r="BU8" s="147"/>
      <c r="BV8" s="142">
        <f>20-20</f>
        <v>0</v>
      </c>
      <c r="BW8" s="141"/>
      <c r="BX8" s="141"/>
      <c r="BY8" s="141"/>
      <c r="BZ8" s="141"/>
      <c r="CA8" s="142">
        <f>400-400+75</f>
        <v>75</v>
      </c>
      <c r="CB8" s="142">
        <f>400-400+2</f>
        <v>2</v>
      </c>
      <c r="CC8" s="142">
        <f>500-500+115</f>
        <v>115</v>
      </c>
      <c r="CD8" s="142">
        <f>500-500+3</f>
        <v>3</v>
      </c>
      <c r="CE8" s="142">
        <f>1000-1000+340</f>
        <v>340</v>
      </c>
      <c r="CF8" s="142">
        <f>1000-1000+9</f>
        <v>9</v>
      </c>
      <c r="CG8" s="142">
        <f>1200-1200+1</f>
        <v>1</v>
      </c>
      <c r="CH8" s="142">
        <f>1200-1200+6</f>
        <v>6</v>
      </c>
      <c r="CI8" s="142">
        <f>600-600</f>
        <v>0</v>
      </c>
      <c r="CJ8" s="142">
        <f>3000-3000+750</f>
        <v>750</v>
      </c>
      <c r="CK8" s="142">
        <f>1500-1500+17</f>
        <v>17</v>
      </c>
      <c r="CL8" s="142">
        <f>2000-2000</f>
        <v>0</v>
      </c>
      <c r="CM8" s="142">
        <f>1000-1000+2</f>
        <v>2</v>
      </c>
      <c r="CN8" s="142">
        <f>1000-1000+12</f>
        <v>12</v>
      </c>
      <c r="CO8" s="142">
        <f>1500-1500+6</f>
        <v>6</v>
      </c>
      <c r="CP8" s="142">
        <f>1500-1500+300</f>
        <v>300</v>
      </c>
      <c r="CQ8" s="142">
        <f>3000-3000+340</f>
        <v>340</v>
      </c>
      <c r="CR8" s="142">
        <f>1000-1000</f>
        <v>0</v>
      </c>
      <c r="CS8" s="142">
        <f>1500-1500</f>
        <v>0</v>
      </c>
      <c r="CT8" s="147"/>
      <c r="CU8" s="142">
        <f>2000-2000+360</f>
        <v>360</v>
      </c>
      <c r="CV8" s="142">
        <f>5000-5000+590</f>
        <v>590</v>
      </c>
      <c r="CW8" s="147"/>
      <c r="CX8" s="142">
        <f>4000-4000+50</f>
        <v>50</v>
      </c>
      <c r="CY8" s="142">
        <f>1000-1000+40</f>
        <v>40</v>
      </c>
      <c r="CZ8" s="141"/>
      <c r="DA8" s="142">
        <f>1000-1000</f>
        <v>0</v>
      </c>
      <c r="DB8" s="142">
        <f>1500-1500+970</f>
        <v>970</v>
      </c>
      <c r="DC8" s="142">
        <f>3000-3000+1060</f>
        <v>1060</v>
      </c>
      <c r="DD8" s="142">
        <f>3000-3000</f>
        <v>0</v>
      </c>
      <c r="DE8" s="142">
        <f>3000-3000+1590</f>
        <v>1590</v>
      </c>
      <c r="DF8" s="142">
        <f>1500-1500+630</f>
        <v>630</v>
      </c>
      <c r="DG8" s="142">
        <f>4000-4000+1900</f>
        <v>1900</v>
      </c>
      <c r="DH8" s="141"/>
      <c r="DI8" s="142">
        <f>200-200+2</f>
        <v>2</v>
      </c>
      <c r="DJ8" s="142">
        <f>200-200+1</f>
        <v>1</v>
      </c>
      <c r="DK8" s="142">
        <f>200-200</f>
        <v>0</v>
      </c>
      <c r="DL8" s="142">
        <f>100-100+12</f>
        <v>12</v>
      </c>
      <c r="DM8" s="148">
        <f>2000-2000+1920</f>
        <v>1920</v>
      </c>
      <c r="DN8" s="147"/>
      <c r="DO8" s="141"/>
      <c r="DP8" s="142">
        <f>1500-1500+680</f>
        <v>680</v>
      </c>
      <c r="DQ8" s="142">
        <f>4000-4000+2350</f>
        <v>2350</v>
      </c>
      <c r="DR8" s="147"/>
      <c r="DS8" s="142">
        <f>5000-5000+1270</f>
        <v>1270</v>
      </c>
      <c r="DT8" s="142">
        <f>5000-5000+1</f>
        <v>1</v>
      </c>
      <c r="DU8" s="142">
        <f>2000-2000+1320</f>
        <v>1320</v>
      </c>
      <c r="DV8" s="142">
        <f>2000-2000</f>
        <v>0</v>
      </c>
      <c r="DW8" s="141"/>
      <c r="DX8" s="141"/>
      <c r="DY8" s="141"/>
      <c r="DZ8" s="142">
        <f>100-100</f>
        <v>0</v>
      </c>
      <c r="EA8" s="141"/>
      <c r="EB8" s="142">
        <f>100-100</f>
        <v>0</v>
      </c>
      <c r="EC8" s="142">
        <f>1000-1000</f>
        <v>0</v>
      </c>
      <c r="ED8" s="142">
        <f>1000-1000</f>
        <v>0</v>
      </c>
      <c r="EE8" s="141"/>
      <c r="EF8" s="141"/>
      <c r="EG8" s="141"/>
      <c r="EH8" s="147"/>
      <c r="EI8" s="141"/>
      <c r="EJ8" s="141"/>
      <c r="EK8" s="141"/>
      <c r="EL8" s="142">
        <f>5000-5000</f>
        <v>0</v>
      </c>
      <c r="EM8" s="141"/>
      <c r="EN8" s="141"/>
      <c r="EO8" s="142">
        <f>3000-3000+10</f>
        <v>10</v>
      </c>
      <c r="EP8" s="141"/>
      <c r="EQ8" s="141"/>
      <c r="ER8" s="142">
        <f>50-50</f>
        <v>0</v>
      </c>
      <c r="ES8" s="147"/>
      <c r="ET8" s="141"/>
      <c r="EU8" s="142">
        <f>500-500</f>
        <v>0</v>
      </c>
      <c r="EV8" s="141"/>
      <c r="EW8" s="141"/>
      <c r="EX8" s="147"/>
      <c r="EY8" s="142">
        <f>1000-1000</f>
        <v>0</v>
      </c>
      <c r="EZ8" s="141"/>
      <c r="FA8" s="147"/>
      <c r="FB8" s="142">
        <f>5000-5000</f>
        <v>0</v>
      </c>
      <c r="FC8" s="142">
        <f>2000-2000</f>
        <v>0</v>
      </c>
      <c r="FD8" s="141"/>
      <c r="FE8" s="147"/>
      <c r="FF8" s="142">
        <f>100-100</f>
        <v>0</v>
      </c>
      <c r="FG8" s="142">
        <f>100-100+200</f>
        <v>200</v>
      </c>
      <c r="FH8" s="147"/>
      <c r="FI8" s="141"/>
      <c r="FJ8" s="142">
        <f>3000-3000</f>
        <v>0</v>
      </c>
      <c r="FK8" s="142">
        <f>1000-1000+300</f>
        <v>300</v>
      </c>
      <c r="FL8" s="142">
        <f>1000-1000</f>
        <v>0</v>
      </c>
      <c r="FM8" s="142">
        <f>100-100</f>
        <v>0</v>
      </c>
      <c r="FN8" s="141"/>
      <c r="FO8" s="142">
        <f>100-100</f>
        <v>0</v>
      </c>
      <c r="FP8" s="141"/>
      <c r="FQ8" s="141"/>
      <c r="FR8" s="141"/>
      <c r="FS8" s="141"/>
      <c r="FT8" s="141"/>
      <c r="FU8" s="141"/>
      <c r="FV8" s="141"/>
      <c r="FW8" s="141"/>
      <c r="FX8" s="141"/>
      <c r="FY8" s="141"/>
      <c r="FZ8" s="141"/>
      <c r="GA8" s="141"/>
      <c r="GB8" s="141"/>
      <c r="GC8" s="141"/>
      <c r="GD8" s="141"/>
      <c r="GE8" s="141"/>
      <c r="GF8" s="141"/>
      <c r="GG8" s="141"/>
      <c r="GH8" s="141"/>
      <c r="GI8" s="141"/>
      <c r="GJ8" s="141"/>
      <c r="GK8" s="141"/>
      <c r="GL8" s="141"/>
      <c r="GM8" s="141"/>
      <c r="GN8" s="141"/>
      <c r="GO8" s="141"/>
      <c r="GP8" s="141"/>
      <c r="GQ8" s="141"/>
      <c r="GR8" s="143" t="s">
        <v>522</v>
      </c>
      <c r="GS8" s="143"/>
      <c r="GT8" s="143" t="s">
        <v>523</v>
      </c>
      <c r="GU8" s="144">
        <f t="shared" si="0"/>
        <v>21709</v>
      </c>
      <c r="GV8" s="145" t="s">
        <v>524</v>
      </c>
    </row>
    <row r="9" spans="1:204">
      <c r="A9" s="138" t="s">
        <v>517</v>
      </c>
      <c r="B9" s="138" t="s">
        <v>517</v>
      </c>
      <c r="C9" s="138" t="s">
        <v>518</v>
      </c>
      <c r="D9" s="138" t="s">
        <v>3</v>
      </c>
      <c r="E9" s="140" t="s">
        <v>519</v>
      </c>
      <c r="F9" s="138" t="s">
        <v>520</v>
      </c>
      <c r="G9" s="138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7"/>
      <c r="U9" s="141"/>
      <c r="V9" s="146">
        <f>1000-1000+4-4</f>
        <v>0</v>
      </c>
      <c r="W9" s="141"/>
      <c r="X9" s="141"/>
      <c r="Y9" s="141"/>
      <c r="Z9" s="147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2">
        <v>28</v>
      </c>
      <c r="AS9" s="141"/>
      <c r="AT9" s="141"/>
      <c r="AU9" s="141"/>
      <c r="AV9" s="141"/>
      <c r="AW9" s="141"/>
      <c r="AX9" s="141"/>
      <c r="AY9" s="141"/>
      <c r="AZ9" s="142">
        <f>500-500+5</f>
        <v>5</v>
      </c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2">
        <f>20-20+5</f>
        <v>5</v>
      </c>
      <c r="BV9" s="141"/>
      <c r="BW9" s="141"/>
      <c r="BX9" s="141"/>
      <c r="BY9" s="141"/>
      <c r="BZ9" s="141"/>
      <c r="CA9" s="142">
        <v>5</v>
      </c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2">
        <f>3000-3000+10</f>
        <v>10</v>
      </c>
      <c r="CU9" s="141"/>
      <c r="CV9" s="141"/>
      <c r="CW9" s="142">
        <f>1500-1500+18</f>
        <v>18</v>
      </c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2">
        <f>1500-1500+240</f>
        <v>240</v>
      </c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  <c r="EG9" s="141"/>
      <c r="EH9" s="141"/>
      <c r="EI9" s="141"/>
      <c r="EJ9" s="141"/>
      <c r="EK9" s="141"/>
      <c r="EL9" s="141"/>
      <c r="EM9" s="141"/>
      <c r="EN9" s="141"/>
      <c r="EO9" s="141"/>
      <c r="EP9" s="141"/>
      <c r="EQ9" s="141"/>
      <c r="ER9" s="141"/>
      <c r="ES9" s="141"/>
      <c r="ET9" s="141"/>
      <c r="EU9" s="141"/>
      <c r="EV9" s="141"/>
      <c r="EW9" s="141"/>
      <c r="EX9" s="141"/>
      <c r="EY9" s="141"/>
      <c r="EZ9" s="141"/>
      <c r="FA9" s="141"/>
      <c r="FB9" s="141"/>
      <c r="FC9" s="141"/>
      <c r="FD9" s="142">
        <f>20-20</f>
        <v>0</v>
      </c>
      <c r="FE9" s="141"/>
      <c r="FF9" s="141"/>
      <c r="FG9" s="141"/>
      <c r="FH9" s="141"/>
      <c r="FI9" s="141"/>
      <c r="FJ9" s="141"/>
      <c r="FK9" s="141"/>
      <c r="FL9" s="141"/>
      <c r="FM9" s="141"/>
      <c r="FN9" s="141"/>
      <c r="FO9" s="141"/>
      <c r="FP9" s="141"/>
      <c r="FQ9" s="141"/>
      <c r="FR9" s="141"/>
      <c r="FS9" s="141"/>
      <c r="FT9" s="141"/>
      <c r="FU9" s="141"/>
      <c r="FV9" s="141"/>
      <c r="FW9" s="141"/>
      <c r="FX9" s="141"/>
      <c r="FY9" s="141"/>
      <c r="FZ9" s="141"/>
      <c r="GA9" s="141"/>
      <c r="GB9" s="141"/>
      <c r="GC9" s="141"/>
      <c r="GD9" s="141"/>
      <c r="GE9" s="141"/>
      <c r="GF9" s="141"/>
      <c r="GG9" s="141"/>
      <c r="GH9" s="141"/>
      <c r="GI9" s="141"/>
      <c r="GJ9" s="141"/>
      <c r="GK9" s="141"/>
      <c r="GL9" s="141"/>
      <c r="GM9" s="141"/>
      <c r="GN9" s="141"/>
      <c r="GO9" s="141"/>
      <c r="GP9" s="141"/>
      <c r="GQ9" s="141"/>
      <c r="GR9" s="143" t="s">
        <v>522</v>
      </c>
      <c r="GS9" s="143"/>
      <c r="GT9" s="143" t="s">
        <v>523</v>
      </c>
      <c r="GU9" s="144">
        <f t="shared" si="0"/>
        <v>311</v>
      </c>
      <c r="GV9" s="145" t="s">
        <v>524</v>
      </c>
    </row>
    <row r="10" spans="1:204">
      <c r="A10" s="138" t="s">
        <v>517</v>
      </c>
      <c r="B10" s="138" t="s">
        <v>525</v>
      </c>
      <c r="C10" s="138" t="s">
        <v>518</v>
      </c>
      <c r="D10" s="139" t="s">
        <v>8</v>
      </c>
      <c r="E10" s="149" t="s">
        <v>519</v>
      </c>
      <c r="F10" s="138" t="s">
        <v>520</v>
      </c>
      <c r="G10" s="138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1"/>
      <c r="EL10" s="141"/>
      <c r="EM10" s="141"/>
      <c r="EN10" s="141"/>
      <c r="EO10" s="141"/>
      <c r="EP10" s="141"/>
      <c r="EQ10" s="141"/>
      <c r="ER10" s="141"/>
      <c r="ES10" s="141"/>
      <c r="ET10" s="141"/>
      <c r="EU10" s="141"/>
      <c r="EV10" s="141"/>
      <c r="EW10" s="141"/>
      <c r="EX10" s="141"/>
      <c r="EY10" s="141"/>
      <c r="EZ10" s="141"/>
      <c r="FA10" s="141"/>
      <c r="FB10" s="141"/>
      <c r="FC10" s="141"/>
      <c r="FD10" s="141"/>
      <c r="FE10" s="141"/>
      <c r="FF10" s="141"/>
      <c r="FG10" s="141"/>
      <c r="FH10" s="141"/>
      <c r="FI10" s="141"/>
      <c r="FJ10" s="141"/>
      <c r="FK10" s="141"/>
      <c r="FL10" s="141"/>
      <c r="FM10" s="141"/>
      <c r="FN10" s="141"/>
      <c r="FO10" s="141"/>
      <c r="FP10" s="142">
        <f>4000-4000+320</f>
        <v>320</v>
      </c>
      <c r="FQ10" s="147"/>
      <c r="FR10" s="141"/>
      <c r="FS10" s="141"/>
      <c r="FT10" s="142">
        <f>1200-1200</f>
        <v>0</v>
      </c>
      <c r="FU10" s="142">
        <f>1200-1200</f>
        <v>0</v>
      </c>
      <c r="FV10" s="141"/>
      <c r="FW10" s="147"/>
      <c r="FX10" s="146">
        <f>500-500+35-35</f>
        <v>0</v>
      </c>
      <c r="FY10" s="142">
        <f>600-600+48</f>
        <v>48</v>
      </c>
      <c r="FZ10" s="142">
        <f>400-400+400</f>
        <v>400</v>
      </c>
      <c r="GA10" s="141"/>
      <c r="GB10" s="142">
        <f>2000-2000</f>
        <v>0</v>
      </c>
      <c r="GC10" s="142">
        <f>2000-2000</f>
        <v>0</v>
      </c>
      <c r="GD10" s="142">
        <f>3000-3000</f>
        <v>0</v>
      </c>
      <c r="GE10" s="142">
        <f>2000-2000</f>
        <v>0</v>
      </c>
      <c r="GF10" s="141"/>
      <c r="GG10" s="141"/>
      <c r="GH10" s="141"/>
      <c r="GI10" s="141"/>
      <c r="GJ10" s="141"/>
      <c r="GK10" s="141"/>
      <c r="GL10" s="141"/>
      <c r="GM10" s="141"/>
      <c r="GN10" s="141"/>
      <c r="GO10" s="141"/>
      <c r="GP10" s="141"/>
      <c r="GQ10" s="141"/>
      <c r="GR10" s="143" t="s">
        <v>522</v>
      </c>
      <c r="GS10" s="143"/>
      <c r="GT10" s="143" t="s">
        <v>523</v>
      </c>
      <c r="GU10" s="144">
        <f t="shared" si="0"/>
        <v>768</v>
      </c>
      <c r="GV10" s="145" t="s">
        <v>524</v>
      </c>
    </row>
    <row r="11" spans="1:204">
      <c r="A11" s="138" t="s">
        <v>517</v>
      </c>
      <c r="B11" s="138" t="s">
        <v>525</v>
      </c>
      <c r="C11" s="138" t="s">
        <v>518</v>
      </c>
      <c r="D11" s="139" t="s">
        <v>4</v>
      </c>
      <c r="E11" s="149" t="s">
        <v>519</v>
      </c>
      <c r="F11" s="138" t="s">
        <v>520</v>
      </c>
      <c r="G11" s="138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2">
        <f>1000-1000</f>
        <v>0</v>
      </c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41"/>
      <c r="EC11" s="141"/>
      <c r="ED11" s="141"/>
      <c r="EE11" s="141"/>
      <c r="EF11" s="141"/>
      <c r="EG11" s="141"/>
      <c r="EH11" s="141"/>
      <c r="EI11" s="141"/>
      <c r="EJ11" s="141"/>
      <c r="EK11" s="141"/>
      <c r="EL11" s="141"/>
      <c r="EM11" s="141"/>
      <c r="EN11" s="141"/>
      <c r="EO11" s="141"/>
      <c r="EP11" s="141"/>
      <c r="EQ11" s="141"/>
      <c r="ER11" s="141"/>
      <c r="ES11" s="141"/>
      <c r="ET11" s="141"/>
      <c r="EU11" s="141"/>
      <c r="EV11" s="141"/>
      <c r="EW11" s="141"/>
      <c r="EX11" s="141"/>
      <c r="EY11" s="141"/>
      <c r="EZ11" s="141"/>
      <c r="FA11" s="141"/>
      <c r="FB11" s="141"/>
      <c r="FC11" s="141"/>
      <c r="FD11" s="141"/>
      <c r="FE11" s="141"/>
      <c r="FF11" s="141"/>
      <c r="FG11" s="141"/>
      <c r="FH11" s="141"/>
      <c r="FI11" s="141"/>
      <c r="FJ11" s="141"/>
      <c r="FK11" s="141"/>
      <c r="FL11" s="141"/>
      <c r="FM11" s="141"/>
      <c r="FN11" s="141"/>
      <c r="FO11" s="141"/>
      <c r="FP11" s="141"/>
      <c r="FQ11" s="142">
        <f>6000-6000+950</f>
        <v>950</v>
      </c>
      <c r="FR11" s="142">
        <f>4000-4000+320</f>
        <v>320</v>
      </c>
      <c r="FS11" s="142">
        <f>100-100</f>
        <v>0</v>
      </c>
      <c r="FT11" s="141"/>
      <c r="FU11" s="141"/>
      <c r="FV11" s="141"/>
      <c r="FW11" s="142">
        <f>1000-1000+1840</f>
        <v>1840</v>
      </c>
      <c r="FX11" s="141"/>
      <c r="FY11" s="141"/>
      <c r="FZ11" s="141"/>
      <c r="GA11" s="142">
        <f>2000-2000</f>
        <v>0</v>
      </c>
      <c r="GB11" s="141"/>
      <c r="GC11" s="141"/>
      <c r="GD11" s="141"/>
      <c r="GE11" s="141"/>
      <c r="GF11" s="142">
        <f>100-100</f>
        <v>0</v>
      </c>
      <c r="GG11" s="141"/>
      <c r="GH11" s="141"/>
      <c r="GI11" s="141"/>
      <c r="GJ11" s="141"/>
      <c r="GK11" s="141"/>
      <c r="GL11" s="141"/>
      <c r="GM11" s="141"/>
      <c r="GN11" s="141"/>
      <c r="GO11" s="141"/>
      <c r="GP11" s="141"/>
      <c r="GQ11" s="141"/>
      <c r="GR11" s="143" t="s">
        <v>522</v>
      </c>
      <c r="GS11" s="143"/>
      <c r="GT11" s="143" t="s">
        <v>523</v>
      </c>
      <c r="GU11" s="144">
        <f t="shared" si="0"/>
        <v>3110</v>
      </c>
      <c r="GV11" s="145" t="s">
        <v>524</v>
      </c>
    </row>
    <row r="12" spans="1:204">
      <c r="A12" s="138" t="s">
        <v>517</v>
      </c>
      <c r="B12" s="138" t="s">
        <v>525</v>
      </c>
      <c r="C12" s="138" t="s">
        <v>518</v>
      </c>
      <c r="D12" s="138" t="s">
        <v>3</v>
      </c>
      <c r="E12" s="149" t="s">
        <v>519</v>
      </c>
      <c r="F12" s="138" t="s">
        <v>520</v>
      </c>
      <c r="G12" s="138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  <c r="EG12" s="141"/>
      <c r="EH12" s="141"/>
      <c r="EI12" s="141"/>
      <c r="EJ12" s="141"/>
      <c r="EK12" s="141"/>
      <c r="EL12" s="141"/>
      <c r="EM12" s="141"/>
      <c r="EN12" s="141"/>
      <c r="EO12" s="141"/>
      <c r="EP12" s="141"/>
      <c r="EQ12" s="141"/>
      <c r="ER12" s="141"/>
      <c r="ES12" s="141"/>
      <c r="ET12" s="141"/>
      <c r="EU12" s="141"/>
      <c r="EV12" s="141"/>
      <c r="EW12" s="141"/>
      <c r="EX12" s="141"/>
      <c r="EY12" s="141"/>
      <c r="EZ12" s="141"/>
      <c r="FA12" s="141"/>
      <c r="FB12" s="141"/>
      <c r="FC12" s="141"/>
      <c r="FD12" s="141"/>
      <c r="FE12" s="141"/>
      <c r="FF12" s="141"/>
      <c r="FG12" s="141"/>
      <c r="FH12" s="141"/>
      <c r="FI12" s="141"/>
      <c r="FJ12" s="141"/>
      <c r="FK12" s="141"/>
      <c r="FL12" s="141"/>
      <c r="FM12" s="141"/>
      <c r="FN12" s="141"/>
      <c r="FO12" s="141"/>
      <c r="FP12" s="141"/>
      <c r="FQ12" s="141"/>
      <c r="FR12" s="141"/>
      <c r="FS12" s="141"/>
      <c r="FT12" s="141"/>
      <c r="FU12" s="141"/>
      <c r="FV12" s="142">
        <f>1200-1200</f>
        <v>0</v>
      </c>
      <c r="FW12" s="141"/>
      <c r="FX12" s="141"/>
      <c r="FY12" s="141"/>
      <c r="FZ12" s="141"/>
      <c r="GA12" s="141"/>
      <c r="GB12" s="141"/>
      <c r="GC12" s="141"/>
      <c r="GD12" s="141"/>
      <c r="GE12" s="141"/>
      <c r="GF12" s="141"/>
      <c r="GG12" s="141"/>
      <c r="GH12" s="141"/>
      <c r="GI12" s="141"/>
      <c r="GJ12" s="141"/>
      <c r="GK12" s="141"/>
      <c r="GL12" s="141"/>
      <c r="GM12" s="141"/>
      <c r="GN12" s="141"/>
      <c r="GO12" s="141"/>
      <c r="GP12" s="141"/>
      <c r="GQ12" s="141"/>
      <c r="GR12" s="143" t="s">
        <v>522</v>
      </c>
      <c r="GS12" s="143"/>
      <c r="GT12" s="143" t="s">
        <v>523</v>
      </c>
      <c r="GU12" s="144">
        <f t="shared" si="0"/>
        <v>0</v>
      </c>
      <c r="GV12" s="145" t="s">
        <v>524</v>
      </c>
    </row>
    <row r="13" spans="1:204" hidden="1">
      <c r="A13" s="138"/>
      <c r="B13" s="138" t="s">
        <v>517</v>
      </c>
      <c r="C13" s="138" t="s">
        <v>527</v>
      </c>
      <c r="D13" s="138" t="s">
        <v>8</v>
      </c>
      <c r="E13" s="140" t="s">
        <v>703</v>
      </c>
      <c r="F13" s="138" t="s">
        <v>520</v>
      </c>
      <c r="G13" s="138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  <c r="EM13" s="141"/>
      <c r="EN13" s="141"/>
      <c r="EO13" s="141"/>
      <c r="EP13" s="141"/>
      <c r="EQ13" s="150"/>
      <c r="ER13" s="141"/>
      <c r="ES13" s="141"/>
      <c r="ET13" s="141"/>
      <c r="EU13" s="141"/>
      <c r="EV13" s="141"/>
      <c r="EW13" s="141"/>
      <c r="EX13" s="141"/>
      <c r="EY13" s="141"/>
      <c r="EZ13" s="141"/>
      <c r="FA13" s="141"/>
      <c r="FB13" s="141"/>
      <c r="FC13" s="141"/>
      <c r="FD13" s="141"/>
      <c r="FE13" s="141"/>
      <c r="FF13" s="141"/>
      <c r="FG13" s="141"/>
      <c r="FH13" s="141"/>
      <c r="FI13" s="141"/>
      <c r="FJ13" s="141"/>
      <c r="FK13" s="141"/>
      <c r="FL13" s="141"/>
      <c r="FM13" s="141"/>
      <c r="FN13" s="141"/>
      <c r="FO13" s="141"/>
      <c r="FP13" s="141"/>
      <c r="FQ13" s="141"/>
      <c r="FR13" s="141"/>
      <c r="FS13" s="141"/>
      <c r="FT13" s="141"/>
      <c r="FU13" s="141"/>
      <c r="FV13" s="141"/>
      <c r="FW13" s="141"/>
      <c r="FX13" s="141"/>
      <c r="FY13" s="141"/>
      <c r="FZ13" s="141"/>
      <c r="GA13" s="141"/>
      <c r="GB13" s="141"/>
      <c r="GC13" s="141"/>
      <c r="GD13" s="141"/>
      <c r="GE13" s="141"/>
      <c r="GF13" s="141"/>
      <c r="GG13" s="141"/>
      <c r="GH13" s="141"/>
      <c r="GI13" s="141"/>
      <c r="GJ13" s="141"/>
      <c r="GK13" s="141"/>
      <c r="GL13" s="141"/>
      <c r="GM13" s="141"/>
      <c r="GN13" s="141"/>
      <c r="GO13" s="141"/>
      <c r="GP13" s="151"/>
      <c r="GQ13" s="152"/>
      <c r="GR13" s="153" t="s">
        <v>522</v>
      </c>
      <c r="GS13" s="153"/>
      <c r="GT13" s="153" t="s">
        <v>529</v>
      </c>
      <c r="GU13" s="144">
        <f t="shared" si="0"/>
        <v>0</v>
      </c>
      <c r="GV13" s="147" t="s">
        <v>530</v>
      </c>
    </row>
    <row r="14" spans="1:204" hidden="1">
      <c r="A14" s="138"/>
      <c r="B14" s="138" t="s">
        <v>517</v>
      </c>
      <c r="C14" s="138" t="s">
        <v>527</v>
      </c>
      <c r="D14" s="138" t="s">
        <v>4</v>
      </c>
      <c r="E14" s="140" t="s">
        <v>703</v>
      </c>
      <c r="F14" s="138" t="s">
        <v>520</v>
      </c>
      <c r="G14" s="138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  <c r="EM14" s="141"/>
      <c r="EN14" s="141"/>
      <c r="EO14" s="141"/>
      <c r="EP14" s="141"/>
      <c r="EQ14" s="150"/>
      <c r="ER14" s="141"/>
      <c r="ES14" s="141"/>
      <c r="ET14" s="141"/>
      <c r="EU14" s="141"/>
      <c r="EV14" s="142">
        <f>100-100</f>
        <v>0</v>
      </c>
      <c r="EW14" s="142">
        <f>100-100</f>
        <v>0</v>
      </c>
      <c r="EX14" s="141"/>
      <c r="EY14" s="141"/>
      <c r="EZ14" s="142">
        <f>50-50</f>
        <v>0</v>
      </c>
      <c r="FA14" s="142">
        <f>200-200</f>
        <v>0</v>
      </c>
      <c r="FB14" s="142">
        <f>200-200</f>
        <v>0</v>
      </c>
      <c r="FC14" s="142">
        <f>20-20</f>
        <v>0</v>
      </c>
      <c r="FD14" s="141"/>
      <c r="FE14" s="141"/>
      <c r="FF14" s="141"/>
      <c r="FG14" s="142">
        <f>50-50</f>
        <v>0</v>
      </c>
      <c r="FH14" s="142">
        <f>50-50</f>
        <v>0</v>
      </c>
      <c r="FI14" s="141"/>
      <c r="FJ14" s="142">
        <f>200-200</f>
        <v>0</v>
      </c>
      <c r="FK14" s="141"/>
      <c r="FL14" s="141"/>
      <c r="FM14" s="141"/>
      <c r="FN14" s="141"/>
      <c r="FO14" s="141"/>
      <c r="FP14" s="141"/>
      <c r="FQ14" s="141"/>
      <c r="FR14" s="141"/>
      <c r="FS14" s="141"/>
      <c r="FT14" s="141"/>
      <c r="FU14" s="141"/>
      <c r="FV14" s="141"/>
      <c r="FW14" s="141"/>
      <c r="FX14" s="141"/>
      <c r="FY14" s="141"/>
      <c r="FZ14" s="141"/>
      <c r="GA14" s="141"/>
      <c r="GB14" s="141"/>
      <c r="GC14" s="141"/>
      <c r="GD14" s="141"/>
      <c r="GE14" s="141"/>
      <c r="GF14" s="141"/>
      <c r="GG14" s="141"/>
      <c r="GH14" s="141"/>
      <c r="GI14" s="141"/>
      <c r="GJ14" s="141"/>
      <c r="GK14" s="141"/>
      <c r="GL14" s="141"/>
      <c r="GM14" s="141"/>
      <c r="GN14" s="141"/>
      <c r="GO14" s="141"/>
      <c r="GP14" s="151"/>
      <c r="GQ14" s="152"/>
      <c r="GR14" s="153" t="s">
        <v>522</v>
      </c>
      <c r="GS14" s="153"/>
      <c r="GT14" s="153" t="s">
        <v>529</v>
      </c>
      <c r="GU14" s="144">
        <f t="shared" si="0"/>
        <v>0</v>
      </c>
      <c r="GV14" s="147" t="s">
        <v>530</v>
      </c>
    </row>
    <row r="15" spans="1:204" hidden="1">
      <c r="A15" s="138" t="s">
        <v>526</v>
      </c>
      <c r="B15" s="138" t="s">
        <v>517</v>
      </c>
      <c r="C15" s="138" t="s">
        <v>527</v>
      </c>
      <c r="D15" s="138" t="s">
        <v>8</v>
      </c>
      <c r="E15" s="140" t="s">
        <v>532</v>
      </c>
      <c r="F15" s="138" t="s">
        <v>520</v>
      </c>
      <c r="G15" s="138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>
        <f>100-100</f>
        <v>0</v>
      </c>
      <c r="EL15" s="141"/>
      <c r="EM15" s="141"/>
      <c r="EN15" s="141"/>
      <c r="EO15" s="141"/>
      <c r="EP15" s="141"/>
      <c r="EQ15" s="150"/>
      <c r="ER15" s="141"/>
      <c r="ES15" s="141"/>
      <c r="ET15" s="142">
        <f>100-100</f>
        <v>0</v>
      </c>
      <c r="EU15" s="141"/>
      <c r="EV15" s="142">
        <f>100-100</f>
        <v>0</v>
      </c>
      <c r="EW15" s="142">
        <f>100-100</f>
        <v>0</v>
      </c>
      <c r="EX15" s="141"/>
      <c r="EY15" s="141"/>
      <c r="EZ15" s="142">
        <f>100-100</f>
        <v>0</v>
      </c>
      <c r="FA15" s="141"/>
      <c r="FB15" s="141"/>
      <c r="FC15" s="141"/>
      <c r="FD15" s="141"/>
      <c r="FE15" s="141"/>
      <c r="FF15" s="141"/>
      <c r="FG15" s="141"/>
      <c r="FH15" s="141"/>
      <c r="FI15" s="141"/>
      <c r="FJ15" s="141"/>
      <c r="FK15" s="141"/>
      <c r="FL15" s="141"/>
      <c r="FM15" s="141"/>
      <c r="FN15" s="141"/>
      <c r="FO15" s="141"/>
      <c r="FP15" s="142">
        <f>100-100</f>
        <v>0</v>
      </c>
      <c r="FQ15" s="142">
        <f>100-100</f>
        <v>0</v>
      </c>
      <c r="FR15" s="141"/>
      <c r="FS15" s="141"/>
      <c r="FT15" s="141"/>
      <c r="FU15" s="141"/>
      <c r="FV15" s="141"/>
      <c r="FW15" s="141"/>
      <c r="FX15" s="141"/>
      <c r="FY15" s="141"/>
      <c r="FZ15" s="141"/>
      <c r="GA15" s="141"/>
      <c r="GB15" s="141"/>
      <c r="GC15" s="141"/>
      <c r="GD15" s="141"/>
      <c r="GE15" s="141"/>
      <c r="GF15" s="141"/>
      <c r="GG15" s="141"/>
      <c r="GH15" s="141"/>
      <c r="GI15" s="141"/>
      <c r="GJ15" s="141"/>
      <c r="GK15" s="141"/>
      <c r="GL15" s="141"/>
      <c r="GM15" s="141"/>
      <c r="GN15" s="141"/>
      <c r="GO15" s="141"/>
      <c r="GP15" s="151"/>
      <c r="GQ15" s="152"/>
      <c r="GR15" s="153" t="s">
        <v>522</v>
      </c>
      <c r="GS15" s="153"/>
      <c r="GT15" s="153" t="s">
        <v>533</v>
      </c>
      <c r="GU15" s="144">
        <f t="shared" si="0"/>
        <v>0</v>
      </c>
      <c r="GV15" s="147" t="s">
        <v>524</v>
      </c>
    </row>
    <row r="16" spans="1:204" hidden="1">
      <c r="A16" s="138" t="s">
        <v>526</v>
      </c>
      <c r="B16" s="138" t="s">
        <v>517</v>
      </c>
      <c r="C16" s="138" t="s">
        <v>527</v>
      </c>
      <c r="D16" s="138" t="s">
        <v>4</v>
      </c>
      <c r="E16" s="140" t="s">
        <v>532</v>
      </c>
      <c r="F16" s="138" t="s">
        <v>520</v>
      </c>
      <c r="G16" s="138"/>
      <c r="H16" s="141"/>
      <c r="I16" s="141"/>
      <c r="J16" s="142">
        <f>50-50</f>
        <v>0</v>
      </c>
      <c r="K16" s="142">
        <f>50-50</f>
        <v>0</v>
      </c>
      <c r="L16" s="141"/>
      <c r="M16" s="142">
        <f>50-50</f>
        <v>0</v>
      </c>
      <c r="N16" s="146">
        <f>50-50+10</f>
        <v>10</v>
      </c>
      <c r="O16" s="142">
        <f>50-50</f>
        <v>0</v>
      </c>
      <c r="P16" s="141"/>
      <c r="Q16" s="141"/>
      <c r="R16" s="142">
        <f>50-50</f>
        <v>0</v>
      </c>
      <c r="S16" s="142">
        <f>50-50</f>
        <v>0</v>
      </c>
      <c r="T16" s="141"/>
      <c r="U16" s="141"/>
      <c r="V16" s="142">
        <f>50-50</f>
        <v>0</v>
      </c>
      <c r="W16" s="146">
        <f>50-50+50</f>
        <v>50</v>
      </c>
      <c r="X16" s="141"/>
      <c r="Y16" s="142">
        <f>50-50</f>
        <v>0</v>
      </c>
      <c r="Z16" s="141"/>
      <c r="AA16" s="141"/>
      <c r="AB16" s="141">
        <v>10</v>
      </c>
      <c r="AC16" s="141"/>
      <c r="AD16" s="142">
        <f>50-50</f>
        <v>0</v>
      </c>
      <c r="AE16" s="142">
        <f>50-50</f>
        <v>0</v>
      </c>
      <c r="AF16" s="146">
        <f>50-50+9</f>
        <v>9</v>
      </c>
      <c r="AG16" s="142">
        <f>50-50</f>
        <v>0</v>
      </c>
      <c r="AH16" s="142">
        <f>50-50</f>
        <v>0</v>
      </c>
      <c r="AI16" s="141"/>
      <c r="AJ16" s="142">
        <f>50-50</f>
        <v>0</v>
      </c>
      <c r="AK16" s="142">
        <f>50-50</f>
        <v>0</v>
      </c>
      <c r="AL16" s="142">
        <f>50-50</f>
        <v>0</v>
      </c>
      <c r="AM16" s="141"/>
      <c r="AN16" s="142">
        <f>50-50</f>
        <v>0</v>
      </c>
      <c r="AO16" s="142">
        <f>50-50</f>
        <v>0</v>
      </c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  <c r="EG16" s="141"/>
      <c r="EH16" s="141"/>
      <c r="EI16" s="141"/>
      <c r="EJ16" s="141"/>
      <c r="EK16" s="141"/>
      <c r="EL16" s="142">
        <f>100-100</f>
        <v>0</v>
      </c>
      <c r="EM16" s="142">
        <f>100-100</f>
        <v>0</v>
      </c>
      <c r="EN16" s="142">
        <f>100-100</f>
        <v>0</v>
      </c>
      <c r="EO16" s="142">
        <f>100-100</f>
        <v>0</v>
      </c>
      <c r="EP16" s="141"/>
      <c r="EQ16" s="150"/>
      <c r="ER16" s="142">
        <f>100-100</f>
        <v>0</v>
      </c>
      <c r="ES16" s="142">
        <f>100-100</f>
        <v>0</v>
      </c>
      <c r="ET16" s="141"/>
      <c r="EU16" s="142">
        <f>100-100</f>
        <v>0</v>
      </c>
      <c r="EV16" s="141"/>
      <c r="EW16" s="141"/>
      <c r="EX16" s="142">
        <f>100-100</f>
        <v>0</v>
      </c>
      <c r="EY16" s="142">
        <f>100-100</f>
        <v>0</v>
      </c>
      <c r="EZ16" s="141"/>
      <c r="FA16" s="142">
        <f>100-100</f>
        <v>0</v>
      </c>
      <c r="FB16" s="142">
        <f>100-100</f>
        <v>0</v>
      </c>
      <c r="FC16" s="142">
        <f>100-100</f>
        <v>0</v>
      </c>
      <c r="FD16" s="141"/>
      <c r="FE16" s="142">
        <f>100-100</f>
        <v>0</v>
      </c>
      <c r="FF16" s="142">
        <f>100-100</f>
        <v>0</v>
      </c>
      <c r="FG16" s="141"/>
      <c r="FH16" s="141"/>
      <c r="FI16" s="141"/>
      <c r="FJ16" s="142">
        <f>100-100</f>
        <v>0</v>
      </c>
      <c r="FK16" s="142">
        <f>100-100</f>
        <v>0</v>
      </c>
      <c r="FL16" s="142">
        <f>100-100</f>
        <v>0</v>
      </c>
      <c r="FM16" s="141"/>
      <c r="FN16" s="141"/>
      <c r="FO16" s="141"/>
      <c r="FP16" s="141"/>
      <c r="FQ16" s="141"/>
      <c r="FR16" s="142">
        <f>100-100</f>
        <v>0</v>
      </c>
      <c r="FS16" s="141"/>
      <c r="FT16" s="141"/>
      <c r="FU16" s="141"/>
      <c r="FV16" s="141"/>
      <c r="FW16" s="141"/>
      <c r="FX16" s="141"/>
      <c r="FY16" s="141"/>
      <c r="FZ16" s="141"/>
      <c r="GA16" s="141"/>
      <c r="GB16" s="141"/>
      <c r="GC16" s="141"/>
      <c r="GD16" s="141"/>
      <c r="GE16" s="141"/>
      <c r="GF16" s="141"/>
      <c r="GG16" s="141"/>
      <c r="GH16" s="141"/>
      <c r="GI16" s="141"/>
      <c r="GJ16" s="141"/>
      <c r="GK16" s="141"/>
      <c r="GL16" s="141"/>
      <c r="GM16" s="141"/>
      <c r="GN16" s="141"/>
      <c r="GO16" s="141"/>
      <c r="GP16" s="151"/>
      <c r="GQ16" s="152"/>
      <c r="GR16" s="153" t="s">
        <v>522</v>
      </c>
      <c r="GS16" s="153"/>
      <c r="GT16" s="153" t="s">
        <v>533</v>
      </c>
      <c r="GU16" s="144">
        <f t="shared" si="0"/>
        <v>79</v>
      </c>
      <c r="GV16" s="147" t="s">
        <v>524</v>
      </c>
    </row>
    <row r="17" spans="1:204" hidden="1">
      <c r="A17" s="138" t="s">
        <v>526</v>
      </c>
      <c r="B17" s="138" t="s">
        <v>517</v>
      </c>
      <c r="C17" s="138" t="s">
        <v>527</v>
      </c>
      <c r="D17" s="138" t="s">
        <v>3</v>
      </c>
      <c r="E17" s="140" t="s">
        <v>532</v>
      </c>
      <c r="F17" s="138" t="s">
        <v>520</v>
      </c>
      <c r="G17" s="138"/>
      <c r="H17" s="142">
        <f>50-50</f>
        <v>0</v>
      </c>
      <c r="I17" s="141"/>
      <c r="J17" s="141"/>
      <c r="K17" s="141"/>
      <c r="L17" s="142">
        <f>50-50</f>
        <v>0</v>
      </c>
      <c r="M17" s="141"/>
      <c r="N17" s="141"/>
      <c r="O17" s="141"/>
      <c r="P17" s="141"/>
      <c r="Q17" s="142">
        <f>50-50</f>
        <v>0</v>
      </c>
      <c r="R17" s="141"/>
      <c r="S17" s="141"/>
      <c r="T17" s="141"/>
      <c r="U17" s="142">
        <f>50-50</f>
        <v>0</v>
      </c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  <c r="BW17" s="141"/>
      <c r="BX17" s="141"/>
      <c r="BY17" s="141"/>
      <c r="BZ17" s="141"/>
      <c r="CA17" s="141"/>
      <c r="CB17" s="141"/>
      <c r="CC17" s="141"/>
      <c r="CD17" s="141"/>
      <c r="CE17" s="141"/>
      <c r="CF17" s="141"/>
      <c r="CG17" s="141"/>
      <c r="CH17" s="141"/>
      <c r="CI17" s="141"/>
      <c r="CJ17" s="141"/>
      <c r="CK17" s="141"/>
      <c r="CL17" s="141"/>
      <c r="CM17" s="141"/>
      <c r="CN17" s="141"/>
      <c r="CO17" s="141"/>
      <c r="CP17" s="141"/>
      <c r="CQ17" s="141"/>
      <c r="CR17" s="141"/>
      <c r="CS17" s="141"/>
      <c r="CT17" s="141"/>
      <c r="CU17" s="141"/>
      <c r="CV17" s="141"/>
      <c r="CW17" s="141"/>
      <c r="CX17" s="141"/>
      <c r="CY17" s="141"/>
      <c r="CZ17" s="141"/>
      <c r="DA17" s="141"/>
      <c r="DB17" s="141"/>
      <c r="DC17" s="141"/>
      <c r="DD17" s="141"/>
      <c r="DE17" s="141"/>
      <c r="DF17" s="141"/>
      <c r="DG17" s="141"/>
      <c r="DH17" s="141"/>
      <c r="DI17" s="141"/>
      <c r="DJ17" s="141"/>
      <c r="DK17" s="141"/>
      <c r="DL17" s="141"/>
      <c r="DM17" s="141"/>
      <c r="DN17" s="141"/>
      <c r="DO17" s="141"/>
      <c r="DP17" s="141"/>
      <c r="DQ17" s="141"/>
      <c r="DR17" s="141"/>
      <c r="DS17" s="141"/>
      <c r="DT17" s="141"/>
      <c r="DU17" s="141"/>
      <c r="DV17" s="141"/>
      <c r="DW17" s="141"/>
      <c r="DX17" s="141"/>
      <c r="DY17" s="141"/>
      <c r="DZ17" s="141"/>
      <c r="EA17" s="141"/>
      <c r="EB17" s="141"/>
      <c r="EC17" s="141"/>
      <c r="ED17" s="141"/>
      <c r="EE17" s="141"/>
      <c r="EF17" s="141"/>
      <c r="EG17" s="141"/>
      <c r="EH17" s="141"/>
      <c r="EI17" s="141"/>
      <c r="EJ17" s="141"/>
      <c r="EK17" s="141"/>
      <c r="EL17" s="141"/>
      <c r="EM17" s="141"/>
      <c r="EN17" s="141"/>
      <c r="EO17" s="141"/>
      <c r="EP17" s="141"/>
      <c r="EQ17" s="150"/>
      <c r="ER17" s="141"/>
      <c r="ES17" s="141"/>
      <c r="ET17" s="141"/>
      <c r="EU17" s="141"/>
      <c r="EV17" s="141"/>
      <c r="EW17" s="141"/>
      <c r="EX17" s="141"/>
      <c r="EY17" s="141"/>
      <c r="EZ17" s="141"/>
      <c r="FA17" s="141"/>
      <c r="FB17" s="141"/>
      <c r="FC17" s="141"/>
      <c r="FD17" s="141"/>
      <c r="FE17" s="141"/>
      <c r="FF17" s="141"/>
      <c r="FG17" s="141"/>
      <c r="FH17" s="141"/>
      <c r="FI17" s="141"/>
      <c r="FJ17" s="141"/>
      <c r="FK17" s="141"/>
      <c r="FL17" s="141"/>
      <c r="FM17" s="141"/>
      <c r="FN17" s="141"/>
      <c r="FO17" s="141"/>
      <c r="FP17" s="141"/>
      <c r="FQ17" s="141"/>
      <c r="FR17" s="141"/>
      <c r="FS17" s="141"/>
      <c r="FT17" s="141"/>
      <c r="FU17" s="141"/>
      <c r="FV17" s="141"/>
      <c r="FW17" s="141"/>
      <c r="FX17" s="141"/>
      <c r="FY17" s="141"/>
      <c r="FZ17" s="141"/>
      <c r="GA17" s="141"/>
      <c r="GB17" s="141"/>
      <c r="GC17" s="141"/>
      <c r="GD17" s="141"/>
      <c r="GE17" s="141"/>
      <c r="GF17" s="141"/>
      <c r="GG17" s="141"/>
      <c r="GH17" s="141"/>
      <c r="GI17" s="141"/>
      <c r="GJ17" s="141"/>
      <c r="GK17" s="141"/>
      <c r="GL17" s="141"/>
      <c r="GM17" s="141"/>
      <c r="GN17" s="141"/>
      <c r="GO17" s="141"/>
      <c r="GP17" s="151"/>
      <c r="GQ17" s="152"/>
      <c r="GR17" s="153" t="s">
        <v>522</v>
      </c>
      <c r="GS17" s="153"/>
      <c r="GT17" s="153" t="s">
        <v>533</v>
      </c>
      <c r="GU17" s="144">
        <f t="shared" si="0"/>
        <v>0</v>
      </c>
      <c r="GV17" s="147" t="s">
        <v>524</v>
      </c>
    </row>
    <row r="18" spans="1:204" hidden="1">
      <c r="A18" s="138"/>
      <c r="B18" s="138" t="s">
        <v>517</v>
      </c>
      <c r="C18" s="138" t="s">
        <v>527</v>
      </c>
      <c r="D18" s="138" t="s">
        <v>8</v>
      </c>
      <c r="E18" s="140" t="s">
        <v>704</v>
      </c>
      <c r="F18" s="138" t="s">
        <v>520</v>
      </c>
      <c r="G18" s="138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  <c r="CS18" s="141"/>
      <c r="CT18" s="141"/>
      <c r="CU18" s="141"/>
      <c r="CV18" s="141"/>
      <c r="CW18" s="141"/>
      <c r="CX18" s="141"/>
      <c r="CY18" s="141"/>
      <c r="CZ18" s="141"/>
      <c r="DA18" s="141"/>
      <c r="DB18" s="141"/>
      <c r="DC18" s="141"/>
      <c r="DD18" s="141"/>
      <c r="DE18" s="141"/>
      <c r="DF18" s="141"/>
      <c r="DG18" s="141"/>
      <c r="DH18" s="141"/>
      <c r="DI18" s="141"/>
      <c r="DJ18" s="141"/>
      <c r="DK18" s="141"/>
      <c r="DL18" s="141"/>
      <c r="DM18" s="141"/>
      <c r="DN18" s="141"/>
      <c r="DO18" s="141"/>
      <c r="DP18" s="141"/>
      <c r="DQ18" s="141"/>
      <c r="DR18" s="141"/>
      <c r="DS18" s="141"/>
      <c r="DT18" s="141"/>
      <c r="DU18" s="141"/>
      <c r="DV18" s="141"/>
      <c r="DW18" s="141"/>
      <c r="DX18" s="141"/>
      <c r="DY18" s="141"/>
      <c r="DZ18" s="141"/>
      <c r="EA18" s="141"/>
      <c r="EB18" s="141"/>
      <c r="EC18" s="141"/>
      <c r="ED18" s="141"/>
      <c r="EE18" s="141"/>
      <c r="EF18" s="141"/>
      <c r="EG18" s="141"/>
      <c r="EH18" s="141"/>
      <c r="EI18" s="141"/>
      <c r="EJ18" s="141"/>
      <c r="EK18" s="141"/>
      <c r="EL18" s="141"/>
      <c r="EM18" s="141"/>
      <c r="EN18" s="141"/>
      <c r="EO18" s="141"/>
      <c r="EP18" s="141"/>
      <c r="EQ18" s="150"/>
      <c r="ER18" s="141"/>
      <c r="ES18" s="141"/>
      <c r="ET18" s="141"/>
      <c r="EU18" s="141"/>
      <c r="EV18" s="141"/>
      <c r="EW18" s="141"/>
      <c r="EX18" s="141"/>
      <c r="EY18" s="141"/>
      <c r="EZ18" s="141"/>
      <c r="FA18" s="141"/>
      <c r="FB18" s="141"/>
      <c r="FC18" s="141"/>
      <c r="FD18" s="141"/>
      <c r="FE18" s="141"/>
      <c r="FF18" s="141"/>
      <c r="FG18" s="141"/>
      <c r="FH18" s="141"/>
      <c r="FI18" s="141"/>
      <c r="FJ18" s="141"/>
      <c r="FK18" s="141"/>
      <c r="FL18" s="141"/>
      <c r="FM18" s="141"/>
      <c r="FN18" s="141"/>
      <c r="FO18" s="141"/>
      <c r="FP18" s="141"/>
      <c r="FQ18" s="141"/>
      <c r="FR18" s="141"/>
      <c r="FS18" s="141"/>
      <c r="FT18" s="141"/>
      <c r="FU18" s="141"/>
      <c r="FV18" s="141"/>
      <c r="FW18" s="141"/>
      <c r="FX18" s="141"/>
      <c r="FY18" s="141"/>
      <c r="FZ18" s="141"/>
      <c r="GA18" s="141"/>
      <c r="GB18" s="141"/>
      <c r="GC18" s="141"/>
      <c r="GD18" s="141"/>
      <c r="GE18" s="141"/>
      <c r="GF18" s="141"/>
      <c r="GG18" s="141"/>
      <c r="GH18" s="141"/>
      <c r="GI18" s="141"/>
      <c r="GJ18" s="141"/>
      <c r="GK18" s="141"/>
      <c r="GL18" s="141"/>
      <c r="GM18" s="141"/>
      <c r="GN18" s="141"/>
      <c r="GO18" s="141"/>
      <c r="GP18" s="151"/>
      <c r="GQ18" s="152"/>
      <c r="GR18" s="153" t="s">
        <v>522</v>
      </c>
      <c r="GS18" s="153"/>
      <c r="GT18" s="153" t="s">
        <v>535</v>
      </c>
      <c r="GU18" s="144">
        <f t="shared" si="0"/>
        <v>0</v>
      </c>
      <c r="GV18" s="147" t="s">
        <v>530</v>
      </c>
    </row>
    <row r="19" spans="1:204" hidden="1">
      <c r="A19" s="138"/>
      <c r="B19" s="138" t="s">
        <v>517</v>
      </c>
      <c r="C19" s="138" t="s">
        <v>527</v>
      </c>
      <c r="D19" s="138" t="s">
        <v>4</v>
      </c>
      <c r="E19" s="140" t="s">
        <v>704</v>
      </c>
      <c r="F19" s="138" t="s">
        <v>520</v>
      </c>
      <c r="G19" s="138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>
        <v>10</v>
      </c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  <c r="BW19" s="141"/>
      <c r="BX19" s="141"/>
      <c r="BY19" s="141"/>
      <c r="BZ19" s="141"/>
      <c r="CA19" s="141"/>
      <c r="CB19" s="141"/>
      <c r="CC19" s="141"/>
      <c r="CD19" s="141"/>
      <c r="CE19" s="141"/>
      <c r="CF19" s="141"/>
      <c r="CG19" s="141"/>
      <c r="CH19" s="141"/>
      <c r="CI19" s="141"/>
      <c r="CJ19" s="141"/>
      <c r="CK19" s="141"/>
      <c r="CL19" s="141"/>
      <c r="CM19" s="141"/>
      <c r="CN19" s="141"/>
      <c r="CO19" s="141"/>
      <c r="CP19" s="141"/>
      <c r="CQ19" s="141"/>
      <c r="CR19" s="141"/>
      <c r="CS19" s="141"/>
      <c r="CT19" s="141"/>
      <c r="CU19" s="141"/>
      <c r="CV19" s="141"/>
      <c r="CW19" s="141"/>
      <c r="CX19" s="141"/>
      <c r="CY19" s="141"/>
      <c r="CZ19" s="141"/>
      <c r="DA19" s="141"/>
      <c r="DB19" s="141"/>
      <c r="DC19" s="141"/>
      <c r="DD19" s="141"/>
      <c r="DE19" s="141"/>
      <c r="DF19" s="141"/>
      <c r="DG19" s="141"/>
      <c r="DH19" s="141"/>
      <c r="DI19" s="141"/>
      <c r="DJ19" s="141"/>
      <c r="DK19" s="141"/>
      <c r="DL19" s="141"/>
      <c r="DM19" s="141"/>
      <c r="DN19" s="141"/>
      <c r="DO19" s="141"/>
      <c r="DP19" s="141"/>
      <c r="DQ19" s="141"/>
      <c r="DR19" s="141"/>
      <c r="DS19" s="141"/>
      <c r="DT19" s="141"/>
      <c r="DU19" s="141"/>
      <c r="DV19" s="141"/>
      <c r="DW19" s="141"/>
      <c r="DX19" s="141"/>
      <c r="DY19" s="141"/>
      <c r="DZ19" s="141"/>
      <c r="EA19" s="141"/>
      <c r="EB19" s="141"/>
      <c r="EC19" s="141"/>
      <c r="ED19" s="141"/>
      <c r="EE19" s="141"/>
      <c r="EF19" s="141"/>
      <c r="EG19" s="141"/>
      <c r="EH19" s="141"/>
      <c r="EI19" s="141"/>
      <c r="EJ19" s="141"/>
      <c r="EK19" s="141"/>
      <c r="EL19" s="141"/>
      <c r="EM19" s="141"/>
      <c r="EN19" s="141"/>
      <c r="EO19" s="141"/>
      <c r="EP19" s="141"/>
      <c r="EQ19" s="150"/>
      <c r="ER19" s="141"/>
      <c r="ES19" s="141"/>
      <c r="ET19" s="141"/>
      <c r="EU19" s="141"/>
      <c r="EV19" s="142">
        <f>50-50</f>
        <v>0</v>
      </c>
      <c r="EW19" s="142">
        <f>100-100</f>
        <v>0</v>
      </c>
      <c r="EX19" s="141"/>
      <c r="EY19" s="141"/>
      <c r="EZ19" s="142">
        <f>50-50</f>
        <v>0</v>
      </c>
      <c r="FA19" s="142">
        <f>100-100</f>
        <v>0</v>
      </c>
      <c r="FB19" s="142">
        <f>100-100</f>
        <v>0</v>
      </c>
      <c r="FC19" s="142">
        <f>50-50</f>
        <v>0</v>
      </c>
      <c r="FD19" s="141"/>
      <c r="FE19" s="141"/>
      <c r="FF19" s="142">
        <f>50-50</f>
        <v>0</v>
      </c>
      <c r="FG19" s="142">
        <f>20-20</f>
        <v>0</v>
      </c>
      <c r="FH19" s="142">
        <f>20-20</f>
        <v>0</v>
      </c>
      <c r="FI19" s="141"/>
      <c r="FJ19" s="142">
        <f>50-50</f>
        <v>0</v>
      </c>
      <c r="FK19" s="141"/>
      <c r="FL19" s="141"/>
      <c r="FM19" s="141"/>
      <c r="FN19" s="141"/>
      <c r="FO19" s="141"/>
      <c r="FP19" s="141"/>
      <c r="FQ19" s="141"/>
      <c r="FR19" s="142">
        <f>50-50</f>
        <v>0</v>
      </c>
      <c r="FS19" s="141"/>
      <c r="FT19" s="141"/>
      <c r="FU19" s="141"/>
      <c r="FV19" s="141"/>
      <c r="FW19" s="141"/>
      <c r="FX19" s="141"/>
      <c r="FY19" s="141"/>
      <c r="FZ19" s="141"/>
      <c r="GA19" s="141"/>
      <c r="GB19" s="141"/>
      <c r="GC19" s="141"/>
      <c r="GD19" s="141"/>
      <c r="GE19" s="141"/>
      <c r="GF19" s="141"/>
      <c r="GG19" s="141"/>
      <c r="GH19" s="141"/>
      <c r="GI19" s="141"/>
      <c r="GJ19" s="141"/>
      <c r="GK19" s="141"/>
      <c r="GL19" s="141"/>
      <c r="GM19" s="141"/>
      <c r="GN19" s="141"/>
      <c r="GO19" s="141"/>
      <c r="GP19" s="151"/>
      <c r="GQ19" s="152"/>
      <c r="GR19" s="153" t="s">
        <v>522</v>
      </c>
      <c r="GS19" s="153"/>
      <c r="GT19" s="153" t="s">
        <v>535</v>
      </c>
      <c r="GU19" s="144">
        <f t="shared" si="0"/>
        <v>10</v>
      </c>
      <c r="GV19" s="147" t="s">
        <v>530</v>
      </c>
    </row>
    <row r="20" spans="1:204" hidden="1">
      <c r="A20" s="138" t="s">
        <v>526</v>
      </c>
      <c r="B20" s="139" t="s">
        <v>517</v>
      </c>
      <c r="C20" s="138" t="s">
        <v>527</v>
      </c>
      <c r="D20" s="138" t="s">
        <v>8</v>
      </c>
      <c r="E20" s="140" t="s">
        <v>536</v>
      </c>
      <c r="F20" s="138" t="s">
        <v>520</v>
      </c>
      <c r="G20" s="138" t="s">
        <v>705</v>
      </c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54"/>
      <c r="CT20" s="154"/>
      <c r="CU20" s="154"/>
      <c r="CV20" s="154"/>
      <c r="CW20" s="154"/>
      <c r="CX20" s="154"/>
      <c r="CY20" s="154"/>
      <c r="CZ20" s="154"/>
      <c r="DA20" s="154"/>
      <c r="DB20" s="154"/>
      <c r="DC20" s="154"/>
      <c r="DD20" s="154"/>
      <c r="DE20" s="154"/>
      <c r="DF20" s="154"/>
      <c r="DG20" s="154"/>
      <c r="DH20" s="154"/>
      <c r="DI20" s="154"/>
      <c r="DJ20" s="154"/>
      <c r="DK20" s="154"/>
      <c r="DL20" s="154"/>
      <c r="DM20" s="154"/>
      <c r="DN20" s="154"/>
      <c r="DO20" s="154"/>
      <c r="DP20" s="154"/>
      <c r="DQ20" s="154"/>
      <c r="DR20" s="154"/>
      <c r="DS20" s="154"/>
      <c r="DT20" s="154"/>
      <c r="DU20" s="154"/>
      <c r="DV20" s="154"/>
      <c r="DW20" s="154"/>
      <c r="DX20" s="154"/>
      <c r="DY20" s="154"/>
      <c r="DZ20" s="154"/>
      <c r="EA20" s="154"/>
      <c r="EB20" s="154"/>
      <c r="EC20" s="154"/>
      <c r="ED20" s="154"/>
      <c r="EE20" s="154"/>
      <c r="EF20" s="154"/>
      <c r="EG20" s="154"/>
      <c r="EH20" s="154"/>
      <c r="EI20" s="154"/>
      <c r="EJ20" s="154"/>
      <c r="EK20" s="155">
        <f>1000-1000</f>
        <v>0</v>
      </c>
      <c r="EL20" s="154"/>
      <c r="EM20" s="154"/>
      <c r="EN20" s="154"/>
      <c r="EO20" s="154"/>
      <c r="EP20" s="154"/>
      <c r="EQ20" s="154"/>
      <c r="ER20" s="154"/>
      <c r="ES20" s="154"/>
      <c r="ET20" s="154"/>
      <c r="EU20" s="154"/>
      <c r="EV20" s="155">
        <f>1000-1000</f>
        <v>0</v>
      </c>
      <c r="EW20" s="154"/>
      <c r="EX20" s="154"/>
      <c r="EY20" s="154"/>
      <c r="EZ20" s="154"/>
      <c r="FA20" s="154"/>
      <c r="FB20" s="154"/>
      <c r="FC20" s="154"/>
      <c r="FD20" s="154"/>
      <c r="FE20" s="154"/>
      <c r="FF20" s="154"/>
      <c r="FG20" s="154"/>
      <c r="FH20" s="154"/>
      <c r="FI20" s="154"/>
      <c r="FJ20" s="154"/>
      <c r="FK20" s="154"/>
      <c r="FL20" s="154"/>
      <c r="FM20" s="154"/>
      <c r="FN20" s="154"/>
      <c r="FO20" s="154"/>
      <c r="FP20" s="156">
        <f>500-500</f>
        <v>0</v>
      </c>
      <c r="FQ20" s="154"/>
      <c r="FR20" s="154"/>
      <c r="FS20" s="154"/>
      <c r="FT20" s="154"/>
      <c r="FU20" s="154"/>
      <c r="FV20" s="154"/>
      <c r="FW20" s="154"/>
      <c r="FX20" s="154"/>
      <c r="FY20" s="154"/>
      <c r="FZ20" s="154"/>
      <c r="GA20" s="154"/>
      <c r="GB20" s="154"/>
      <c r="GC20" s="154"/>
      <c r="GD20" s="154"/>
      <c r="GE20" s="154"/>
      <c r="GF20" s="154"/>
      <c r="GG20" s="154"/>
      <c r="GH20" s="154"/>
      <c r="GI20" s="154"/>
      <c r="GJ20" s="154"/>
      <c r="GK20" s="154"/>
      <c r="GL20" s="154"/>
      <c r="GM20" s="154"/>
      <c r="GN20" s="154"/>
      <c r="GO20" s="154"/>
      <c r="GP20" s="151"/>
      <c r="GQ20" s="152"/>
      <c r="GR20" s="153" t="s">
        <v>522</v>
      </c>
      <c r="GS20" s="153"/>
      <c r="GT20" s="153" t="s">
        <v>538</v>
      </c>
      <c r="GU20" s="144">
        <f t="shared" si="0"/>
        <v>0</v>
      </c>
      <c r="GV20" s="147" t="s">
        <v>539</v>
      </c>
    </row>
    <row r="21" spans="1:204" hidden="1">
      <c r="A21" s="138" t="s">
        <v>526</v>
      </c>
      <c r="B21" s="139" t="s">
        <v>517</v>
      </c>
      <c r="C21" s="138" t="s">
        <v>527</v>
      </c>
      <c r="D21" s="138" t="s">
        <v>4</v>
      </c>
      <c r="E21" s="140" t="s">
        <v>536</v>
      </c>
      <c r="F21" s="138" t="s">
        <v>520</v>
      </c>
      <c r="G21" s="138" t="s">
        <v>705</v>
      </c>
      <c r="H21" s="154"/>
      <c r="I21" s="154"/>
      <c r="J21" s="156">
        <f>10-10</f>
        <v>0</v>
      </c>
      <c r="K21" s="156">
        <f>10-10</f>
        <v>0</v>
      </c>
      <c r="L21" s="154"/>
      <c r="M21" s="156">
        <f>20-20</f>
        <v>0</v>
      </c>
      <c r="N21" s="157">
        <f>20-20+10</f>
        <v>10</v>
      </c>
      <c r="O21" s="156">
        <f>50-50</f>
        <v>0</v>
      </c>
      <c r="P21" s="154"/>
      <c r="Q21" s="154"/>
      <c r="R21" s="156">
        <f>10-10</f>
        <v>0</v>
      </c>
      <c r="S21" s="156">
        <f>50-50</f>
        <v>0</v>
      </c>
      <c r="T21" s="154"/>
      <c r="U21" s="154"/>
      <c r="V21" s="156">
        <f>20-20</f>
        <v>0</v>
      </c>
      <c r="W21" s="157">
        <f>50-50+50</f>
        <v>50</v>
      </c>
      <c r="X21" s="154"/>
      <c r="Y21" s="156">
        <f>50-50</f>
        <v>0</v>
      </c>
      <c r="Z21" s="154"/>
      <c r="AA21" s="154"/>
      <c r="AB21" s="154"/>
      <c r="AC21" s="154"/>
      <c r="AD21" s="156">
        <f>500-500</f>
        <v>0</v>
      </c>
      <c r="AE21" s="156">
        <f>500-500</f>
        <v>0</v>
      </c>
      <c r="AF21" s="154"/>
      <c r="AG21" s="154"/>
      <c r="AH21" s="154"/>
      <c r="AI21" s="156">
        <f>500-500</f>
        <v>0</v>
      </c>
      <c r="AJ21" s="156">
        <f>500-500</f>
        <v>0</v>
      </c>
      <c r="AK21" s="156">
        <f>500-500</f>
        <v>0</v>
      </c>
      <c r="AL21" s="154"/>
      <c r="AM21" s="156">
        <f>500-500</f>
        <v>0</v>
      </c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  <c r="CL21" s="154"/>
      <c r="CM21" s="154"/>
      <c r="CN21" s="154"/>
      <c r="CO21" s="154"/>
      <c r="CP21" s="154"/>
      <c r="CQ21" s="154"/>
      <c r="CR21" s="154"/>
      <c r="CS21" s="154"/>
      <c r="CT21" s="154"/>
      <c r="CU21" s="154"/>
      <c r="CV21" s="154"/>
      <c r="CW21" s="154"/>
      <c r="CX21" s="154"/>
      <c r="CY21" s="154"/>
      <c r="CZ21" s="154"/>
      <c r="DA21" s="154"/>
      <c r="DB21" s="154"/>
      <c r="DC21" s="154"/>
      <c r="DD21" s="154"/>
      <c r="DE21" s="154"/>
      <c r="DF21" s="154"/>
      <c r="DG21" s="154"/>
      <c r="DH21" s="154"/>
      <c r="DI21" s="154"/>
      <c r="DJ21" s="154"/>
      <c r="DK21" s="154"/>
      <c r="DL21" s="154"/>
      <c r="DM21" s="154"/>
      <c r="DN21" s="154"/>
      <c r="DO21" s="154"/>
      <c r="DP21" s="154"/>
      <c r="DQ21" s="154"/>
      <c r="DR21" s="154"/>
      <c r="DS21" s="154"/>
      <c r="DT21" s="154"/>
      <c r="DU21" s="154"/>
      <c r="DV21" s="154"/>
      <c r="DW21" s="154"/>
      <c r="DX21" s="154"/>
      <c r="DY21" s="154"/>
      <c r="DZ21" s="154"/>
      <c r="EA21" s="154"/>
      <c r="EB21" s="154"/>
      <c r="EC21" s="156">
        <f>600-600</f>
        <v>0</v>
      </c>
      <c r="ED21" s="156">
        <f>600-600</f>
        <v>0</v>
      </c>
      <c r="EE21" s="154"/>
      <c r="EF21" s="154"/>
      <c r="EG21" s="154"/>
      <c r="EH21" s="154"/>
      <c r="EI21" s="154"/>
      <c r="EJ21" s="154"/>
      <c r="EK21" s="154"/>
      <c r="EL21" s="154"/>
      <c r="EM21" s="154"/>
      <c r="EN21" s="155">
        <f>1000-1000</f>
        <v>0</v>
      </c>
      <c r="EO21" s="154"/>
      <c r="EP21" s="154"/>
      <c r="EQ21" s="154"/>
      <c r="ER21" s="154"/>
      <c r="ES21" s="155">
        <f>1000-1000</f>
        <v>0</v>
      </c>
      <c r="ET21" s="154"/>
      <c r="EU21" s="154"/>
      <c r="EV21" s="154"/>
      <c r="EW21" s="154"/>
      <c r="EX21" s="154"/>
      <c r="EY21" s="155">
        <f>1000-1000</f>
        <v>0</v>
      </c>
      <c r="EZ21" s="154"/>
      <c r="FA21" s="155">
        <f>1000-1000</f>
        <v>0</v>
      </c>
      <c r="FB21" s="155">
        <f>1000-1000</f>
        <v>0</v>
      </c>
      <c r="FC21" s="154"/>
      <c r="FD21" s="154"/>
      <c r="FE21" s="154"/>
      <c r="FF21" s="154"/>
      <c r="FG21" s="154"/>
      <c r="FH21" s="154"/>
      <c r="FI21" s="154"/>
      <c r="FJ21" s="154"/>
      <c r="FK21" s="154"/>
      <c r="FL21" s="154"/>
      <c r="FM21" s="154"/>
      <c r="FN21" s="154"/>
      <c r="FO21" s="154"/>
      <c r="FP21" s="154"/>
      <c r="FQ21" s="154"/>
      <c r="FR21" s="154"/>
      <c r="FS21" s="154"/>
      <c r="FT21" s="154"/>
      <c r="FU21" s="154"/>
      <c r="FV21" s="154"/>
      <c r="FW21" s="154"/>
      <c r="FX21" s="154"/>
      <c r="FY21" s="154"/>
      <c r="FZ21" s="154"/>
      <c r="GA21" s="154"/>
      <c r="GB21" s="154"/>
      <c r="GC21" s="154"/>
      <c r="GD21" s="154"/>
      <c r="GE21" s="154"/>
      <c r="GF21" s="154"/>
      <c r="GG21" s="154"/>
      <c r="GH21" s="154"/>
      <c r="GI21" s="154"/>
      <c r="GJ21" s="154"/>
      <c r="GK21" s="154"/>
      <c r="GL21" s="154"/>
      <c r="GM21" s="154"/>
      <c r="GN21" s="154"/>
      <c r="GO21" s="154"/>
      <c r="GP21" s="151"/>
      <c r="GQ21" s="152"/>
      <c r="GR21" s="153" t="s">
        <v>522</v>
      </c>
      <c r="GS21" s="153"/>
      <c r="GT21" s="153" t="s">
        <v>538</v>
      </c>
      <c r="GU21" s="144">
        <f t="shared" si="0"/>
        <v>60</v>
      </c>
      <c r="GV21" s="147" t="s">
        <v>539</v>
      </c>
    </row>
    <row r="22" spans="1:204" hidden="1">
      <c r="A22" s="138"/>
      <c r="B22" s="138" t="s">
        <v>517</v>
      </c>
      <c r="C22" s="138" t="s">
        <v>527</v>
      </c>
      <c r="D22" s="138" t="s">
        <v>8</v>
      </c>
      <c r="E22" s="140" t="s">
        <v>541</v>
      </c>
      <c r="F22" s="138" t="s">
        <v>520</v>
      </c>
      <c r="G22" s="138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1"/>
      <c r="BN22" s="141"/>
      <c r="BO22" s="141"/>
      <c r="BP22" s="141"/>
      <c r="BQ22" s="141"/>
      <c r="BR22" s="141"/>
      <c r="BS22" s="141"/>
      <c r="BT22" s="141"/>
      <c r="BU22" s="141"/>
      <c r="BV22" s="141"/>
      <c r="BW22" s="141"/>
      <c r="BX22" s="141"/>
      <c r="BY22" s="141"/>
      <c r="BZ22" s="141"/>
      <c r="CA22" s="141"/>
      <c r="CB22" s="141"/>
      <c r="CC22" s="141"/>
      <c r="CD22" s="141"/>
      <c r="CE22" s="141"/>
      <c r="CF22" s="141"/>
      <c r="CG22" s="141"/>
      <c r="CH22" s="141"/>
      <c r="CI22" s="141"/>
      <c r="CJ22" s="141"/>
      <c r="CK22" s="141"/>
      <c r="CL22" s="141"/>
      <c r="CM22" s="141"/>
      <c r="CN22" s="141"/>
      <c r="CO22" s="141"/>
      <c r="CP22" s="141"/>
      <c r="CQ22" s="141"/>
      <c r="CR22" s="141"/>
      <c r="CS22" s="141"/>
      <c r="CT22" s="141"/>
      <c r="CU22" s="141"/>
      <c r="CV22" s="141"/>
      <c r="CW22" s="141"/>
      <c r="CX22" s="141"/>
      <c r="CY22" s="141"/>
      <c r="CZ22" s="141"/>
      <c r="DA22" s="141"/>
      <c r="DB22" s="141"/>
      <c r="DC22" s="141"/>
      <c r="DD22" s="141"/>
      <c r="DE22" s="141"/>
      <c r="DF22" s="141"/>
      <c r="DG22" s="141"/>
      <c r="DH22" s="141"/>
      <c r="DI22" s="141"/>
      <c r="DJ22" s="141"/>
      <c r="DK22" s="141"/>
      <c r="DL22" s="141"/>
      <c r="DM22" s="141"/>
      <c r="DN22" s="141"/>
      <c r="DO22" s="141"/>
      <c r="DP22" s="141"/>
      <c r="DQ22" s="141"/>
      <c r="DR22" s="141"/>
      <c r="DS22" s="141"/>
      <c r="DT22" s="141"/>
      <c r="DU22" s="141"/>
      <c r="DV22" s="141"/>
      <c r="DW22" s="141"/>
      <c r="DX22" s="141"/>
      <c r="DY22" s="141"/>
      <c r="DZ22" s="141"/>
      <c r="EA22" s="141"/>
      <c r="EB22" s="141"/>
      <c r="EC22" s="141"/>
      <c r="ED22" s="141"/>
      <c r="EE22" s="141"/>
      <c r="EF22" s="141"/>
      <c r="EG22" s="141"/>
      <c r="EH22" s="141"/>
      <c r="EI22" s="141"/>
      <c r="EJ22" s="141"/>
      <c r="EK22" s="141"/>
      <c r="EL22" s="141"/>
      <c r="EM22" s="141"/>
      <c r="EN22" s="141"/>
      <c r="EO22" s="141"/>
      <c r="EP22" s="141"/>
      <c r="EQ22" s="150"/>
      <c r="ER22" s="141"/>
      <c r="ES22" s="141"/>
      <c r="ET22" s="141"/>
      <c r="EU22" s="141"/>
      <c r="EV22" s="141"/>
      <c r="EW22" s="141"/>
      <c r="EX22" s="141"/>
      <c r="EY22" s="141"/>
      <c r="EZ22" s="141"/>
      <c r="FA22" s="141"/>
      <c r="FB22" s="141"/>
      <c r="FC22" s="141"/>
      <c r="FD22" s="141"/>
      <c r="FE22" s="141"/>
      <c r="FF22" s="141"/>
      <c r="FG22" s="141"/>
      <c r="FH22" s="141"/>
      <c r="FI22" s="141"/>
      <c r="FJ22" s="141"/>
      <c r="FK22" s="141"/>
      <c r="FL22" s="141"/>
      <c r="FM22" s="141"/>
      <c r="FN22" s="141"/>
      <c r="FO22" s="141"/>
      <c r="FP22" s="141"/>
      <c r="FQ22" s="141"/>
      <c r="FR22" s="141"/>
      <c r="FS22" s="141"/>
      <c r="FT22" s="141"/>
      <c r="FU22" s="141"/>
      <c r="FV22" s="141"/>
      <c r="FW22" s="141"/>
      <c r="FX22" s="141"/>
      <c r="FY22" s="141"/>
      <c r="FZ22" s="141"/>
      <c r="GA22" s="141"/>
      <c r="GB22" s="141"/>
      <c r="GC22" s="141"/>
      <c r="GD22" s="141"/>
      <c r="GE22" s="141"/>
      <c r="GF22" s="141"/>
      <c r="GG22" s="141"/>
      <c r="GH22" s="141"/>
      <c r="GI22" s="141"/>
      <c r="GJ22" s="141"/>
      <c r="GK22" s="141"/>
      <c r="GL22" s="141"/>
      <c r="GM22" s="141"/>
      <c r="GN22" s="141"/>
      <c r="GO22" s="141"/>
      <c r="GP22" s="151"/>
      <c r="GQ22" s="152"/>
      <c r="GR22" s="153" t="s">
        <v>522</v>
      </c>
      <c r="GS22" s="153"/>
      <c r="GT22" s="153" t="s">
        <v>542</v>
      </c>
      <c r="GU22" s="144">
        <f t="shared" si="0"/>
        <v>0</v>
      </c>
      <c r="GV22" s="147" t="s">
        <v>530</v>
      </c>
    </row>
    <row r="23" spans="1:204" hidden="1">
      <c r="A23" s="138"/>
      <c r="B23" s="138" t="s">
        <v>517</v>
      </c>
      <c r="C23" s="138" t="s">
        <v>527</v>
      </c>
      <c r="D23" s="138" t="s">
        <v>4</v>
      </c>
      <c r="E23" s="140" t="s">
        <v>541</v>
      </c>
      <c r="F23" s="138" t="s">
        <v>520</v>
      </c>
      <c r="G23" s="138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1"/>
      <c r="BN23" s="141"/>
      <c r="BO23" s="141"/>
      <c r="BP23" s="141"/>
      <c r="BQ23" s="141"/>
      <c r="BR23" s="141"/>
      <c r="BS23" s="141"/>
      <c r="BT23" s="141"/>
      <c r="BU23" s="141"/>
      <c r="BV23" s="141"/>
      <c r="BW23" s="141"/>
      <c r="BX23" s="141"/>
      <c r="BY23" s="141"/>
      <c r="BZ23" s="141"/>
      <c r="CA23" s="141"/>
      <c r="CB23" s="141"/>
      <c r="CC23" s="141"/>
      <c r="CD23" s="141"/>
      <c r="CE23" s="141"/>
      <c r="CF23" s="141"/>
      <c r="CG23" s="141"/>
      <c r="CH23" s="141"/>
      <c r="CI23" s="141"/>
      <c r="CJ23" s="141"/>
      <c r="CK23" s="141"/>
      <c r="CL23" s="141"/>
      <c r="CM23" s="141"/>
      <c r="CN23" s="141"/>
      <c r="CO23" s="141"/>
      <c r="CP23" s="141"/>
      <c r="CQ23" s="141"/>
      <c r="CR23" s="141"/>
      <c r="CS23" s="141"/>
      <c r="CT23" s="141"/>
      <c r="CU23" s="141"/>
      <c r="CV23" s="141"/>
      <c r="CW23" s="141"/>
      <c r="CX23" s="141"/>
      <c r="CY23" s="141"/>
      <c r="CZ23" s="141"/>
      <c r="DA23" s="141"/>
      <c r="DB23" s="141"/>
      <c r="DC23" s="141"/>
      <c r="DD23" s="141"/>
      <c r="DE23" s="141"/>
      <c r="DF23" s="141"/>
      <c r="DG23" s="141"/>
      <c r="DH23" s="141"/>
      <c r="DI23" s="141"/>
      <c r="DJ23" s="141"/>
      <c r="DK23" s="141"/>
      <c r="DL23" s="141"/>
      <c r="DM23" s="141"/>
      <c r="DN23" s="141"/>
      <c r="DO23" s="141"/>
      <c r="DP23" s="141"/>
      <c r="DQ23" s="141"/>
      <c r="DR23" s="141"/>
      <c r="DS23" s="141"/>
      <c r="DT23" s="141"/>
      <c r="DU23" s="141"/>
      <c r="DV23" s="141"/>
      <c r="DW23" s="141"/>
      <c r="DX23" s="141"/>
      <c r="DY23" s="141"/>
      <c r="DZ23" s="141"/>
      <c r="EA23" s="141"/>
      <c r="EB23" s="141"/>
      <c r="EC23" s="141"/>
      <c r="ED23" s="141"/>
      <c r="EE23" s="141"/>
      <c r="EF23" s="141"/>
      <c r="EG23" s="141"/>
      <c r="EH23" s="141"/>
      <c r="EI23" s="141"/>
      <c r="EJ23" s="141"/>
      <c r="EK23" s="141"/>
      <c r="EL23" s="141"/>
      <c r="EM23" s="141"/>
      <c r="EN23" s="141"/>
      <c r="EO23" s="141"/>
      <c r="EP23" s="141"/>
      <c r="EQ23" s="150"/>
      <c r="ER23" s="141"/>
      <c r="ES23" s="141"/>
      <c r="ET23" s="141"/>
      <c r="EU23" s="141"/>
      <c r="EV23" s="142">
        <f>50-50</f>
        <v>0</v>
      </c>
      <c r="EW23" s="141"/>
      <c r="EX23" s="141"/>
      <c r="EY23" s="141"/>
      <c r="EZ23" s="142">
        <f>50-50</f>
        <v>0</v>
      </c>
      <c r="FA23" s="142">
        <f>100-100</f>
        <v>0</v>
      </c>
      <c r="FB23" s="142">
        <f>100-100</f>
        <v>0</v>
      </c>
      <c r="FC23" s="141"/>
      <c r="FD23" s="141"/>
      <c r="FE23" s="141"/>
      <c r="FF23" s="142">
        <f>20-20</f>
        <v>0</v>
      </c>
      <c r="FG23" s="142">
        <f>20-20</f>
        <v>0</v>
      </c>
      <c r="FH23" s="142">
        <f>20-20</f>
        <v>0</v>
      </c>
      <c r="FI23" s="141"/>
      <c r="FJ23" s="142">
        <f>50-50</f>
        <v>0</v>
      </c>
      <c r="FK23" s="141"/>
      <c r="FL23" s="141"/>
      <c r="FM23" s="141"/>
      <c r="FN23" s="141"/>
      <c r="FO23" s="141"/>
      <c r="FP23" s="141"/>
      <c r="FQ23" s="141"/>
      <c r="FR23" s="142">
        <f>100-100</f>
        <v>0</v>
      </c>
      <c r="FS23" s="141"/>
      <c r="FT23" s="141"/>
      <c r="FU23" s="141"/>
      <c r="FV23" s="141"/>
      <c r="FW23" s="141"/>
      <c r="FX23" s="141"/>
      <c r="FY23" s="141"/>
      <c r="FZ23" s="141"/>
      <c r="GA23" s="141"/>
      <c r="GB23" s="141"/>
      <c r="GC23" s="141"/>
      <c r="GD23" s="141"/>
      <c r="GE23" s="141"/>
      <c r="GF23" s="141"/>
      <c r="GG23" s="141"/>
      <c r="GH23" s="141"/>
      <c r="GI23" s="141"/>
      <c r="GJ23" s="141"/>
      <c r="GK23" s="141"/>
      <c r="GL23" s="141"/>
      <c r="GM23" s="141"/>
      <c r="GN23" s="141"/>
      <c r="GO23" s="141"/>
      <c r="GP23" s="151"/>
      <c r="GQ23" s="152"/>
      <c r="GR23" s="153" t="s">
        <v>522</v>
      </c>
      <c r="GS23" s="153"/>
      <c r="GT23" s="153" t="s">
        <v>542</v>
      </c>
      <c r="GU23" s="144">
        <f t="shared" si="0"/>
        <v>0</v>
      </c>
      <c r="GV23" s="147" t="s">
        <v>530</v>
      </c>
    </row>
    <row r="24" spans="1:204" hidden="1">
      <c r="A24" s="138" t="s">
        <v>517</v>
      </c>
      <c r="B24" s="138" t="s">
        <v>517</v>
      </c>
      <c r="C24" s="138" t="s">
        <v>527</v>
      </c>
      <c r="D24" s="138" t="s">
        <v>8</v>
      </c>
      <c r="E24" s="140" t="s">
        <v>543</v>
      </c>
      <c r="F24" s="138" t="s">
        <v>520</v>
      </c>
      <c r="G24" s="138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2">
        <f>50-50</f>
        <v>0</v>
      </c>
      <c r="EB24" s="141"/>
      <c r="EC24" s="141"/>
      <c r="ED24" s="141"/>
      <c r="EE24" s="141"/>
      <c r="EF24" s="141"/>
      <c r="EG24" s="141"/>
      <c r="EH24" s="141"/>
      <c r="EI24" s="141"/>
      <c r="EJ24" s="141"/>
      <c r="EK24" s="142">
        <f>300-300</f>
        <v>0</v>
      </c>
      <c r="EL24" s="141"/>
      <c r="EM24" s="141"/>
      <c r="EN24" s="141"/>
      <c r="EO24" s="141"/>
      <c r="EP24" s="141"/>
      <c r="EQ24" s="150"/>
      <c r="ER24" s="141"/>
      <c r="ES24" s="141"/>
      <c r="ET24" s="141"/>
      <c r="EU24" s="141"/>
      <c r="EV24" s="142">
        <f>300-300</f>
        <v>0</v>
      </c>
      <c r="EW24" s="141"/>
      <c r="EX24" s="141"/>
      <c r="EY24" s="141"/>
      <c r="EZ24" s="142">
        <f>300-300</f>
        <v>0</v>
      </c>
      <c r="FA24" s="141"/>
      <c r="FB24" s="141"/>
      <c r="FC24" s="141"/>
      <c r="FD24" s="141"/>
      <c r="FE24" s="141"/>
      <c r="FF24" s="141"/>
      <c r="FG24" s="141"/>
      <c r="FH24" s="141"/>
      <c r="FI24" s="141"/>
      <c r="FJ24" s="141"/>
      <c r="FK24" s="141"/>
      <c r="FL24" s="141"/>
      <c r="FM24" s="141"/>
      <c r="FN24" s="141"/>
      <c r="FO24" s="141"/>
      <c r="FP24" s="142">
        <f>200-200</f>
        <v>0</v>
      </c>
      <c r="FQ24" s="142">
        <f>200-200</f>
        <v>0</v>
      </c>
      <c r="FR24" s="141"/>
      <c r="FS24" s="141"/>
      <c r="FT24" s="141"/>
      <c r="FU24" s="141"/>
      <c r="FV24" s="141"/>
      <c r="FW24" s="141"/>
      <c r="FX24" s="141"/>
      <c r="FY24" s="141"/>
      <c r="FZ24" s="141"/>
      <c r="GA24" s="141"/>
      <c r="GB24" s="141"/>
      <c r="GC24" s="141"/>
      <c r="GD24" s="141"/>
      <c r="GE24" s="141"/>
      <c r="GF24" s="141"/>
      <c r="GG24" s="141"/>
      <c r="GH24" s="141"/>
      <c r="GI24" s="141"/>
      <c r="GJ24" s="141"/>
      <c r="GK24" s="141"/>
      <c r="GL24" s="141"/>
      <c r="GM24" s="141"/>
      <c r="GN24" s="141"/>
      <c r="GO24" s="141"/>
      <c r="GP24" s="151"/>
      <c r="GQ24" s="152"/>
      <c r="GR24" s="153" t="s">
        <v>522</v>
      </c>
      <c r="GS24" s="153"/>
      <c r="GT24" s="153" t="s">
        <v>533</v>
      </c>
      <c r="GU24" s="144">
        <f t="shared" si="0"/>
        <v>0</v>
      </c>
      <c r="GV24" s="147" t="s">
        <v>524</v>
      </c>
    </row>
    <row r="25" spans="1:204" hidden="1">
      <c r="A25" s="138" t="s">
        <v>517</v>
      </c>
      <c r="B25" s="138" t="s">
        <v>517</v>
      </c>
      <c r="C25" s="138" t="s">
        <v>527</v>
      </c>
      <c r="D25" s="138" t="s">
        <v>4</v>
      </c>
      <c r="E25" s="140" t="s">
        <v>543</v>
      </c>
      <c r="F25" s="138" t="s">
        <v>520</v>
      </c>
      <c r="G25" s="138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2">
        <f>30-30</f>
        <v>0</v>
      </c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  <c r="BW25" s="141"/>
      <c r="BX25" s="141"/>
      <c r="BY25" s="141"/>
      <c r="BZ25" s="141"/>
      <c r="CA25" s="141"/>
      <c r="CB25" s="141"/>
      <c r="CC25" s="141"/>
      <c r="CD25" s="141"/>
      <c r="CE25" s="141"/>
      <c r="CF25" s="141"/>
      <c r="CG25" s="141"/>
      <c r="CH25" s="141"/>
      <c r="CI25" s="141"/>
      <c r="CJ25" s="141"/>
      <c r="CK25" s="141"/>
      <c r="CL25" s="141"/>
      <c r="CM25" s="141"/>
      <c r="CN25" s="141"/>
      <c r="CO25" s="141"/>
      <c r="CP25" s="141"/>
      <c r="CQ25" s="141"/>
      <c r="CR25" s="141"/>
      <c r="CS25" s="141"/>
      <c r="CT25" s="141"/>
      <c r="CU25" s="141"/>
      <c r="CV25" s="141"/>
      <c r="CW25" s="141"/>
      <c r="CX25" s="141"/>
      <c r="CY25" s="141"/>
      <c r="CZ25" s="141"/>
      <c r="DA25" s="141"/>
      <c r="DB25" s="141"/>
      <c r="DC25" s="141"/>
      <c r="DD25" s="141"/>
      <c r="DE25" s="141"/>
      <c r="DF25" s="141"/>
      <c r="DG25" s="141"/>
      <c r="DH25" s="141"/>
      <c r="DI25" s="141"/>
      <c r="DJ25" s="141"/>
      <c r="DK25" s="141"/>
      <c r="DL25" s="141"/>
      <c r="DM25" s="141"/>
      <c r="DN25" s="141"/>
      <c r="DO25" s="141"/>
      <c r="DP25" s="141"/>
      <c r="DQ25" s="141"/>
      <c r="DR25" s="141"/>
      <c r="DS25" s="141"/>
      <c r="DT25" s="141"/>
      <c r="DU25" s="141"/>
      <c r="DV25" s="141"/>
      <c r="DW25" s="141"/>
      <c r="DX25" s="141"/>
      <c r="DY25" s="141"/>
      <c r="DZ25" s="141"/>
      <c r="EA25" s="141"/>
      <c r="EB25" s="141"/>
      <c r="EC25" s="142">
        <f>50-50</f>
        <v>0</v>
      </c>
      <c r="ED25" s="142">
        <f>50-50</f>
        <v>0</v>
      </c>
      <c r="EE25" s="141"/>
      <c r="EF25" s="141"/>
      <c r="EG25" s="141"/>
      <c r="EH25" s="141"/>
      <c r="EI25" s="141"/>
      <c r="EJ25" s="141"/>
      <c r="EK25" s="141"/>
      <c r="EL25" s="142">
        <f>300-300</f>
        <v>0</v>
      </c>
      <c r="EM25" s="141"/>
      <c r="EN25" s="142">
        <f>300-300</f>
        <v>0</v>
      </c>
      <c r="EO25" s="142">
        <f>300-300</f>
        <v>0</v>
      </c>
      <c r="EP25" s="141"/>
      <c r="EQ25" s="150"/>
      <c r="ER25" s="141"/>
      <c r="ES25" s="142">
        <f>200-200</f>
        <v>0</v>
      </c>
      <c r="ET25" s="141"/>
      <c r="EU25" s="142">
        <f>200-200</f>
        <v>0</v>
      </c>
      <c r="EV25" s="141"/>
      <c r="EW25" s="141"/>
      <c r="EX25" s="142">
        <f>300-300</f>
        <v>0</v>
      </c>
      <c r="EY25" s="142">
        <f>300-300</f>
        <v>0</v>
      </c>
      <c r="EZ25" s="141"/>
      <c r="FA25" s="141"/>
      <c r="FB25" s="141"/>
      <c r="FC25" s="142">
        <f>300-300</f>
        <v>0</v>
      </c>
      <c r="FD25" s="141"/>
      <c r="FE25" s="142">
        <f>300-300</f>
        <v>0</v>
      </c>
      <c r="FF25" s="142">
        <f>300-300</f>
        <v>0</v>
      </c>
      <c r="FG25" s="141"/>
      <c r="FH25" s="141"/>
      <c r="FI25" s="141"/>
      <c r="FJ25" s="142">
        <f>300-300</f>
        <v>0</v>
      </c>
      <c r="FK25" s="142">
        <f>300-300</f>
        <v>0</v>
      </c>
      <c r="FL25" s="142">
        <f>300-300</f>
        <v>0</v>
      </c>
      <c r="FM25" s="141"/>
      <c r="FN25" s="141"/>
      <c r="FO25" s="141"/>
      <c r="FP25" s="141"/>
      <c r="FQ25" s="141"/>
      <c r="FR25" s="142">
        <f>200-200</f>
        <v>0</v>
      </c>
      <c r="FS25" s="141"/>
      <c r="FT25" s="141"/>
      <c r="FU25" s="141"/>
      <c r="FV25" s="141"/>
      <c r="FW25" s="141"/>
      <c r="FX25" s="141"/>
      <c r="FY25" s="141"/>
      <c r="FZ25" s="141"/>
      <c r="GA25" s="141"/>
      <c r="GB25" s="141"/>
      <c r="GC25" s="141"/>
      <c r="GD25" s="141"/>
      <c r="GE25" s="141"/>
      <c r="GF25" s="141"/>
      <c r="GG25" s="141"/>
      <c r="GH25" s="141"/>
      <c r="GI25" s="141"/>
      <c r="GJ25" s="141"/>
      <c r="GK25" s="141"/>
      <c r="GL25" s="141"/>
      <c r="GM25" s="141"/>
      <c r="GN25" s="141"/>
      <c r="GO25" s="141"/>
      <c r="GP25" s="151"/>
      <c r="GQ25" s="152"/>
      <c r="GR25" s="153" t="s">
        <v>522</v>
      </c>
      <c r="GS25" s="153"/>
      <c r="GT25" s="153" t="s">
        <v>533</v>
      </c>
      <c r="GU25" s="144">
        <f t="shared" si="0"/>
        <v>0</v>
      </c>
      <c r="GV25" s="147" t="s">
        <v>524</v>
      </c>
    </row>
    <row r="26" spans="1:204" hidden="1">
      <c r="A26" s="138" t="s">
        <v>526</v>
      </c>
      <c r="B26" s="138" t="s">
        <v>517</v>
      </c>
      <c r="C26" s="138" t="s">
        <v>544</v>
      </c>
      <c r="D26" s="138" t="s">
        <v>8</v>
      </c>
      <c r="E26" s="140" t="s">
        <v>545</v>
      </c>
      <c r="F26" s="138" t="s">
        <v>520</v>
      </c>
      <c r="G26" s="138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1"/>
      <c r="BN26" s="141"/>
      <c r="BO26" s="141"/>
      <c r="BP26" s="141"/>
      <c r="BQ26" s="141"/>
      <c r="BR26" s="141"/>
      <c r="BS26" s="141"/>
      <c r="BT26" s="141"/>
      <c r="BU26" s="141"/>
      <c r="BV26" s="141"/>
      <c r="BW26" s="141"/>
      <c r="BX26" s="141"/>
      <c r="BY26" s="141"/>
      <c r="BZ26" s="141"/>
      <c r="CA26" s="141"/>
      <c r="CB26" s="141"/>
      <c r="CC26" s="141"/>
      <c r="CD26" s="141"/>
      <c r="CE26" s="141"/>
      <c r="CF26" s="141"/>
      <c r="CG26" s="141"/>
      <c r="CH26" s="141"/>
      <c r="CI26" s="141"/>
      <c r="CJ26" s="141"/>
      <c r="CK26" s="141"/>
      <c r="CL26" s="141"/>
      <c r="CM26" s="141"/>
      <c r="CN26" s="141"/>
      <c r="CO26" s="141"/>
      <c r="CP26" s="141"/>
      <c r="CQ26" s="141"/>
      <c r="CR26" s="141"/>
      <c r="CS26" s="141"/>
      <c r="CT26" s="141"/>
      <c r="CU26" s="141"/>
      <c r="CV26" s="141"/>
      <c r="CW26" s="141"/>
      <c r="CX26" s="141"/>
      <c r="CY26" s="141"/>
      <c r="CZ26" s="141"/>
      <c r="DA26" s="141"/>
      <c r="DB26" s="141"/>
      <c r="DC26" s="141"/>
      <c r="DD26" s="141"/>
      <c r="DE26" s="141"/>
      <c r="DF26" s="141"/>
      <c r="DG26" s="141"/>
      <c r="DH26" s="141"/>
      <c r="DI26" s="141"/>
      <c r="DJ26" s="141"/>
      <c r="DK26" s="141"/>
      <c r="DL26" s="141"/>
      <c r="DM26" s="141"/>
      <c r="DN26" s="141"/>
      <c r="DO26" s="141"/>
      <c r="DP26" s="141"/>
      <c r="DQ26" s="141"/>
      <c r="DR26" s="141"/>
      <c r="DS26" s="141"/>
      <c r="DT26" s="141"/>
      <c r="DU26" s="141"/>
      <c r="DV26" s="141"/>
      <c r="DW26" s="141"/>
      <c r="DX26" s="141"/>
      <c r="DY26" s="141"/>
      <c r="DZ26" s="141"/>
      <c r="EA26" s="142">
        <f>2000-2000</f>
        <v>0</v>
      </c>
      <c r="EB26" s="141"/>
      <c r="EC26" s="141"/>
      <c r="ED26" s="141"/>
      <c r="EE26" s="141"/>
      <c r="EF26" s="141"/>
      <c r="EG26" s="141"/>
      <c r="EH26" s="141"/>
      <c r="EI26" s="141"/>
      <c r="EJ26" s="141"/>
      <c r="EK26" s="141"/>
      <c r="EL26" s="141"/>
      <c r="EM26" s="141"/>
      <c r="EN26" s="141"/>
      <c r="EO26" s="141"/>
      <c r="EP26" s="141"/>
      <c r="EQ26" s="150"/>
      <c r="ER26" s="141"/>
      <c r="ES26" s="141"/>
      <c r="ET26" s="141"/>
      <c r="EU26" s="141"/>
      <c r="EV26" s="141"/>
      <c r="EW26" s="141"/>
      <c r="EX26" s="141"/>
      <c r="EY26" s="141"/>
      <c r="EZ26" s="141"/>
      <c r="FA26" s="141"/>
      <c r="FB26" s="141"/>
      <c r="FC26" s="141"/>
      <c r="FD26" s="141"/>
      <c r="FE26" s="141"/>
      <c r="FF26" s="141"/>
      <c r="FG26" s="141"/>
      <c r="FH26" s="141"/>
      <c r="FI26" s="141"/>
      <c r="FJ26" s="141"/>
      <c r="FK26" s="141"/>
      <c r="FL26" s="141"/>
      <c r="FM26" s="141"/>
      <c r="FN26" s="141"/>
      <c r="FO26" s="141"/>
      <c r="FP26" s="141"/>
      <c r="FQ26" s="142">
        <f>500-500</f>
        <v>0</v>
      </c>
      <c r="FR26" s="141"/>
      <c r="FS26" s="141"/>
      <c r="FT26" s="141"/>
      <c r="FU26" s="142">
        <f>200-200</f>
        <v>0</v>
      </c>
      <c r="FV26" s="141"/>
      <c r="FW26" s="141"/>
      <c r="FX26" s="141"/>
      <c r="FY26" s="141"/>
      <c r="FZ26" s="141"/>
      <c r="GA26" s="141"/>
      <c r="GB26" s="141"/>
      <c r="GC26" s="141"/>
      <c r="GD26" s="141"/>
      <c r="GE26" s="141"/>
      <c r="GF26" s="141"/>
      <c r="GG26" s="141"/>
      <c r="GH26" s="141"/>
      <c r="GI26" s="141"/>
      <c r="GJ26" s="141"/>
      <c r="GK26" s="141"/>
      <c r="GL26" s="141"/>
      <c r="GM26" s="141"/>
      <c r="GN26" s="141"/>
      <c r="GO26" s="141"/>
      <c r="GP26" s="151"/>
      <c r="GQ26" s="152"/>
      <c r="GR26" s="153" t="s">
        <v>522</v>
      </c>
      <c r="GS26" s="153"/>
      <c r="GT26" s="153" t="s">
        <v>546</v>
      </c>
      <c r="GU26" s="144">
        <f t="shared" si="0"/>
        <v>0</v>
      </c>
      <c r="GV26" s="147" t="s">
        <v>547</v>
      </c>
    </row>
    <row r="27" spans="1:204" hidden="1">
      <c r="A27" s="138" t="s">
        <v>526</v>
      </c>
      <c r="B27" s="138" t="s">
        <v>517</v>
      </c>
      <c r="C27" s="138" t="s">
        <v>544</v>
      </c>
      <c r="D27" s="138" t="s">
        <v>4</v>
      </c>
      <c r="E27" s="140" t="s">
        <v>545</v>
      </c>
      <c r="F27" s="138" t="s">
        <v>520</v>
      </c>
      <c r="G27" s="138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>
        <v>40</v>
      </c>
      <c r="AA27" s="141"/>
      <c r="AB27" s="141">
        <v>40</v>
      </c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  <c r="EG27" s="141"/>
      <c r="EH27" s="141"/>
      <c r="EI27" s="141"/>
      <c r="EJ27" s="141"/>
      <c r="EK27" s="141"/>
      <c r="EL27" s="142">
        <f>2000-2000</f>
        <v>0</v>
      </c>
      <c r="EM27" s="141"/>
      <c r="EN27" s="141"/>
      <c r="EO27" s="141"/>
      <c r="EP27" s="141"/>
      <c r="EQ27" s="150"/>
      <c r="ER27" s="141"/>
      <c r="ES27" s="142">
        <f>500-500</f>
        <v>0</v>
      </c>
      <c r="ET27" s="141"/>
      <c r="EU27" s="141"/>
      <c r="EV27" s="141"/>
      <c r="EW27" s="141"/>
      <c r="EX27" s="141"/>
      <c r="EY27" s="141"/>
      <c r="EZ27" s="141"/>
      <c r="FA27" s="142">
        <f>1500-1500</f>
        <v>0</v>
      </c>
      <c r="FB27" s="142">
        <f>1500-1500</f>
        <v>0</v>
      </c>
      <c r="FC27" s="141"/>
      <c r="FD27" s="141"/>
      <c r="FE27" s="141"/>
      <c r="FF27" s="141"/>
      <c r="FG27" s="141"/>
      <c r="FH27" s="141"/>
      <c r="FI27" s="141"/>
      <c r="FJ27" s="141"/>
      <c r="FK27" s="141"/>
      <c r="FL27" s="141"/>
      <c r="FM27" s="141"/>
      <c r="FN27" s="141"/>
      <c r="FO27" s="141"/>
      <c r="FP27" s="141"/>
      <c r="FQ27" s="141"/>
      <c r="FR27" s="142">
        <f>500-500</f>
        <v>0</v>
      </c>
      <c r="FS27" s="141"/>
      <c r="FT27" s="141"/>
      <c r="FU27" s="141"/>
      <c r="FV27" s="141"/>
      <c r="FW27" s="141"/>
      <c r="FX27" s="141"/>
      <c r="FY27" s="141"/>
      <c r="FZ27" s="141"/>
      <c r="GA27" s="141"/>
      <c r="GB27" s="141"/>
      <c r="GC27" s="141"/>
      <c r="GD27" s="141"/>
      <c r="GE27" s="141"/>
      <c r="GF27" s="141"/>
      <c r="GG27" s="141"/>
      <c r="GH27" s="141"/>
      <c r="GI27" s="141"/>
      <c r="GJ27" s="141"/>
      <c r="GK27" s="141"/>
      <c r="GL27" s="141"/>
      <c r="GM27" s="141"/>
      <c r="GN27" s="141"/>
      <c r="GO27" s="141"/>
      <c r="GP27" s="151"/>
      <c r="GQ27" s="152"/>
      <c r="GR27" s="153" t="s">
        <v>522</v>
      </c>
      <c r="GS27" s="153"/>
      <c r="GT27" s="153" t="s">
        <v>546</v>
      </c>
      <c r="GU27" s="144">
        <f t="shared" si="0"/>
        <v>80</v>
      </c>
      <c r="GV27" s="147" t="s">
        <v>547</v>
      </c>
    </row>
    <row r="28" spans="1:204" hidden="1">
      <c r="A28" s="138" t="s">
        <v>517</v>
      </c>
      <c r="B28" s="138" t="s">
        <v>517</v>
      </c>
      <c r="C28" s="138" t="s">
        <v>548</v>
      </c>
      <c r="D28" s="138" t="s">
        <v>4</v>
      </c>
      <c r="E28" s="140" t="s">
        <v>549</v>
      </c>
      <c r="F28" s="138" t="s">
        <v>520</v>
      </c>
      <c r="G28" s="138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2">
        <f>50-50</f>
        <v>0</v>
      </c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  <c r="BW28" s="141"/>
      <c r="BX28" s="141"/>
      <c r="BY28" s="141"/>
      <c r="BZ28" s="141"/>
      <c r="CA28" s="141"/>
      <c r="CB28" s="141"/>
      <c r="CC28" s="141"/>
      <c r="CD28" s="141"/>
      <c r="CE28" s="141"/>
      <c r="CF28" s="141"/>
      <c r="CG28" s="141"/>
      <c r="CH28" s="141"/>
      <c r="CI28" s="141"/>
      <c r="CJ28" s="141"/>
      <c r="CK28" s="141"/>
      <c r="CL28" s="141"/>
      <c r="CM28" s="141"/>
      <c r="CN28" s="141"/>
      <c r="CO28" s="141"/>
      <c r="CP28" s="141"/>
      <c r="CQ28" s="141"/>
      <c r="CR28" s="141"/>
      <c r="CS28" s="141"/>
      <c r="CT28" s="141"/>
      <c r="CU28" s="141"/>
      <c r="CV28" s="141"/>
      <c r="CW28" s="141"/>
      <c r="CX28" s="141"/>
      <c r="CY28" s="141"/>
      <c r="CZ28" s="141"/>
      <c r="DA28" s="141"/>
      <c r="DB28" s="141"/>
      <c r="DC28" s="141"/>
      <c r="DD28" s="141"/>
      <c r="DE28" s="141"/>
      <c r="DF28" s="141"/>
      <c r="DG28" s="141"/>
      <c r="DH28" s="141"/>
      <c r="DI28" s="141"/>
      <c r="DJ28" s="141"/>
      <c r="DK28" s="141"/>
      <c r="DL28" s="141"/>
      <c r="DM28" s="141"/>
      <c r="DN28" s="141"/>
      <c r="DO28" s="141"/>
      <c r="DP28" s="141"/>
      <c r="DQ28" s="141"/>
      <c r="DR28" s="141"/>
      <c r="DS28" s="141"/>
      <c r="DT28" s="141"/>
      <c r="DU28" s="141"/>
      <c r="DV28" s="141"/>
      <c r="DW28" s="141"/>
      <c r="DX28" s="141"/>
      <c r="DY28" s="141"/>
      <c r="DZ28" s="141"/>
      <c r="EA28" s="141"/>
      <c r="EB28" s="141"/>
      <c r="EC28" s="141"/>
      <c r="ED28" s="141"/>
      <c r="EE28" s="141"/>
      <c r="EF28" s="141"/>
      <c r="EG28" s="141"/>
      <c r="EH28" s="141"/>
      <c r="EI28" s="141"/>
      <c r="EJ28" s="141"/>
      <c r="EK28" s="141"/>
      <c r="EL28" s="141"/>
      <c r="EM28" s="141"/>
      <c r="EN28" s="141"/>
      <c r="EO28" s="141"/>
      <c r="EP28" s="141"/>
      <c r="EQ28" s="150"/>
      <c r="ER28" s="141"/>
      <c r="ES28" s="141"/>
      <c r="ET28" s="141"/>
      <c r="EU28" s="141"/>
      <c r="EV28" s="141"/>
      <c r="EW28" s="141"/>
      <c r="EX28" s="141"/>
      <c r="EY28" s="141"/>
      <c r="EZ28" s="141"/>
      <c r="FA28" s="141"/>
      <c r="FB28" s="141"/>
      <c r="FC28" s="141"/>
      <c r="FD28" s="141"/>
      <c r="FE28" s="141"/>
      <c r="FF28" s="141"/>
      <c r="FG28" s="141"/>
      <c r="FH28" s="141"/>
      <c r="FI28" s="141"/>
      <c r="FJ28" s="141"/>
      <c r="FK28" s="141"/>
      <c r="FL28" s="141"/>
      <c r="FM28" s="141"/>
      <c r="FN28" s="141"/>
      <c r="FO28" s="141"/>
      <c r="FP28" s="141"/>
      <c r="FQ28" s="141"/>
      <c r="FR28" s="141"/>
      <c r="FS28" s="141"/>
      <c r="FT28" s="141"/>
      <c r="FU28" s="141"/>
      <c r="FV28" s="141"/>
      <c r="FW28" s="141"/>
      <c r="FX28" s="141"/>
      <c r="FY28" s="141"/>
      <c r="FZ28" s="141"/>
      <c r="GA28" s="141"/>
      <c r="GB28" s="141"/>
      <c r="GC28" s="141"/>
      <c r="GD28" s="141"/>
      <c r="GE28" s="141"/>
      <c r="GF28" s="141"/>
      <c r="GG28" s="141"/>
      <c r="GH28" s="141"/>
      <c r="GI28" s="141"/>
      <c r="GJ28" s="141"/>
      <c r="GK28" s="141"/>
      <c r="GL28" s="141"/>
      <c r="GM28" s="141"/>
      <c r="GN28" s="141"/>
      <c r="GO28" s="141"/>
      <c r="GP28" s="151"/>
      <c r="GQ28" s="152"/>
      <c r="GR28" s="153" t="s">
        <v>522</v>
      </c>
      <c r="GS28" s="153"/>
      <c r="GT28" s="153" t="s">
        <v>551</v>
      </c>
      <c r="GU28" s="144">
        <f t="shared" si="0"/>
        <v>0</v>
      </c>
      <c r="GV28" s="147" t="s">
        <v>547</v>
      </c>
    </row>
    <row r="29" spans="1:204">
      <c r="A29" s="138" t="s">
        <v>526</v>
      </c>
      <c r="B29" s="138" t="s">
        <v>517</v>
      </c>
      <c r="C29" s="138" t="s">
        <v>555</v>
      </c>
      <c r="D29" s="138" t="s">
        <v>8</v>
      </c>
      <c r="E29" s="140" t="s">
        <v>556</v>
      </c>
      <c r="F29" s="138" t="s">
        <v>520</v>
      </c>
      <c r="G29" s="138" t="s">
        <v>706</v>
      </c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1"/>
      <c r="CR29" s="141"/>
      <c r="CS29" s="141"/>
      <c r="CT29" s="141"/>
      <c r="CU29" s="141"/>
      <c r="CV29" s="141"/>
      <c r="CW29" s="141"/>
      <c r="CX29" s="141"/>
      <c r="CY29" s="141"/>
      <c r="CZ29" s="141"/>
      <c r="DA29" s="141"/>
      <c r="DB29" s="141"/>
      <c r="DC29" s="141"/>
      <c r="DD29" s="141"/>
      <c r="DE29" s="141"/>
      <c r="DF29" s="141"/>
      <c r="DG29" s="141"/>
      <c r="DH29" s="141"/>
      <c r="DI29" s="141"/>
      <c r="DJ29" s="141"/>
      <c r="DK29" s="141"/>
      <c r="DL29" s="141"/>
      <c r="DM29" s="141"/>
      <c r="DN29" s="141"/>
      <c r="DO29" s="141"/>
      <c r="DP29" s="141"/>
      <c r="DQ29" s="141"/>
      <c r="DR29" s="141"/>
      <c r="DS29" s="141"/>
      <c r="DT29" s="141"/>
      <c r="DU29" s="141"/>
      <c r="DV29" s="141"/>
      <c r="DW29" s="141"/>
      <c r="DX29" s="141"/>
      <c r="DY29" s="141"/>
      <c r="DZ29" s="141"/>
      <c r="EA29" s="142">
        <f>30-30</f>
        <v>0</v>
      </c>
      <c r="EB29" s="141"/>
      <c r="EC29" s="141"/>
      <c r="ED29" s="141"/>
      <c r="EE29" s="141"/>
      <c r="EF29" s="141"/>
      <c r="EG29" s="141"/>
      <c r="EH29" s="141"/>
      <c r="EI29" s="141"/>
      <c r="EJ29" s="141"/>
      <c r="EK29" s="141"/>
      <c r="EL29" s="141"/>
      <c r="EM29" s="141"/>
      <c r="EN29" s="141"/>
      <c r="EO29" s="141"/>
      <c r="EP29" s="141"/>
      <c r="EQ29" s="150"/>
      <c r="ER29" s="141"/>
      <c r="ES29" s="141"/>
      <c r="ET29" s="141"/>
      <c r="EU29" s="141"/>
      <c r="EV29" s="142">
        <f>60-60</f>
        <v>0</v>
      </c>
      <c r="EW29" s="142">
        <f>60-60+10</f>
        <v>10</v>
      </c>
      <c r="EX29" s="202">
        <v>10</v>
      </c>
      <c r="EY29" s="141"/>
      <c r="EZ29" s="142">
        <f>20-20</f>
        <v>0</v>
      </c>
      <c r="FA29" s="202">
        <v>20</v>
      </c>
      <c r="FB29" s="141"/>
      <c r="FC29" s="141"/>
      <c r="FD29" s="141"/>
      <c r="FE29" s="202">
        <v>5</v>
      </c>
      <c r="FF29" s="141"/>
      <c r="FG29" s="141"/>
      <c r="FH29" s="202">
        <v>2</v>
      </c>
      <c r="FI29" s="141"/>
      <c r="FJ29" s="141"/>
      <c r="FK29" s="141"/>
      <c r="FL29" s="141"/>
      <c r="FM29" s="141"/>
      <c r="FN29" s="141"/>
      <c r="FO29" s="141"/>
      <c r="FP29" s="141"/>
      <c r="FQ29" s="141"/>
      <c r="FR29" s="141"/>
      <c r="FS29" s="141"/>
      <c r="FT29" s="141"/>
      <c r="FU29" s="141"/>
      <c r="FV29" s="141"/>
      <c r="FW29" s="141"/>
      <c r="FX29" s="141"/>
      <c r="FY29" s="141"/>
      <c r="FZ29" s="141"/>
      <c r="GA29" s="141"/>
      <c r="GB29" s="141"/>
      <c r="GC29" s="141"/>
      <c r="GD29" s="141"/>
      <c r="GE29" s="141"/>
      <c r="GF29" s="141"/>
      <c r="GG29" s="141"/>
      <c r="GH29" s="141"/>
      <c r="GI29" s="141"/>
      <c r="GJ29" s="141"/>
      <c r="GK29" s="141"/>
      <c r="GL29" s="141"/>
      <c r="GM29" s="141"/>
      <c r="GN29" s="141"/>
      <c r="GO29" s="141"/>
      <c r="GP29" s="151"/>
      <c r="GQ29" s="152">
        <v>44428</v>
      </c>
      <c r="GR29" s="158" t="s">
        <v>522</v>
      </c>
      <c r="GS29" s="153" t="s">
        <v>558</v>
      </c>
      <c r="GT29" s="153" t="s">
        <v>559</v>
      </c>
      <c r="GU29" s="144">
        <f t="shared" si="0"/>
        <v>47</v>
      </c>
      <c r="GV29" s="145" t="s">
        <v>560</v>
      </c>
    </row>
    <row r="30" spans="1:204">
      <c r="A30" s="138" t="s">
        <v>526</v>
      </c>
      <c r="B30" s="138" t="s">
        <v>517</v>
      </c>
      <c r="C30" s="138" t="s">
        <v>555</v>
      </c>
      <c r="D30" s="138" t="s">
        <v>4</v>
      </c>
      <c r="E30" s="140" t="s">
        <v>556</v>
      </c>
      <c r="F30" s="138" t="s">
        <v>520</v>
      </c>
      <c r="G30" s="138" t="s">
        <v>706</v>
      </c>
      <c r="H30" s="141"/>
      <c r="I30" s="141"/>
      <c r="J30" s="141"/>
      <c r="K30" s="141"/>
      <c r="L30" s="141"/>
      <c r="M30" s="142">
        <f>5-5</f>
        <v>0</v>
      </c>
      <c r="N30" s="142">
        <f>5-5</f>
        <v>0</v>
      </c>
      <c r="O30" s="141"/>
      <c r="P30" s="141"/>
      <c r="Q30" s="141"/>
      <c r="R30" s="142">
        <f>5-5</f>
        <v>0</v>
      </c>
      <c r="S30" s="142">
        <f>5-5</f>
        <v>0</v>
      </c>
      <c r="T30" s="202">
        <v>3</v>
      </c>
      <c r="U30" s="141"/>
      <c r="V30" s="142">
        <f>30-30</f>
        <v>0</v>
      </c>
      <c r="W30" s="142">
        <f>30-30+30</f>
        <v>30</v>
      </c>
      <c r="X30" s="141"/>
      <c r="Y30" s="142">
        <f>20-20</f>
        <v>0</v>
      </c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2">
        <f>10-10</f>
        <v>0</v>
      </c>
      <c r="BA30" s="142">
        <f>10-10</f>
        <v>0</v>
      </c>
      <c r="BB30" s="141"/>
      <c r="BC30" s="142">
        <f>5-5</f>
        <v>0</v>
      </c>
      <c r="BD30" s="142">
        <f>5-5+5</f>
        <v>5</v>
      </c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2">
        <f>10-10</f>
        <v>0</v>
      </c>
      <c r="CB30" s="142">
        <f>10-10</f>
        <v>0</v>
      </c>
      <c r="CC30" s="141"/>
      <c r="CD30" s="141"/>
      <c r="CE30" s="142">
        <f>10-10+10</f>
        <v>10</v>
      </c>
      <c r="CF30" s="142">
        <f>10-10</f>
        <v>0</v>
      </c>
      <c r="CG30" s="142">
        <f>40-40</f>
        <v>0</v>
      </c>
      <c r="CH30" s="142">
        <f>40-40</f>
        <v>0</v>
      </c>
      <c r="CI30" s="141"/>
      <c r="CJ30" s="142">
        <f>100-100+10</f>
        <v>10</v>
      </c>
      <c r="CK30" s="142">
        <f>10-10+1</f>
        <v>1</v>
      </c>
      <c r="CL30" s="142">
        <f>10-10</f>
        <v>0</v>
      </c>
      <c r="CM30" s="142">
        <f>10-10</f>
        <v>0</v>
      </c>
      <c r="CN30" s="142">
        <f>10-10</f>
        <v>0</v>
      </c>
      <c r="CO30" s="141"/>
      <c r="CP30" s="141"/>
      <c r="CQ30" s="141"/>
      <c r="CR30" s="142">
        <f>5-5</f>
        <v>0</v>
      </c>
      <c r="CS30" s="142">
        <f>5-5</f>
        <v>0</v>
      </c>
      <c r="CT30" s="141"/>
      <c r="CU30" s="142">
        <f>100-100+5</f>
        <v>5</v>
      </c>
      <c r="CV30" s="142">
        <f>30-30+4</f>
        <v>4</v>
      </c>
      <c r="CW30" s="142">
        <f>20-20</f>
        <v>0</v>
      </c>
      <c r="CX30" s="142">
        <f>10-10</f>
        <v>0</v>
      </c>
      <c r="CY30" s="142">
        <f>10-10+2</f>
        <v>2</v>
      </c>
      <c r="CZ30" s="141"/>
      <c r="DA30" s="142">
        <f>40-40</f>
        <v>0</v>
      </c>
      <c r="DB30" s="142">
        <f>10-10+10</f>
        <v>10</v>
      </c>
      <c r="DC30" s="202">
        <v>10</v>
      </c>
      <c r="DD30" s="141"/>
      <c r="DE30" s="142">
        <f>10-10+10</f>
        <v>10</v>
      </c>
      <c r="DF30" s="141"/>
      <c r="DG30" s="202">
        <v>10</v>
      </c>
      <c r="DH30" s="141"/>
      <c r="DI30" s="142">
        <f>10-10</f>
        <v>0</v>
      </c>
      <c r="DJ30" s="142">
        <f>10-10</f>
        <v>0</v>
      </c>
      <c r="DK30" s="142">
        <f>30-30</f>
        <v>0</v>
      </c>
      <c r="DL30" s="141"/>
      <c r="DM30" s="141"/>
      <c r="DN30" s="141"/>
      <c r="DO30" s="141"/>
      <c r="DP30" s="141"/>
      <c r="DQ30" s="142">
        <f>20-20+20</f>
        <v>20</v>
      </c>
      <c r="DR30" s="142">
        <f>20-20</f>
        <v>0</v>
      </c>
      <c r="DS30" s="141"/>
      <c r="DT30" s="141"/>
      <c r="DU30" s="141"/>
      <c r="DV30" s="141"/>
      <c r="DW30" s="141"/>
      <c r="DX30" s="141"/>
      <c r="DY30" s="141"/>
      <c r="DZ30" s="141"/>
      <c r="EA30" s="141"/>
      <c r="EB30" s="141"/>
      <c r="EC30" s="141"/>
      <c r="ED30" s="141"/>
      <c r="EE30" s="141"/>
      <c r="EF30" s="141"/>
      <c r="EG30" s="141"/>
      <c r="EH30" s="141"/>
      <c r="EI30" s="141"/>
      <c r="EJ30" s="141"/>
      <c r="EK30" s="141"/>
      <c r="EL30" s="142">
        <f>30-30</f>
        <v>0</v>
      </c>
      <c r="EM30" s="141"/>
      <c r="EN30" s="141"/>
      <c r="EO30" s="142">
        <f>30-30</f>
        <v>0</v>
      </c>
      <c r="EP30" s="141"/>
      <c r="EQ30" s="150"/>
      <c r="ER30" s="141"/>
      <c r="ES30" s="141"/>
      <c r="ET30" s="141"/>
      <c r="EU30" s="141"/>
      <c r="EV30" s="141"/>
      <c r="EW30" s="141"/>
      <c r="EX30" s="142">
        <f>60-60</f>
        <v>0</v>
      </c>
      <c r="EY30" s="141"/>
      <c r="EZ30" s="141"/>
      <c r="FA30" s="142">
        <f>20-20</f>
        <v>0</v>
      </c>
      <c r="FB30" s="142">
        <f>20-20</f>
        <v>0</v>
      </c>
      <c r="FC30" s="142">
        <f>20-20</f>
        <v>0</v>
      </c>
      <c r="FD30" s="141"/>
      <c r="FE30" s="142">
        <f>20-20</f>
        <v>0</v>
      </c>
      <c r="FF30" s="142">
        <f>20-20</f>
        <v>0</v>
      </c>
      <c r="FG30" s="142">
        <f>20-20+10</f>
        <v>10</v>
      </c>
      <c r="FH30" s="142">
        <f>20-20</f>
        <v>0</v>
      </c>
      <c r="FI30" s="141"/>
      <c r="FJ30" s="141"/>
      <c r="FK30" s="141"/>
      <c r="FL30" s="141"/>
      <c r="FM30" s="141"/>
      <c r="FN30" s="141"/>
      <c r="FO30" s="141"/>
      <c r="FP30" s="141"/>
      <c r="FQ30" s="141"/>
      <c r="FR30" s="141"/>
      <c r="FS30" s="141"/>
      <c r="FT30" s="141"/>
      <c r="FU30" s="141"/>
      <c r="FV30" s="141"/>
      <c r="FW30" s="141"/>
      <c r="FX30" s="141"/>
      <c r="FY30" s="141"/>
      <c r="FZ30" s="141"/>
      <c r="GA30" s="141"/>
      <c r="GB30" s="141"/>
      <c r="GC30" s="141"/>
      <c r="GD30" s="141"/>
      <c r="GE30" s="141"/>
      <c r="GF30" s="141"/>
      <c r="GG30" s="141"/>
      <c r="GH30" s="141"/>
      <c r="GI30" s="141"/>
      <c r="GJ30" s="141"/>
      <c r="GK30" s="141"/>
      <c r="GL30" s="141"/>
      <c r="GM30" s="141"/>
      <c r="GN30" s="141"/>
      <c r="GO30" s="141"/>
      <c r="GP30" s="151"/>
      <c r="GQ30" s="152">
        <v>44428</v>
      </c>
      <c r="GR30" s="158" t="s">
        <v>522</v>
      </c>
      <c r="GS30" s="153" t="s">
        <v>558</v>
      </c>
      <c r="GT30" s="153" t="s">
        <v>559</v>
      </c>
      <c r="GU30" s="144">
        <f t="shared" si="0"/>
        <v>140</v>
      </c>
      <c r="GV30" s="145" t="s">
        <v>560</v>
      </c>
    </row>
    <row r="31" spans="1:204">
      <c r="A31" s="138" t="s">
        <v>526</v>
      </c>
      <c r="B31" s="138" t="s">
        <v>517</v>
      </c>
      <c r="C31" s="138" t="s">
        <v>555</v>
      </c>
      <c r="D31" s="138" t="s">
        <v>3</v>
      </c>
      <c r="E31" s="140" t="s">
        <v>556</v>
      </c>
      <c r="F31" s="138" t="s">
        <v>520</v>
      </c>
      <c r="G31" s="138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2">
        <f>5-5</f>
        <v>0</v>
      </c>
      <c r="U31" s="142">
        <f>20-20</f>
        <v>0</v>
      </c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1"/>
      <c r="CR31" s="141"/>
      <c r="CS31" s="141"/>
      <c r="CT31" s="141"/>
      <c r="CU31" s="141"/>
      <c r="CV31" s="141"/>
      <c r="CW31" s="141"/>
      <c r="CX31" s="141"/>
      <c r="CY31" s="141"/>
      <c r="CZ31" s="141"/>
      <c r="DA31" s="141"/>
      <c r="DB31" s="141"/>
      <c r="DC31" s="142">
        <f>10-10</f>
        <v>0</v>
      </c>
      <c r="DD31" s="142">
        <f>10-10</f>
        <v>0</v>
      </c>
      <c r="DE31" s="141"/>
      <c r="DF31" s="141"/>
      <c r="DG31" s="142">
        <f>10-10</f>
        <v>0</v>
      </c>
      <c r="DH31" s="141"/>
      <c r="DI31" s="141"/>
      <c r="DJ31" s="141"/>
      <c r="DK31" s="141"/>
      <c r="DL31" s="141"/>
      <c r="DM31" s="141"/>
      <c r="DN31" s="141"/>
      <c r="DO31" s="141"/>
      <c r="DP31" s="141"/>
      <c r="DQ31" s="141"/>
      <c r="DR31" s="141"/>
      <c r="DS31" s="141"/>
      <c r="DT31" s="141"/>
      <c r="DU31" s="141"/>
      <c r="DV31" s="141"/>
      <c r="DW31" s="141"/>
      <c r="DX31" s="141"/>
      <c r="DY31" s="141"/>
      <c r="DZ31" s="141"/>
      <c r="EA31" s="141"/>
      <c r="EB31" s="141"/>
      <c r="EC31" s="141"/>
      <c r="ED31" s="141"/>
      <c r="EE31" s="141"/>
      <c r="EF31" s="141"/>
      <c r="EG31" s="141"/>
      <c r="EH31" s="141"/>
      <c r="EI31" s="141"/>
      <c r="EJ31" s="141"/>
      <c r="EK31" s="141"/>
      <c r="EL31" s="141"/>
      <c r="EM31" s="141"/>
      <c r="EN31" s="141"/>
      <c r="EO31" s="141"/>
      <c r="EP31" s="141"/>
      <c r="EQ31" s="150"/>
      <c r="ER31" s="141"/>
      <c r="ES31" s="141"/>
      <c r="ET31" s="141"/>
      <c r="EU31" s="141"/>
      <c r="EV31" s="141"/>
      <c r="EW31" s="141"/>
      <c r="EX31" s="141"/>
      <c r="EY31" s="141"/>
      <c r="EZ31" s="141"/>
      <c r="FA31" s="141"/>
      <c r="FB31" s="141"/>
      <c r="FC31" s="141"/>
      <c r="FD31" s="142">
        <f>20-20</f>
        <v>0</v>
      </c>
      <c r="FE31" s="141"/>
      <c r="FF31" s="141"/>
      <c r="FG31" s="141"/>
      <c r="FH31" s="141"/>
      <c r="FI31" s="141"/>
      <c r="FJ31" s="141"/>
      <c r="FK31" s="141"/>
      <c r="FL31" s="141"/>
      <c r="FM31" s="141"/>
      <c r="FN31" s="141"/>
      <c r="FO31" s="141"/>
      <c r="FP31" s="141"/>
      <c r="FQ31" s="141"/>
      <c r="FR31" s="141"/>
      <c r="FS31" s="141"/>
      <c r="FT31" s="141"/>
      <c r="FU31" s="141"/>
      <c r="FV31" s="141"/>
      <c r="FW31" s="141"/>
      <c r="FX31" s="141"/>
      <c r="FY31" s="141"/>
      <c r="FZ31" s="141"/>
      <c r="GA31" s="141"/>
      <c r="GB31" s="141"/>
      <c r="GC31" s="141"/>
      <c r="GD31" s="141"/>
      <c r="GE31" s="141"/>
      <c r="GF31" s="141"/>
      <c r="GG31" s="141"/>
      <c r="GH31" s="141"/>
      <c r="GI31" s="141"/>
      <c r="GJ31" s="141"/>
      <c r="GK31" s="141"/>
      <c r="GL31" s="141"/>
      <c r="GM31" s="141"/>
      <c r="GN31" s="141"/>
      <c r="GO31" s="141"/>
      <c r="GP31" s="151"/>
      <c r="GQ31" s="152">
        <v>44428</v>
      </c>
      <c r="GR31" s="158" t="s">
        <v>522</v>
      </c>
      <c r="GS31" s="153" t="s">
        <v>558</v>
      </c>
      <c r="GT31" s="153" t="s">
        <v>559</v>
      </c>
      <c r="GU31" s="144">
        <f t="shared" si="0"/>
        <v>0</v>
      </c>
      <c r="GV31" s="145" t="s">
        <v>560</v>
      </c>
    </row>
    <row r="32" spans="1:204">
      <c r="A32" s="138"/>
      <c r="B32" s="138" t="s">
        <v>517</v>
      </c>
      <c r="C32" s="138" t="s">
        <v>555</v>
      </c>
      <c r="D32" s="138" t="s">
        <v>4</v>
      </c>
      <c r="E32" s="140" t="s">
        <v>707</v>
      </c>
      <c r="F32" s="138" t="s">
        <v>520</v>
      </c>
      <c r="G32" s="138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2">
        <f>20-20+20</f>
        <v>20</v>
      </c>
      <c r="AA32" s="142">
        <f>20-20</f>
        <v>0</v>
      </c>
      <c r="AB32" s="142">
        <f>20-20+20</f>
        <v>20</v>
      </c>
      <c r="AC32" s="141"/>
      <c r="AD32" s="142">
        <f>50-50</f>
        <v>0</v>
      </c>
      <c r="AE32" s="142">
        <f>50-50</f>
        <v>0</v>
      </c>
      <c r="AF32" s="142">
        <f>50-50</f>
        <v>0</v>
      </c>
      <c r="AG32" s="142">
        <f>50-50</f>
        <v>0</v>
      </c>
      <c r="AH32" s="142">
        <f>50-50</f>
        <v>0</v>
      </c>
      <c r="AI32" s="142">
        <f>20-20</f>
        <v>0</v>
      </c>
      <c r="AJ32" s="142">
        <f>20-20</f>
        <v>0</v>
      </c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2">
        <f>10-10+5</f>
        <v>5</v>
      </c>
      <c r="BC32" s="141"/>
      <c r="BD32" s="142">
        <f>10-10+3</f>
        <v>3</v>
      </c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2">
        <f>10-10+10</f>
        <v>10</v>
      </c>
      <c r="BR32" s="141"/>
      <c r="BS32" s="142">
        <f>10-10</f>
        <v>0</v>
      </c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2">
        <f>10-10+3</f>
        <v>3</v>
      </c>
      <c r="CQ32" s="142">
        <f>10-10+2</f>
        <v>2</v>
      </c>
      <c r="CR32" s="142">
        <f>10-10</f>
        <v>0</v>
      </c>
      <c r="CS32" s="142">
        <f>20-20</f>
        <v>0</v>
      </c>
      <c r="CT32" s="142">
        <f>10-10</f>
        <v>0</v>
      </c>
      <c r="CU32" s="142">
        <f>10-10+5</f>
        <v>5</v>
      </c>
      <c r="CV32" s="142">
        <f>30-30+2</f>
        <v>2</v>
      </c>
      <c r="CW32" s="142">
        <f>20-20</f>
        <v>0</v>
      </c>
      <c r="CX32" s="142">
        <f>30-30</f>
        <v>0</v>
      </c>
      <c r="CY32" s="142">
        <f>20-20+1</f>
        <v>1</v>
      </c>
      <c r="CZ32" s="141"/>
      <c r="DA32" s="141"/>
      <c r="DB32" s="141"/>
      <c r="DC32" s="142">
        <f>10-10+10</f>
        <v>10</v>
      </c>
      <c r="DD32" s="142">
        <f>10-10</f>
        <v>0</v>
      </c>
      <c r="DE32" s="142">
        <f>30-30+20</f>
        <v>20</v>
      </c>
      <c r="DF32" s="142">
        <f>10-10+10</f>
        <v>10</v>
      </c>
      <c r="DG32" s="141"/>
      <c r="DH32" s="142">
        <f>30-30</f>
        <v>0</v>
      </c>
      <c r="DI32" s="141"/>
      <c r="DJ32" s="141"/>
      <c r="DK32" s="141"/>
      <c r="DL32" s="142">
        <f>20-20</f>
        <v>0</v>
      </c>
      <c r="DM32" s="142">
        <f>20-20+20</f>
        <v>20</v>
      </c>
      <c r="DN32" s="142">
        <f>20-20</f>
        <v>0</v>
      </c>
      <c r="DO32" s="141"/>
      <c r="DP32" s="141"/>
      <c r="DQ32" s="142">
        <f>30-30+10</f>
        <v>10</v>
      </c>
      <c r="DR32" s="141"/>
      <c r="DS32" s="142">
        <f>30-30+20</f>
        <v>20</v>
      </c>
      <c r="DT32" s="142">
        <f>30-30</f>
        <v>0</v>
      </c>
      <c r="DU32" s="142">
        <f>20-20+10</f>
        <v>10</v>
      </c>
      <c r="DV32" s="142">
        <f>20-20</f>
        <v>0</v>
      </c>
      <c r="DW32" s="141"/>
      <c r="DX32" s="141"/>
      <c r="DY32" s="141"/>
      <c r="DZ32" s="141"/>
      <c r="EA32" s="142">
        <f>50-50</f>
        <v>0</v>
      </c>
      <c r="EB32" s="141"/>
      <c r="EC32" s="142">
        <f>50-50</f>
        <v>0</v>
      </c>
      <c r="ED32" s="142">
        <f>50-50</f>
        <v>0</v>
      </c>
      <c r="EE32" s="141"/>
      <c r="EF32" s="141"/>
      <c r="EG32" s="142">
        <f>50-50</f>
        <v>0</v>
      </c>
      <c r="EH32" s="142">
        <f>50-50+5</f>
        <v>5</v>
      </c>
      <c r="EI32" s="141"/>
      <c r="EJ32" s="141"/>
      <c r="EK32" s="142">
        <f>50-50</f>
        <v>0</v>
      </c>
      <c r="EL32" s="142">
        <f>50-50</f>
        <v>0</v>
      </c>
      <c r="EM32" s="141"/>
      <c r="EN32" s="142">
        <f>50-50</f>
        <v>0</v>
      </c>
      <c r="EO32" s="142">
        <f>50-50</f>
        <v>0</v>
      </c>
      <c r="EP32" s="141"/>
      <c r="EQ32" s="150"/>
      <c r="ER32" s="141"/>
      <c r="ES32" s="142">
        <f>50-50</f>
        <v>0</v>
      </c>
      <c r="ET32" s="141"/>
      <c r="EU32" s="142">
        <f>50-50</f>
        <v>0</v>
      </c>
      <c r="EV32" s="141"/>
      <c r="EW32" s="141"/>
      <c r="EX32" s="142">
        <f>50-50+10</f>
        <v>10</v>
      </c>
      <c r="EY32" s="142">
        <f>40-40</f>
        <v>0</v>
      </c>
      <c r="EZ32" s="141"/>
      <c r="FA32" s="142">
        <f>30-30</f>
        <v>0</v>
      </c>
      <c r="FB32" s="142">
        <f>30-30</f>
        <v>0</v>
      </c>
      <c r="FC32" s="141"/>
      <c r="FD32" s="142">
        <f>30-30</f>
        <v>0</v>
      </c>
      <c r="FE32" s="142">
        <f>30-30</f>
        <v>0</v>
      </c>
      <c r="FF32" s="141"/>
      <c r="FG32" s="142">
        <f>30-30+5</f>
        <v>5</v>
      </c>
      <c r="FH32" s="142">
        <f>30-30</f>
        <v>0</v>
      </c>
      <c r="FI32" s="141"/>
      <c r="FJ32" s="142">
        <f>30-30</f>
        <v>0</v>
      </c>
      <c r="FK32" s="141"/>
      <c r="FL32" s="141"/>
      <c r="FM32" s="141"/>
      <c r="FN32" s="141"/>
      <c r="FO32" s="141"/>
      <c r="FP32" s="141"/>
      <c r="FQ32" s="202">
        <v>20</v>
      </c>
      <c r="FR32" s="141"/>
      <c r="FS32" s="141"/>
      <c r="FT32" s="141"/>
      <c r="FU32" s="141"/>
      <c r="FV32" s="141"/>
      <c r="FW32" s="141"/>
      <c r="FX32" s="141"/>
      <c r="FY32" s="141"/>
      <c r="FZ32" s="141"/>
      <c r="GA32" s="141"/>
      <c r="GB32" s="141"/>
      <c r="GC32" s="141"/>
      <c r="GD32" s="141"/>
      <c r="GE32" s="141"/>
      <c r="GF32" s="141"/>
      <c r="GG32" s="141"/>
      <c r="GH32" s="141"/>
      <c r="GI32" s="141"/>
      <c r="GJ32" s="141"/>
      <c r="GK32" s="141"/>
      <c r="GL32" s="141"/>
      <c r="GM32" s="141"/>
      <c r="GN32" s="141"/>
      <c r="GO32" s="141"/>
      <c r="GP32" s="151"/>
      <c r="GQ32" s="152"/>
      <c r="GR32" s="153" t="s">
        <v>522</v>
      </c>
      <c r="GS32" s="153"/>
      <c r="GT32" s="153"/>
      <c r="GU32" s="144">
        <f t="shared" si="0"/>
        <v>211</v>
      </c>
      <c r="GV32" s="147" t="s">
        <v>563</v>
      </c>
    </row>
    <row r="33" spans="1:204">
      <c r="A33" s="138"/>
      <c r="B33" s="138" t="s">
        <v>517</v>
      </c>
      <c r="C33" s="138" t="s">
        <v>555</v>
      </c>
      <c r="D33" s="138" t="s">
        <v>8</v>
      </c>
      <c r="E33" s="140" t="s">
        <v>707</v>
      </c>
      <c r="F33" s="138" t="s">
        <v>520</v>
      </c>
      <c r="G33" s="138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  <c r="BX33" s="141"/>
      <c r="BY33" s="141"/>
      <c r="BZ33" s="141"/>
      <c r="CA33" s="141"/>
      <c r="CB33" s="141"/>
      <c r="CC33" s="141"/>
      <c r="CD33" s="141"/>
      <c r="CE33" s="141"/>
      <c r="CF33" s="141"/>
      <c r="CG33" s="141"/>
      <c r="CH33" s="141"/>
      <c r="CI33" s="141"/>
      <c r="CJ33" s="141"/>
      <c r="CK33" s="141"/>
      <c r="CL33" s="141"/>
      <c r="CM33" s="141"/>
      <c r="CN33" s="141"/>
      <c r="CO33" s="141"/>
      <c r="CP33" s="141"/>
      <c r="CQ33" s="141"/>
      <c r="CR33" s="141"/>
      <c r="CS33" s="141"/>
      <c r="CT33" s="141"/>
      <c r="CU33" s="141"/>
      <c r="CV33" s="141"/>
      <c r="CW33" s="141"/>
      <c r="CX33" s="141"/>
      <c r="CY33" s="141"/>
      <c r="CZ33" s="141"/>
      <c r="DA33" s="141"/>
      <c r="DB33" s="141"/>
      <c r="DC33" s="141"/>
      <c r="DD33" s="141"/>
      <c r="DE33" s="141"/>
      <c r="DF33" s="141"/>
      <c r="DG33" s="141"/>
      <c r="DH33" s="141"/>
      <c r="DI33" s="141"/>
      <c r="DJ33" s="141"/>
      <c r="DK33" s="141"/>
      <c r="DL33" s="141"/>
      <c r="DM33" s="141"/>
      <c r="DN33" s="141"/>
      <c r="DO33" s="141"/>
      <c r="DP33" s="141"/>
      <c r="DQ33" s="141"/>
      <c r="DR33" s="141"/>
      <c r="DS33" s="141"/>
      <c r="DT33" s="141"/>
      <c r="DU33" s="141"/>
      <c r="DV33" s="141"/>
      <c r="DW33" s="141"/>
      <c r="DX33" s="141"/>
      <c r="DY33" s="141"/>
      <c r="DZ33" s="141"/>
      <c r="EA33" s="141"/>
      <c r="EB33" s="141"/>
      <c r="EC33" s="141"/>
      <c r="ED33" s="141"/>
      <c r="EE33" s="141"/>
      <c r="EF33" s="141"/>
      <c r="EG33" s="141"/>
      <c r="EH33" s="141"/>
      <c r="EI33" s="141"/>
      <c r="EJ33" s="141"/>
      <c r="EK33" s="141"/>
      <c r="EL33" s="141"/>
      <c r="EM33" s="141"/>
      <c r="EN33" s="141"/>
      <c r="EO33" s="141"/>
      <c r="EP33" s="141"/>
      <c r="EQ33" s="150"/>
      <c r="ER33" s="141"/>
      <c r="ES33" s="141"/>
      <c r="ET33" s="141"/>
      <c r="EU33" s="141"/>
      <c r="EV33" s="141"/>
      <c r="EW33" s="142">
        <f>50-50+5</f>
        <v>5</v>
      </c>
      <c r="EX33" s="141"/>
      <c r="EY33" s="141"/>
      <c r="EZ33" s="142">
        <f>40-40</f>
        <v>0</v>
      </c>
      <c r="FA33" s="202">
        <v>30</v>
      </c>
      <c r="FB33" s="141"/>
      <c r="FC33" s="141"/>
      <c r="FD33" s="141"/>
      <c r="FE33" s="141"/>
      <c r="FF33" s="141"/>
      <c r="FG33" s="141"/>
      <c r="FH33" s="141"/>
      <c r="FI33" s="142">
        <f>30-30</f>
        <v>0</v>
      </c>
      <c r="FJ33" s="141"/>
      <c r="FK33" s="141"/>
      <c r="FL33" s="141"/>
      <c r="FM33" s="141"/>
      <c r="FN33" s="141"/>
      <c r="FO33" s="141"/>
      <c r="FP33" s="142">
        <f>20-20</f>
        <v>0</v>
      </c>
      <c r="FQ33" s="142">
        <f>20-20</f>
        <v>0</v>
      </c>
      <c r="FR33" s="141"/>
      <c r="FS33" s="141"/>
      <c r="FT33" s="141"/>
      <c r="FU33" s="141"/>
      <c r="FV33" s="141"/>
      <c r="FW33" s="141"/>
      <c r="FX33" s="141"/>
      <c r="FY33" s="141"/>
      <c r="FZ33" s="141"/>
      <c r="GA33" s="141"/>
      <c r="GB33" s="141"/>
      <c r="GC33" s="141"/>
      <c r="GD33" s="141"/>
      <c r="GE33" s="141"/>
      <c r="GF33" s="141"/>
      <c r="GG33" s="141"/>
      <c r="GH33" s="141"/>
      <c r="GI33" s="141"/>
      <c r="GJ33" s="141"/>
      <c r="GK33" s="141"/>
      <c r="GL33" s="141"/>
      <c r="GM33" s="141"/>
      <c r="GN33" s="141"/>
      <c r="GO33" s="141"/>
      <c r="GP33" s="151"/>
      <c r="GQ33" s="152"/>
      <c r="GR33" s="153" t="s">
        <v>522</v>
      </c>
      <c r="GS33" s="153"/>
      <c r="GT33" s="153"/>
      <c r="GU33" s="144">
        <f t="shared" si="0"/>
        <v>35</v>
      </c>
      <c r="GV33" s="147" t="s">
        <v>563</v>
      </c>
    </row>
    <row r="34" spans="1:204">
      <c r="A34" s="138"/>
      <c r="B34" s="138" t="s">
        <v>517</v>
      </c>
      <c r="C34" s="138" t="s">
        <v>555</v>
      </c>
      <c r="D34" s="138" t="s">
        <v>4</v>
      </c>
      <c r="E34" s="140" t="s">
        <v>568</v>
      </c>
      <c r="F34" s="138" t="s">
        <v>520</v>
      </c>
      <c r="G34" s="138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1"/>
      <c r="BU34" s="141"/>
      <c r="BV34" s="141"/>
      <c r="BW34" s="141"/>
      <c r="BX34" s="141"/>
      <c r="BY34" s="141"/>
      <c r="BZ34" s="141"/>
      <c r="CA34" s="141"/>
      <c r="CB34" s="141"/>
      <c r="CC34" s="141"/>
      <c r="CD34" s="141"/>
      <c r="CE34" s="141"/>
      <c r="CF34" s="141"/>
      <c r="CG34" s="141"/>
      <c r="CH34" s="141"/>
      <c r="CI34" s="141"/>
      <c r="CJ34" s="141"/>
      <c r="CK34" s="141"/>
      <c r="CL34" s="141"/>
      <c r="CM34" s="141"/>
      <c r="CN34" s="141"/>
      <c r="CO34" s="141"/>
      <c r="CP34" s="141"/>
      <c r="CQ34" s="141"/>
      <c r="CR34" s="141"/>
      <c r="CS34" s="141"/>
      <c r="CT34" s="141"/>
      <c r="CU34" s="141"/>
      <c r="CV34" s="141"/>
      <c r="CW34" s="141"/>
      <c r="CX34" s="141"/>
      <c r="CY34" s="141"/>
      <c r="CZ34" s="141"/>
      <c r="DA34" s="141"/>
      <c r="DB34" s="141"/>
      <c r="DC34" s="141"/>
      <c r="DD34" s="141"/>
      <c r="DE34" s="141"/>
      <c r="DF34" s="141"/>
      <c r="DG34" s="141"/>
      <c r="DH34" s="141"/>
      <c r="DI34" s="141"/>
      <c r="DJ34" s="141"/>
      <c r="DK34" s="141"/>
      <c r="DL34" s="141"/>
      <c r="DM34" s="141"/>
      <c r="DN34" s="141"/>
      <c r="DO34" s="141"/>
      <c r="DP34" s="141"/>
      <c r="DQ34" s="141"/>
      <c r="DR34" s="141"/>
      <c r="DS34" s="141"/>
      <c r="DT34" s="141"/>
      <c r="DU34" s="141"/>
      <c r="DV34" s="141"/>
      <c r="DW34" s="141"/>
      <c r="DX34" s="141"/>
      <c r="DY34" s="141"/>
      <c r="DZ34" s="141"/>
      <c r="EA34" s="141"/>
      <c r="EB34" s="141"/>
      <c r="EC34" s="141"/>
      <c r="ED34" s="141"/>
      <c r="EE34" s="141"/>
      <c r="EF34" s="141"/>
      <c r="EG34" s="141"/>
      <c r="EH34" s="141"/>
      <c r="EI34" s="141"/>
      <c r="EJ34" s="141"/>
      <c r="EK34" s="141"/>
      <c r="EL34" s="141"/>
      <c r="EM34" s="141"/>
      <c r="EN34" s="141"/>
      <c r="EO34" s="141"/>
      <c r="EP34" s="141"/>
      <c r="EQ34" s="150"/>
      <c r="ER34" s="141"/>
      <c r="ES34" s="141"/>
      <c r="ET34" s="141"/>
      <c r="EU34" s="141"/>
      <c r="EV34" s="141"/>
      <c r="EW34" s="141"/>
      <c r="EX34" s="141"/>
      <c r="EY34" s="141"/>
      <c r="EZ34" s="141"/>
      <c r="FA34" s="141"/>
      <c r="FB34" s="141"/>
      <c r="FC34" s="141"/>
      <c r="FD34" s="141"/>
      <c r="FE34" s="141"/>
      <c r="FF34" s="141"/>
      <c r="FG34" s="141"/>
      <c r="FH34" s="141"/>
      <c r="FI34" s="141"/>
      <c r="FJ34" s="141"/>
      <c r="FK34" s="202">
        <v>100</v>
      </c>
      <c r="FL34" s="141"/>
      <c r="FM34" s="141"/>
      <c r="FN34" s="141"/>
      <c r="FO34" s="141"/>
      <c r="FP34" s="141"/>
      <c r="FQ34" s="141"/>
      <c r="FR34" s="142">
        <f>100-100</f>
        <v>0</v>
      </c>
      <c r="FS34" s="141"/>
      <c r="FT34" s="141"/>
      <c r="FU34" s="141"/>
      <c r="FV34" s="141"/>
      <c r="FW34" s="141"/>
      <c r="FX34" s="141"/>
      <c r="FY34" s="141"/>
      <c r="FZ34" s="141"/>
      <c r="GA34" s="141"/>
      <c r="GB34" s="141"/>
      <c r="GC34" s="141"/>
      <c r="GD34" s="141"/>
      <c r="GE34" s="141"/>
      <c r="GF34" s="141"/>
      <c r="GG34" s="141"/>
      <c r="GH34" s="141"/>
      <c r="GI34" s="141"/>
      <c r="GJ34" s="141"/>
      <c r="GK34" s="141"/>
      <c r="GL34" s="141"/>
      <c r="GM34" s="141"/>
      <c r="GN34" s="141"/>
      <c r="GO34" s="141"/>
      <c r="GP34" s="151"/>
      <c r="GQ34" s="152"/>
      <c r="GR34" s="153" t="s">
        <v>522</v>
      </c>
      <c r="GS34" s="153"/>
      <c r="GT34" s="153"/>
      <c r="GU34" s="144">
        <f t="shared" si="0"/>
        <v>100</v>
      </c>
      <c r="GV34" s="147" t="s">
        <v>708</v>
      </c>
    </row>
    <row r="35" spans="1:204">
      <c r="A35" s="139" t="s">
        <v>526</v>
      </c>
      <c r="B35" s="139" t="s">
        <v>517</v>
      </c>
      <c r="C35" s="139" t="s">
        <v>555</v>
      </c>
      <c r="D35" s="139" t="s">
        <v>8</v>
      </c>
      <c r="E35" s="140" t="s">
        <v>709</v>
      </c>
      <c r="F35" s="139" t="s">
        <v>520</v>
      </c>
      <c r="G35" s="138" t="s">
        <v>710</v>
      </c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1"/>
      <c r="BN35" s="141"/>
      <c r="BO35" s="141"/>
      <c r="BP35" s="141"/>
      <c r="BQ35" s="141"/>
      <c r="BR35" s="141"/>
      <c r="BS35" s="141"/>
      <c r="BT35" s="141"/>
      <c r="BU35" s="141"/>
      <c r="BV35" s="141"/>
      <c r="BW35" s="141"/>
      <c r="BX35" s="141"/>
      <c r="BY35" s="141"/>
      <c r="BZ35" s="141"/>
      <c r="CA35" s="141"/>
      <c r="CB35" s="141"/>
      <c r="CC35" s="141"/>
      <c r="CD35" s="141"/>
      <c r="CE35" s="141"/>
      <c r="CF35" s="141"/>
      <c r="CG35" s="141"/>
      <c r="CH35" s="141"/>
      <c r="CI35" s="141"/>
      <c r="CJ35" s="141"/>
      <c r="CK35" s="141"/>
      <c r="CL35" s="141"/>
      <c r="CM35" s="141"/>
      <c r="CN35" s="141"/>
      <c r="CO35" s="141"/>
      <c r="CP35" s="141"/>
      <c r="CQ35" s="141"/>
      <c r="CR35" s="141"/>
      <c r="CS35" s="141"/>
      <c r="CT35" s="141"/>
      <c r="CU35" s="141"/>
      <c r="CV35" s="141"/>
      <c r="CW35" s="141"/>
      <c r="CX35" s="141"/>
      <c r="CY35" s="141"/>
      <c r="CZ35" s="141"/>
      <c r="DA35" s="141"/>
      <c r="DB35" s="141"/>
      <c r="DC35" s="141"/>
      <c r="DD35" s="141"/>
      <c r="DE35" s="141"/>
      <c r="DF35" s="141"/>
      <c r="DG35" s="141"/>
      <c r="DH35" s="141"/>
      <c r="DI35" s="141"/>
      <c r="DJ35" s="141"/>
      <c r="DK35" s="141"/>
      <c r="DL35" s="141"/>
      <c r="DM35" s="141"/>
      <c r="DN35" s="141"/>
      <c r="DO35" s="141"/>
      <c r="DP35" s="141"/>
      <c r="DQ35" s="141"/>
      <c r="DR35" s="141"/>
      <c r="DS35" s="141"/>
      <c r="DT35" s="141"/>
      <c r="DU35" s="141"/>
      <c r="DV35" s="141"/>
      <c r="DW35" s="141"/>
      <c r="DX35" s="141"/>
      <c r="DY35" s="141"/>
      <c r="DZ35" s="141"/>
      <c r="EA35" s="141"/>
      <c r="EB35" s="141"/>
      <c r="EC35" s="141"/>
      <c r="ED35" s="141"/>
      <c r="EE35" s="141"/>
      <c r="EF35" s="141"/>
      <c r="EG35" s="141"/>
      <c r="EH35" s="141"/>
      <c r="EI35" s="141"/>
      <c r="EJ35" s="141"/>
      <c r="EK35" s="141"/>
      <c r="EL35" s="141"/>
      <c r="EM35" s="141"/>
      <c r="EN35" s="141"/>
      <c r="EO35" s="141"/>
      <c r="EP35" s="141"/>
      <c r="EQ35" s="150"/>
      <c r="ER35" s="141"/>
      <c r="ES35" s="141"/>
      <c r="ET35" s="141"/>
      <c r="EU35" s="141"/>
      <c r="EV35" s="142">
        <f>50-50</f>
        <v>0</v>
      </c>
      <c r="EW35" s="142">
        <f>50-50+10</f>
        <v>10</v>
      </c>
      <c r="EX35" s="141"/>
      <c r="EY35" s="141"/>
      <c r="EZ35" s="142">
        <f>20-20</f>
        <v>0</v>
      </c>
      <c r="FA35" s="202">
        <v>20</v>
      </c>
      <c r="FB35" s="141"/>
      <c r="FC35" s="141"/>
      <c r="FD35" s="141"/>
      <c r="FE35" s="202">
        <v>5</v>
      </c>
      <c r="FF35" s="141"/>
      <c r="FG35" s="141"/>
      <c r="FH35" s="202">
        <v>4</v>
      </c>
      <c r="FI35" s="141"/>
      <c r="FJ35" s="141"/>
      <c r="FK35" s="141"/>
      <c r="FL35" s="141"/>
      <c r="FM35" s="141"/>
      <c r="FN35" s="141"/>
      <c r="FO35" s="141"/>
      <c r="FP35" s="141"/>
      <c r="FQ35" s="141"/>
      <c r="FR35" s="141"/>
      <c r="FS35" s="141"/>
      <c r="FT35" s="141"/>
      <c r="FU35" s="141"/>
      <c r="FV35" s="141"/>
      <c r="FW35" s="141"/>
      <c r="FX35" s="141"/>
      <c r="FY35" s="141"/>
      <c r="FZ35" s="141"/>
      <c r="GA35" s="141"/>
      <c r="GB35" s="141"/>
      <c r="GC35" s="141"/>
      <c r="GD35" s="141"/>
      <c r="GE35" s="141"/>
      <c r="GF35" s="141"/>
      <c r="GG35" s="141"/>
      <c r="GH35" s="141"/>
      <c r="GI35" s="141"/>
      <c r="GJ35" s="141"/>
      <c r="GK35" s="141"/>
      <c r="GL35" s="141"/>
      <c r="GM35" s="141"/>
      <c r="GN35" s="141"/>
      <c r="GO35" s="141"/>
      <c r="GP35" s="151"/>
      <c r="GQ35" s="152">
        <v>44428</v>
      </c>
      <c r="GR35" s="159" t="s">
        <v>522</v>
      </c>
      <c r="GS35" s="153" t="s">
        <v>711</v>
      </c>
      <c r="GT35" s="153" t="s">
        <v>712</v>
      </c>
      <c r="GU35" s="144">
        <f t="shared" si="0"/>
        <v>39</v>
      </c>
      <c r="GV35" s="147" t="s">
        <v>573</v>
      </c>
    </row>
    <row r="36" spans="1:204">
      <c r="A36" s="139" t="s">
        <v>526</v>
      </c>
      <c r="B36" s="139" t="s">
        <v>517</v>
      </c>
      <c r="C36" s="139" t="s">
        <v>555</v>
      </c>
      <c r="D36" s="139" t="s">
        <v>4</v>
      </c>
      <c r="E36" s="140" t="s">
        <v>709</v>
      </c>
      <c r="F36" s="139" t="s">
        <v>520</v>
      </c>
      <c r="G36" s="138" t="s">
        <v>710</v>
      </c>
      <c r="H36" s="141"/>
      <c r="I36" s="141"/>
      <c r="J36" s="141"/>
      <c r="K36" s="141"/>
      <c r="L36" s="141"/>
      <c r="M36" s="141"/>
      <c r="N36" s="141"/>
      <c r="O36" s="142">
        <f>10-10</f>
        <v>0</v>
      </c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2">
        <f>20-20</f>
        <v>0</v>
      </c>
      <c r="AE36" s="142">
        <f>20-20</f>
        <v>0</v>
      </c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2">
        <f>50-50</f>
        <v>0</v>
      </c>
      <c r="AQ36" s="141"/>
      <c r="AR36" s="141"/>
      <c r="AS36" s="141"/>
      <c r="AT36" s="141"/>
      <c r="AU36" s="141"/>
      <c r="AV36" s="141"/>
      <c r="AW36" s="141"/>
      <c r="AX36" s="141"/>
      <c r="AY36" s="141"/>
      <c r="AZ36" s="142">
        <f>5-5</f>
        <v>0</v>
      </c>
      <c r="BA36" s="142">
        <f>5-5</f>
        <v>0</v>
      </c>
      <c r="BB36" s="142">
        <f>5-5+5</f>
        <v>5</v>
      </c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1"/>
      <c r="BN36" s="141"/>
      <c r="BO36" s="142">
        <f>5-5+2</f>
        <v>2</v>
      </c>
      <c r="BP36" s="142">
        <f>5-5</f>
        <v>0</v>
      </c>
      <c r="BQ36" s="142">
        <f>10-10+10</f>
        <v>10</v>
      </c>
      <c r="BR36" s="141"/>
      <c r="BS36" s="141"/>
      <c r="BT36" s="141"/>
      <c r="BU36" s="141"/>
      <c r="BV36" s="141"/>
      <c r="BW36" s="141"/>
      <c r="BX36" s="141"/>
      <c r="BY36" s="141"/>
      <c r="BZ36" s="141"/>
      <c r="CA36" s="141"/>
      <c r="CB36" s="141"/>
      <c r="CC36" s="141"/>
      <c r="CD36" s="141"/>
      <c r="CE36" s="141"/>
      <c r="CF36" s="141"/>
      <c r="CG36" s="141"/>
      <c r="CH36" s="141"/>
      <c r="CI36" s="141"/>
      <c r="CJ36" s="142">
        <f>10-10+5</f>
        <v>5</v>
      </c>
      <c r="CK36" s="142">
        <f>60-60+2</f>
        <v>2</v>
      </c>
      <c r="CL36" s="141"/>
      <c r="CM36" s="141"/>
      <c r="CN36" s="141"/>
      <c r="CO36" s="141"/>
      <c r="CP36" s="142">
        <f>10-10+5</f>
        <v>5</v>
      </c>
      <c r="CQ36" s="142">
        <f>10-10+2</f>
        <v>2</v>
      </c>
      <c r="CR36" s="142">
        <f>5-5</f>
        <v>0</v>
      </c>
      <c r="CS36" s="141"/>
      <c r="CT36" s="142">
        <f>10-10</f>
        <v>0</v>
      </c>
      <c r="CU36" s="141"/>
      <c r="CV36" s="142">
        <f>10-10+2</f>
        <v>2</v>
      </c>
      <c r="CW36" s="142">
        <f>50-50</f>
        <v>0</v>
      </c>
      <c r="CX36" s="142">
        <f>40-40</f>
        <v>0</v>
      </c>
      <c r="CY36" s="142">
        <f>10-10+1</f>
        <v>1</v>
      </c>
      <c r="CZ36" s="141"/>
      <c r="DA36" s="141"/>
      <c r="DB36" s="141"/>
      <c r="DC36" s="202">
        <v>10</v>
      </c>
      <c r="DD36" s="141"/>
      <c r="DE36" s="142">
        <f>10-10+10</f>
        <v>10</v>
      </c>
      <c r="DF36" s="141"/>
      <c r="DG36" s="202">
        <v>20</v>
      </c>
      <c r="DH36" s="141"/>
      <c r="DI36" s="141"/>
      <c r="DJ36" s="141"/>
      <c r="DK36" s="141"/>
      <c r="DL36" s="141"/>
      <c r="DM36" s="142">
        <f>20-20+20</f>
        <v>20</v>
      </c>
      <c r="DN36" s="142">
        <f>20-20</f>
        <v>0</v>
      </c>
      <c r="DO36" s="141"/>
      <c r="DP36" s="142">
        <f>20-20+5</f>
        <v>5</v>
      </c>
      <c r="DQ36" s="142">
        <f>50-50+10</f>
        <v>10</v>
      </c>
      <c r="DR36" s="142">
        <f>20-20</f>
        <v>0</v>
      </c>
      <c r="DS36" s="142">
        <f>20-20</f>
        <v>0</v>
      </c>
      <c r="DT36" s="142">
        <f>20-20</f>
        <v>0</v>
      </c>
      <c r="DU36" s="142">
        <f>10-10+10</f>
        <v>10</v>
      </c>
      <c r="DV36" s="142">
        <f>10-10</f>
        <v>0</v>
      </c>
      <c r="DW36" s="141"/>
      <c r="DX36" s="141"/>
      <c r="DY36" s="141"/>
      <c r="DZ36" s="141"/>
      <c r="EA36" s="141"/>
      <c r="EB36" s="141"/>
      <c r="EC36" s="141"/>
      <c r="ED36" s="141"/>
      <c r="EE36" s="141"/>
      <c r="EF36" s="141"/>
      <c r="EG36" s="141"/>
      <c r="EH36" s="141"/>
      <c r="EI36" s="141"/>
      <c r="EJ36" s="141"/>
      <c r="EK36" s="141"/>
      <c r="EL36" s="142">
        <f>20-20</f>
        <v>0</v>
      </c>
      <c r="EM36" s="141"/>
      <c r="EN36" s="141"/>
      <c r="EO36" s="142">
        <f>20-20</f>
        <v>0</v>
      </c>
      <c r="EP36" s="141"/>
      <c r="EQ36" s="150"/>
      <c r="ER36" s="141"/>
      <c r="ES36" s="141"/>
      <c r="ET36" s="141"/>
      <c r="EU36" s="141"/>
      <c r="EV36" s="141"/>
      <c r="EW36" s="141"/>
      <c r="EX36" s="141"/>
      <c r="EY36" s="141"/>
      <c r="EZ36" s="141"/>
      <c r="FA36" s="142">
        <f>20-20</f>
        <v>0</v>
      </c>
      <c r="FB36" s="142">
        <f>20-20</f>
        <v>0</v>
      </c>
      <c r="FC36" s="142">
        <f>20-20</f>
        <v>0</v>
      </c>
      <c r="FD36" s="141"/>
      <c r="FE36" s="142">
        <f>20-20</f>
        <v>0</v>
      </c>
      <c r="FF36" s="142">
        <f>20-20</f>
        <v>0</v>
      </c>
      <c r="FG36" s="142">
        <f>20-20+10</f>
        <v>10</v>
      </c>
      <c r="FH36" s="142">
        <f>20-20</f>
        <v>0</v>
      </c>
      <c r="FI36" s="141"/>
      <c r="FJ36" s="141"/>
      <c r="FK36" s="141"/>
      <c r="FL36" s="141"/>
      <c r="FM36" s="141"/>
      <c r="FN36" s="141"/>
      <c r="FO36" s="141"/>
      <c r="FP36" s="141"/>
      <c r="FQ36" s="141"/>
      <c r="FR36" s="142">
        <f>20-20</f>
        <v>0</v>
      </c>
      <c r="FS36" s="141"/>
      <c r="FT36" s="141"/>
      <c r="FU36" s="141"/>
      <c r="FV36" s="141"/>
      <c r="FW36" s="141"/>
      <c r="FX36" s="141"/>
      <c r="FY36" s="141"/>
      <c r="FZ36" s="141"/>
      <c r="GA36" s="141"/>
      <c r="GB36" s="141"/>
      <c r="GC36" s="141"/>
      <c r="GD36" s="141"/>
      <c r="GE36" s="141"/>
      <c r="GF36" s="141"/>
      <c r="GG36" s="141"/>
      <c r="GH36" s="141"/>
      <c r="GI36" s="141"/>
      <c r="GJ36" s="141"/>
      <c r="GK36" s="141"/>
      <c r="GL36" s="141"/>
      <c r="GM36" s="141"/>
      <c r="GN36" s="141"/>
      <c r="GO36" s="141"/>
      <c r="GP36" s="151"/>
      <c r="GQ36" s="152">
        <v>44428</v>
      </c>
      <c r="GR36" s="159" t="s">
        <v>522</v>
      </c>
      <c r="GS36" s="153" t="s">
        <v>711</v>
      </c>
      <c r="GT36" s="153" t="s">
        <v>712</v>
      </c>
      <c r="GU36" s="144">
        <f t="shared" si="0"/>
        <v>129</v>
      </c>
      <c r="GV36" s="147" t="s">
        <v>573</v>
      </c>
    </row>
    <row r="37" spans="1:204">
      <c r="A37" s="139" t="s">
        <v>526</v>
      </c>
      <c r="B37" s="139" t="s">
        <v>517</v>
      </c>
      <c r="C37" s="139" t="s">
        <v>555</v>
      </c>
      <c r="D37" s="138" t="s">
        <v>3</v>
      </c>
      <c r="E37" s="140" t="s">
        <v>709</v>
      </c>
      <c r="F37" s="139" t="s">
        <v>520</v>
      </c>
      <c r="G37" s="138" t="s">
        <v>713</v>
      </c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1"/>
      <c r="BN37" s="141"/>
      <c r="BO37" s="141"/>
      <c r="BP37" s="141"/>
      <c r="BQ37" s="141"/>
      <c r="BR37" s="141"/>
      <c r="BS37" s="141"/>
      <c r="BT37" s="141"/>
      <c r="BU37" s="141"/>
      <c r="BV37" s="141"/>
      <c r="BW37" s="141"/>
      <c r="BX37" s="141"/>
      <c r="BY37" s="141"/>
      <c r="BZ37" s="141"/>
      <c r="CA37" s="141"/>
      <c r="CB37" s="141"/>
      <c r="CC37" s="141"/>
      <c r="CD37" s="141"/>
      <c r="CE37" s="141"/>
      <c r="CF37" s="141"/>
      <c r="CG37" s="141"/>
      <c r="CH37" s="141"/>
      <c r="CI37" s="141"/>
      <c r="CJ37" s="141"/>
      <c r="CK37" s="141"/>
      <c r="CL37" s="141"/>
      <c r="CM37" s="141"/>
      <c r="CN37" s="141"/>
      <c r="CO37" s="141"/>
      <c r="CP37" s="141"/>
      <c r="CQ37" s="141"/>
      <c r="CR37" s="141"/>
      <c r="CS37" s="141"/>
      <c r="CT37" s="141"/>
      <c r="CU37" s="141"/>
      <c r="CV37" s="141"/>
      <c r="CW37" s="141"/>
      <c r="CX37" s="141"/>
      <c r="CY37" s="141"/>
      <c r="CZ37" s="141"/>
      <c r="DA37" s="141"/>
      <c r="DB37" s="141"/>
      <c r="DC37" s="142">
        <f>10-10</f>
        <v>0</v>
      </c>
      <c r="DD37" s="142">
        <f>10-10</f>
        <v>0</v>
      </c>
      <c r="DE37" s="141"/>
      <c r="DF37" s="141"/>
      <c r="DG37" s="142">
        <f>20-20</f>
        <v>0</v>
      </c>
      <c r="DH37" s="141"/>
      <c r="DI37" s="141"/>
      <c r="DJ37" s="141"/>
      <c r="DK37" s="141"/>
      <c r="DL37" s="141"/>
      <c r="DM37" s="141"/>
      <c r="DN37" s="141"/>
      <c r="DO37" s="141"/>
      <c r="DP37" s="141"/>
      <c r="DQ37" s="141"/>
      <c r="DR37" s="141"/>
      <c r="DS37" s="141"/>
      <c r="DT37" s="141"/>
      <c r="DU37" s="141"/>
      <c r="DV37" s="141"/>
      <c r="DW37" s="141"/>
      <c r="DX37" s="141"/>
      <c r="DY37" s="141"/>
      <c r="DZ37" s="141"/>
      <c r="EA37" s="141"/>
      <c r="EB37" s="141"/>
      <c r="EC37" s="141"/>
      <c r="ED37" s="141"/>
      <c r="EE37" s="141"/>
      <c r="EF37" s="141"/>
      <c r="EG37" s="141"/>
      <c r="EH37" s="141"/>
      <c r="EI37" s="141"/>
      <c r="EJ37" s="141"/>
      <c r="EK37" s="141"/>
      <c r="EL37" s="141"/>
      <c r="EM37" s="141"/>
      <c r="EN37" s="141"/>
      <c r="EO37" s="141"/>
      <c r="EP37" s="141"/>
      <c r="EQ37" s="150"/>
      <c r="ER37" s="141"/>
      <c r="ES37" s="141"/>
      <c r="ET37" s="141"/>
      <c r="EU37" s="141"/>
      <c r="EV37" s="141"/>
      <c r="EW37" s="141"/>
      <c r="EX37" s="141"/>
      <c r="EY37" s="141"/>
      <c r="EZ37" s="141"/>
      <c r="FA37" s="141"/>
      <c r="FB37" s="141"/>
      <c r="FC37" s="141"/>
      <c r="FD37" s="141"/>
      <c r="FE37" s="141"/>
      <c r="FF37" s="141"/>
      <c r="FG37" s="141"/>
      <c r="FH37" s="141"/>
      <c r="FI37" s="141"/>
      <c r="FJ37" s="141"/>
      <c r="FK37" s="141"/>
      <c r="FL37" s="141"/>
      <c r="FM37" s="141"/>
      <c r="FN37" s="141"/>
      <c r="FO37" s="141"/>
      <c r="FP37" s="141"/>
      <c r="FQ37" s="141"/>
      <c r="FR37" s="141"/>
      <c r="FS37" s="141"/>
      <c r="FT37" s="141"/>
      <c r="FU37" s="141"/>
      <c r="FV37" s="141"/>
      <c r="FW37" s="141"/>
      <c r="FX37" s="141"/>
      <c r="FY37" s="141"/>
      <c r="FZ37" s="141"/>
      <c r="GA37" s="141"/>
      <c r="GB37" s="141"/>
      <c r="GC37" s="141"/>
      <c r="GD37" s="141"/>
      <c r="GE37" s="141"/>
      <c r="GF37" s="141"/>
      <c r="GG37" s="141"/>
      <c r="GH37" s="141"/>
      <c r="GI37" s="141"/>
      <c r="GJ37" s="141"/>
      <c r="GK37" s="141"/>
      <c r="GL37" s="141"/>
      <c r="GM37" s="141"/>
      <c r="GN37" s="141"/>
      <c r="GO37" s="141"/>
      <c r="GP37" s="151"/>
      <c r="GQ37" s="152">
        <v>44428</v>
      </c>
      <c r="GR37" s="159" t="s">
        <v>522</v>
      </c>
      <c r="GS37" s="153" t="s">
        <v>711</v>
      </c>
      <c r="GT37" s="153" t="s">
        <v>712</v>
      </c>
      <c r="GU37" s="144">
        <f t="shared" si="0"/>
        <v>0</v>
      </c>
      <c r="GV37" s="147" t="s">
        <v>573</v>
      </c>
    </row>
    <row r="38" spans="1:204">
      <c r="A38" s="139" t="s">
        <v>526</v>
      </c>
      <c r="B38" s="139" t="s">
        <v>517</v>
      </c>
      <c r="C38" s="139" t="s">
        <v>555</v>
      </c>
      <c r="D38" s="139" t="s">
        <v>8</v>
      </c>
      <c r="E38" s="160" t="s">
        <v>578</v>
      </c>
      <c r="F38" s="139" t="s">
        <v>520</v>
      </c>
      <c r="G38" s="139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0"/>
      <c r="CT38" s="150"/>
      <c r="CU38" s="150"/>
      <c r="CV38" s="150"/>
      <c r="CW38" s="150"/>
      <c r="CX38" s="150"/>
      <c r="CY38" s="150"/>
      <c r="CZ38" s="150"/>
      <c r="DA38" s="150"/>
      <c r="DB38" s="150"/>
      <c r="DC38" s="150"/>
      <c r="DD38" s="150"/>
      <c r="DE38" s="150"/>
      <c r="DF38" s="150"/>
      <c r="DG38" s="150"/>
      <c r="DH38" s="150"/>
      <c r="DI38" s="150"/>
      <c r="DJ38" s="150"/>
      <c r="DK38" s="150"/>
      <c r="DL38" s="150"/>
      <c r="DM38" s="150"/>
      <c r="DN38" s="150"/>
      <c r="DO38" s="150"/>
      <c r="DP38" s="150"/>
      <c r="DQ38" s="150"/>
      <c r="DR38" s="150"/>
      <c r="DS38" s="150"/>
      <c r="DT38" s="150"/>
      <c r="DU38" s="150"/>
      <c r="DV38" s="150"/>
      <c r="DW38" s="150"/>
      <c r="DX38" s="150"/>
      <c r="DY38" s="150"/>
      <c r="DZ38" s="150"/>
      <c r="EA38" s="142">
        <f>200-200</f>
        <v>0</v>
      </c>
      <c r="EB38" s="150"/>
      <c r="EC38" s="150"/>
      <c r="ED38" s="150"/>
      <c r="EE38" s="142">
        <f>880-880</f>
        <v>0</v>
      </c>
      <c r="EF38" s="150"/>
      <c r="EG38" s="150"/>
      <c r="EH38" s="150"/>
      <c r="EI38" s="142">
        <f>1917-1917</f>
        <v>0</v>
      </c>
      <c r="EJ38" s="150"/>
      <c r="EK38" s="150"/>
      <c r="EL38" s="150"/>
      <c r="EM38" s="150"/>
      <c r="EN38" s="150"/>
      <c r="EO38" s="150"/>
      <c r="EP38" s="150"/>
      <c r="EQ38" s="150"/>
      <c r="ER38" s="150"/>
      <c r="ES38" s="150"/>
      <c r="ET38" s="142">
        <f>2000-2000</f>
        <v>0</v>
      </c>
      <c r="EU38" s="150"/>
      <c r="EV38" s="142">
        <f>1820-1820</f>
        <v>0</v>
      </c>
      <c r="EW38" s="142">
        <f>1850-1850+80</f>
        <v>80</v>
      </c>
      <c r="EX38" s="150"/>
      <c r="EY38" s="150"/>
      <c r="EZ38" s="142">
        <f>1570-1570</f>
        <v>0</v>
      </c>
      <c r="FA38" s="202">
        <v>200</v>
      </c>
      <c r="FB38" s="150"/>
      <c r="FC38" s="150"/>
      <c r="FD38" s="150"/>
      <c r="FE38" s="150"/>
      <c r="FF38" s="150"/>
      <c r="FG38" s="150"/>
      <c r="FH38" s="150"/>
      <c r="FI38" s="150"/>
      <c r="FJ38" s="150"/>
      <c r="FK38" s="150"/>
      <c r="FL38" s="150"/>
      <c r="FM38" s="150"/>
      <c r="FN38" s="142">
        <f>1997-1997</f>
        <v>0</v>
      </c>
      <c r="FO38" s="150"/>
      <c r="FP38" s="142">
        <f>1960-1960</f>
        <v>0</v>
      </c>
      <c r="FQ38" s="142">
        <f>2000-2000</f>
        <v>0</v>
      </c>
      <c r="FR38" s="150"/>
      <c r="FS38" s="150"/>
      <c r="FT38" s="150"/>
      <c r="FU38" s="150"/>
      <c r="FV38" s="150"/>
      <c r="FW38" s="150"/>
      <c r="FX38" s="150"/>
      <c r="FY38" s="150"/>
      <c r="FZ38" s="150"/>
      <c r="GA38" s="150"/>
      <c r="GB38" s="150"/>
      <c r="GC38" s="150"/>
      <c r="GD38" s="150"/>
      <c r="GE38" s="150"/>
      <c r="GF38" s="150"/>
      <c r="GG38" s="150"/>
      <c r="GH38" s="150"/>
      <c r="GI38" s="150"/>
      <c r="GJ38" s="150"/>
      <c r="GK38" s="150"/>
      <c r="GL38" s="150"/>
      <c r="GM38" s="150"/>
      <c r="GN38" s="150"/>
      <c r="GO38" s="150"/>
      <c r="GP38" s="161"/>
      <c r="GQ38" s="152">
        <v>44428</v>
      </c>
      <c r="GR38" s="158" t="s">
        <v>522</v>
      </c>
      <c r="GS38" s="159"/>
      <c r="GT38" s="159" t="s">
        <v>579</v>
      </c>
      <c r="GU38" s="144">
        <f t="shared" si="0"/>
        <v>280</v>
      </c>
      <c r="GV38" s="145" t="s">
        <v>580</v>
      </c>
    </row>
    <row r="39" spans="1:204">
      <c r="A39" s="139" t="s">
        <v>526</v>
      </c>
      <c r="B39" s="139" t="s">
        <v>517</v>
      </c>
      <c r="C39" s="139" t="s">
        <v>555</v>
      </c>
      <c r="D39" s="139" t="s">
        <v>4</v>
      </c>
      <c r="E39" s="160" t="s">
        <v>578</v>
      </c>
      <c r="F39" s="139" t="s">
        <v>520</v>
      </c>
      <c r="G39" s="139"/>
      <c r="H39" s="150"/>
      <c r="I39" s="150"/>
      <c r="J39" s="142">
        <f>10-10</f>
        <v>0</v>
      </c>
      <c r="K39" s="142">
        <f>30-30</f>
        <v>0</v>
      </c>
      <c r="L39" s="150"/>
      <c r="M39" s="142">
        <f>295-295</f>
        <v>0</v>
      </c>
      <c r="N39" s="142">
        <f>285-285</f>
        <v>0</v>
      </c>
      <c r="O39" s="142">
        <f>263-263</f>
        <v>0</v>
      </c>
      <c r="P39" s="150"/>
      <c r="Q39" s="150"/>
      <c r="R39" s="142">
        <f>274-274</f>
        <v>0</v>
      </c>
      <c r="S39" s="142">
        <f>260-260</f>
        <v>0</v>
      </c>
      <c r="T39" s="202">
        <v>5</v>
      </c>
      <c r="U39" s="150"/>
      <c r="V39" s="142">
        <f>895-895</f>
        <v>0</v>
      </c>
      <c r="W39" s="142">
        <f>760-760+250</f>
        <v>250</v>
      </c>
      <c r="X39" s="150"/>
      <c r="Y39" s="142">
        <f>965-965</f>
        <v>0</v>
      </c>
      <c r="Z39" s="202">
        <v>20</v>
      </c>
      <c r="AA39" s="142">
        <f>1950-1950</f>
        <v>0</v>
      </c>
      <c r="AB39" s="142">
        <f>1915-1915+30</f>
        <v>30</v>
      </c>
      <c r="AC39" s="150"/>
      <c r="AD39" s="150"/>
      <c r="AE39" s="150"/>
      <c r="AF39" s="150"/>
      <c r="AG39" s="150"/>
      <c r="AH39" s="150"/>
      <c r="AI39" s="142">
        <f>400-400</f>
        <v>0</v>
      </c>
      <c r="AJ39" s="142">
        <f>500-500</f>
        <v>0</v>
      </c>
      <c r="AK39" s="150"/>
      <c r="AL39" s="150"/>
      <c r="AM39" s="150"/>
      <c r="AN39" s="150"/>
      <c r="AO39" s="150"/>
      <c r="AP39" s="142">
        <f>1500-1500</f>
        <v>0</v>
      </c>
      <c r="AQ39" s="142">
        <f>1500-1500</f>
        <v>0</v>
      </c>
      <c r="AR39" s="150"/>
      <c r="AS39" s="150"/>
      <c r="AT39" s="150"/>
      <c r="AU39" s="150"/>
      <c r="AV39" s="150"/>
      <c r="AW39" s="142">
        <f>10-10+8</f>
        <v>8</v>
      </c>
      <c r="AX39" s="142">
        <f>4-4+5</f>
        <v>5</v>
      </c>
      <c r="AY39" s="150"/>
      <c r="AZ39" s="142">
        <f>25-25</f>
        <v>0</v>
      </c>
      <c r="BA39" s="142">
        <f>25-25</f>
        <v>0</v>
      </c>
      <c r="BB39" s="202">
        <v>30</v>
      </c>
      <c r="BC39" s="150"/>
      <c r="BD39" s="142">
        <f>18-18</f>
        <v>0</v>
      </c>
      <c r="BE39" s="142">
        <f>25-25</f>
        <v>0</v>
      </c>
      <c r="BF39" s="150"/>
      <c r="BG39" s="150"/>
      <c r="BH39" s="150"/>
      <c r="BI39" s="150"/>
      <c r="BJ39" s="150"/>
      <c r="BK39" s="150"/>
      <c r="BL39" s="150"/>
      <c r="BM39" s="142">
        <f>42-42</f>
        <v>0</v>
      </c>
      <c r="BN39" s="150"/>
      <c r="BO39" s="142">
        <f>155-155</f>
        <v>0</v>
      </c>
      <c r="BP39" s="142">
        <f>160-160</f>
        <v>0</v>
      </c>
      <c r="BQ39" s="202">
        <v>20</v>
      </c>
      <c r="BR39" s="142">
        <f>110-110+40</f>
        <v>40</v>
      </c>
      <c r="BS39" s="142">
        <f>200-200</f>
        <v>0</v>
      </c>
      <c r="BT39" s="142">
        <f>30-30+30</f>
        <v>30</v>
      </c>
      <c r="BU39" s="150"/>
      <c r="BV39" s="150"/>
      <c r="BW39" s="150"/>
      <c r="BX39" s="150"/>
      <c r="BY39" s="150"/>
      <c r="BZ39" s="150"/>
      <c r="CA39" s="142">
        <f>84-84+4</f>
        <v>4</v>
      </c>
      <c r="CB39" s="142">
        <f>84-84</f>
        <v>0</v>
      </c>
      <c r="CC39" s="142">
        <f>80-80+10</f>
        <v>10</v>
      </c>
      <c r="CD39" s="142">
        <f>80-80</f>
        <v>0</v>
      </c>
      <c r="CE39" s="142">
        <f>30-30+10</f>
        <v>10</v>
      </c>
      <c r="CF39" s="142">
        <f>30-30</f>
        <v>0</v>
      </c>
      <c r="CG39" s="142">
        <f>100-100</f>
        <v>0</v>
      </c>
      <c r="CH39" s="142">
        <f>100-100</f>
        <v>0</v>
      </c>
      <c r="CI39" s="150"/>
      <c r="CJ39" s="202">
        <v>20</v>
      </c>
      <c r="CK39" s="142">
        <f>75-75+2</f>
        <v>2</v>
      </c>
      <c r="CL39" s="142">
        <f>140-140</f>
        <v>0</v>
      </c>
      <c r="CM39" s="142">
        <f>150-150</f>
        <v>0</v>
      </c>
      <c r="CN39" s="142">
        <f>150-150</f>
        <v>0</v>
      </c>
      <c r="CO39" s="150"/>
      <c r="CP39" s="142">
        <f>380-380+10</f>
        <v>10</v>
      </c>
      <c r="CQ39" s="142">
        <f>420-420+10</f>
        <v>10</v>
      </c>
      <c r="CR39" s="142">
        <f>467-467</f>
        <v>0</v>
      </c>
      <c r="CS39" s="142">
        <f>500-500</f>
        <v>0</v>
      </c>
      <c r="CT39" s="142">
        <f>327-327</f>
        <v>0</v>
      </c>
      <c r="CU39" s="142">
        <f>483-483+10</f>
        <v>10</v>
      </c>
      <c r="CV39" s="142">
        <f>445-445+20</f>
        <v>20</v>
      </c>
      <c r="CW39" s="142">
        <f>885-885</f>
        <v>0</v>
      </c>
      <c r="CX39" s="142">
        <f>935-935</f>
        <v>0</v>
      </c>
      <c r="CY39" s="142">
        <f>991-991+10</f>
        <v>10</v>
      </c>
      <c r="CZ39" s="150"/>
      <c r="DA39" s="142">
        <f>1975-1975</f>
        <v>0</v>
      </c>
      <c r="DB39" s="142">
        <f>1575-1575+170</f>
        <v>170</v>
      </c>
      <c r="DC39" s="202">
        <v>210</v>
      </c>
      <c r="DD39" s="150"/>
      <c r="DE39" s="142">
        <f>1276-1276+200</f>
        <v>200</v>
      </c>
      <c r="DF39" s="142">
        <f>1790-1790+50</f>
        <v>50</v>
      </c>
      <c r="DG39" s="202">
        <v>200</v>
      </c>
      <c r="DH39" s="150"/>
      <c r="DI39" s="142">
        <f>2000-2000</f>
        <v>0</v>
      </c>
      <c r="DJ39" s="142">
        <f>2000-2000</f>
        <v>0</v>
      </c>
      <c r="DK39" s="150"/>
      <c r="DL39" s="150"/>
      <c r="DM39" s="142">
        <f>1882-1882+400</f>
        <v>400</v>
      </c>
      <c r="DN39" s="142">
        <f>1882-1882</f>
        <v>0</v>
      </c>
      <c r="DO39" s="150"/>
      <c r="DP39" s="142">
        <f>1670-1670+30</f>
        <v>30</v>
      </c>
      <c r="DQ39" s="142">
        <f>820-820+120</f>
        <v>120</v>
      </c>
      <c r="DR39" s="142">
        <f>1720-1720</f>
        <v>0</v>
      </c>
      <c r="DS39" s="142">
        <f>1400-1400+40</f>
        <v>40</v>
      </c>
      <c r="DT39" s="142">
        <f>1400-1400</f>
        <v>0</v>
      </c>
      <c r="DU39" s="142">
        <f>1933-1933+200</f>
        <v>200</v>
      </c>
      <c r="DV39" s="142">
        <f>1933-1933</f>
        <v>0</v>
      </c>
      <c r="DW39" s="150"/>
      <c r="DX39" s="150"/>
      <c r="DY39" s="150"/>
      <c r="DZ39" s="150"/>
      <c r="EA39" s="150"/>
      <c r="EB39" s="142">
        <f>200-200</f>
        <v>0</v>
      </c>
      <c r="EC39" s="142">
        <f>91-91</f>
        <v>0</v>
      </c>
      <c r="ED39" s="142">
        <f>91-91</f>
        <v>0</v>
      </c>
      <c r="EE39" s="150"/>
      <c r="EF39" s="150"/>
      <c r="EG39" s="150"/>
      <c r="EH39" s="150"/>
      <c r="EI39" s="150"/>
      <c r="EJ39" s="150"/>
      <c r="EK39" s="150"/>
      <c r="EL39" s="142">
        <f>1840-1840</f>
        <v>0</v>
      </c>
      <c r="EM39" s="142">
        <f>1980-1980</f>
        <v>0</v>
      </c>
      <c r="EN39" s="142">
        <f>1960-1960</f>
        <v>0</v>
      </c>
      <c r="EO39" s="142">
        <f>1800-1800</f>
        <v>0</v>
      </c>
      <c r="EP39" s="150"/>
      <c r="EQ39" s="150"/>
      <c r="ER39" s="142">
        <f>1868-1868</f>
        <v>0</v>
      </c>
      <c r="ES39" s="142">
        <f>840-840</f>
        <v>0</v>
      </c>
      <c r="ET39" s="150"/>
      <c r="EU39" s="142">
        <f>1957-1957</f>
        <v>0</v>
      </c>
      <c r="EV39" s="150"/>
      <c r="EW39" s="150"/>
      <c r="EX39" s="142">
        <f>2000-2000</f>
        <v>0</v>
      </c>
      <c r="EY39" s="150"/>
      <c r="EZ39" s="150"/>
      <c r="FA39" s="142">
        <f>400-400</f>
        <v>0</v>
      </c>
      <c r="FB39" s="142">
        <f>400-400</f>
        <v>0</v>
      </c>
      <c r="FC39" s="142">
        <f>1740-1740</f>
        <v>0</v>
      </c>
      <c r="FD39" s="150"/>
      <c r="FE39" s="142">
        <f>1910-1910</f>
        <v>0</v>
      </c>
      <c r="FF39" s="142">
        <f>1990-1990</f>
        <v>0</v>
      </c>
      <c r="FG39" s="142">
        <f>1937-1937+40</f>
        <v>40</v>
      </c>
      <c r="FH39" s="142">
        <f>1937-1937</f>
        <v>0</v>
      </c>
      <c r="FI39" s="150"/>
      <c r="FJ39" s="142">
        <f>1940-1940</f>
        <v>0</v>
      </c>
      <c r="FK39" s="142">
        <f>1960-1960+40</f>
        <v>40</v>
      </c>
      <c r="FL39" s="142">
        <f>1930-1930</f>
        <v>0</v>
      </c>
      <c r="FM39" s="142">
        <f>1997-1997</f>
        <v>0</v>
      </c>
      <c r="FN39" s="150"/>
      <c r="FO39" s="142">
        <f>1978-1978</f>
        <v>0</v>
      </c>
      <c r="FP39" s="150"/>
      <c r="FQ39" s="202">
        <v>100</v>
      </c>
      <c r="FR39" s="142">
        <f>2000-2000</f>
        <v>0</v>
      </c>
      <c r="FS39" s="150"/>
      <c r="FT39" s="150"/>
      <c r="FU39" s="150"/>
      <c r="FV39" s="150"/>
      <c r="FW39" s="150"/>
      <c r="FX39" s="150"/>
      <c r="FY39" s="150"/>
      <c r="FZ39" s="150"/>
      <c r="GA39" s="150"/>
      <c r="GB39" s="150"/>
      <c r="GC39" s="150"/>
      <c r="GD39" s="150"/>
      <c r="GE39" s="150"/>
      <c r="GF39" s="150"/>
      <c r="GG39" s="150"/>
      <c r="GH39" s="150"/>
      <c r="GI39" s="150"/>
      <c r="GJ39" s="150"/>
      <c r="GK39" s="150"/>
      <c r="GL39" s="150"/>
      <c r="GM39" s="150"/>
      <c r="GN39" s="150"/>
      <c r="GO39" s="150"/>
      <c r="GP39" s="161"/>
      <c r="GQ39" s="152">
        <v>44428</v>
      </c>
      <c r="GR39" s="158" t="s">
        <v>522</v>
      </c>
      <c r="GS39" s="159"/>
      <c r="GT39" s="159" t="s">
        <v>579</v>
      </c>
      <c r="GU39" s="144">
        <f t="shared" ref="GU39:GU71" si="1">SUM(H39:GO39)</f>
        <v>2344</v>
      </c>
      <c r="GV39" s="145" t="s">
        <v>580</v>
      </c>
    </row>
    <row r="40" spans="1:204" ht="10.5">
      <c r="A40" s="139" t="s">
        <v>526</v>
      </c>
      <c r="B40" s="139" t="s">
        <v>517</v>
      </c>
      <c r="C40" s="139" t="s">
        <v>555</v>
      </c>
      <c r="D40" s="139" t="s">
        <v>3</v>
      </c>
      <c r="E40" s="160" t="s">
        <v>578</v>
      </c>
      <c r="F40" s="139" t="s">
        <v>520</v>
      </c>
      <c r="G40" s="139"/>
      <c r="H40" s="142">
        <f>30-30</f>
        <v>0</v>
      </c>
      <c r="I40" s="150"/>
      <c r="J40" s="150"/>
      <c r="K40" s="150"/>
      <c r="L40" s="142">
        <f>300-300</f>
        <v>0</v>
      </c>
      <c r="M40" s="150"/>
      <c r="N40" s="150"/>
      <c r="O40" s="150"/>
      <c r="P40" s="150"/>
      <c r="Q40" s="142">
        <f>300-300</f>
        <v>0</v>
      </c>
      <c r="R40" s="150"/>
      <c r="S40" s="150"/>
      <c r="T40" s="150"/>
      <c r="U40" s="142">
        <f>1000-1000</f>
        <v>0</v>
      </c>
      <c r="V40" s="202">
        <v>4</v>
      </c>
      <c r="W40" s="150"/>
      <c r="X40" s="150"/>
      <c r="Y40" s="150"/>
      <c r="Z40" s="142">
        <f>1900-1900</f>
        <v>0</v>
      </c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  <c r="CE40" s="150"/>
      <c r="CF40" s="150"/>
      <c r="CG40" s="150"/>
      <c r="CH40" s="150"/>
      <c r="CI40" s="150"/>
      <c r="CJ40" s="150"/>
      <c r="CK40" s="150"/>
      <c r="CL40" s="150"/>
      <c r="CM40" s="150"/>
      <c r="CN40" s="150"/>
      <c r="CO40" s="150"/>
      <c r="CP40" s="150"/>
      <c r="CQ40" s="150"/>
      <c r="CR40" s="150"/>
      <c r="CS40" s="150"/>
      <c r="CT40" s="150"/>
      <c r="CU40" s="150"/>
      <c r="CV40" s="150"/>
      <c r="CW40" s="150"/>
      <c r="CX40" s="150"/>
      <c r="CY40" s="150"/>
      <c r="CZ40" s="150"/>
      <c r="DA40" s="150"/>
      <c r="DB40" s="150"/>
      <c r="DC40" s="142">
        <f>1600-1600</f>
        <v>0</v>
      </c>
      <c r="DD40" s="142">
        <f>1600-1600</f>
        <v>0</v>
      </c>
      <c r="DE40" s="150"/>
      <c r="DF40" s="150"/>
      <c r="DG40" s="142">
        <f>670-670</f>
        <v>0</v>
      </c>
      <c r="DH40" s="150"/>
      <c r="DI40" s="150"/>
      <c r="DJ40" s="150"/>
      <c r="DK40" s="150"/>
      <c r="DL40" s="150"/>
      <c r="DM40" s="150"/>
      <c r="DN40" s="150"/>
      <c r="DO40" s="150"/>
      <c r="DP40" s="150"/>
      <c r="DQ40" s="150"/>
      <c r="DR40" s="203">
        <v>50</v>
      </c>
      <c r="DS40" s="150"/>
      <c r="DT40" s="150"/>
      <c r="DU40" s="150"/>
      <c r="DV40" s="150"/>
      <c r="DW40" s="150"/>
      <c r="DX40" s="150"/>
      <c r="DY40" s="150"/>
      <c r="DZ40" s="150"/>
      <c r="EA40" s="150"/>
      <c r="EB40" s="150"/>
      <c r="EC40" s="150"/>
      <c r="ED40" s="150"/>
      <c r="EE40" s="150"/>
      <c r="EF40" s="150"/>
      <c r="EG40" s="150"/>
      <c r="EH40" s="150"/>
      <c r="EI40" s="150"/>
      <c r="EJ40" s="150"/>
      <c r="EK40" s="150"/>
      <c r="EL40" s="150"/>
      <c r="EM40" s="150"/>
      <c r="EN40" s="150"/>
      <c r="EO40" s="150"/>
      <c r="EP40" s="150"/>
      <c r="EQ40" s="150"/>
      <c r="ER40" s="150"/>
      <c r="ES40" s="150"/>
      <c r="ET40" s="150"/>
      <c r="EU40" s="150"/>
      <c r="EV40" s="150"/>
      <c r="EW40" s="150"/>
      <c r="EX40" s="150"/>
      <c r="EY40" s="150"/>
      <c r="EZ40" s="150"/>
      <c r="FA40" s="150"/>
      <c r="FB40" s="150"/>
      <c r="FC40" s="150"/>
      <c r="FD40" s="150"/>
      <c r="FE40" s="150"/>
      <c r="FF40" s="150"/>
      <c r="FG40" s="150"/>
      <c r="FH40" s="150"/>
      <c r="FI40" s="150"/>
      <c r="FJ40" s="150"/>
      <c r="FK40" s="150"/>
      <c r="FL40" s="150"/>
      <c r="FM40" s="150"/>
      <c r="FN40" s="150"/>
      <c r="FO40" s="150"/>
      <c r="FP40" s="150"/>
      <c r="FQ40" s="150"/>
      <c r="FR40" s="150"/>
      <c r="FS40" s="150"/>
      <c r="FT40" s="150"/>
      <c r="FU40" s="150"/>
      <c r="FV40" s="150"/>
      <c r="FW40" s="150"/>
      <c r="FX40" s="150"/>
      <c r="FY40" s="150"/>
      <c r="FZ40" s="150"/>
      <c r="GA40" s="150"/>
      <c r="GB40" s="150"/>
      <c r="GC40" s="150"/>
      <c r="GD40" s="150"/>
      <c r="GE40" s="150"/>
      <c r="GF40" s="150"/>
      <c r="GG40" s="150"/>
      <c r="GH40" s="150"/>
      <c r="GI40" s="150"/>
      <c r="GJ40" s="150"/>
      <c r="GK40" s="150"/>
      <c r="GL40" s="150"/>
      <c r="GM40" s="150"/>
      <c r="GN40" s="150"/>
      <c r="GO40" s="150"/>
      <c r="GP40" s="161"/>
      <c r="GQ40" s="152">
        <v>44428</v>
      </c>
      <c r="GR40" s="158" t="s">
        <v>522</v>
      </c>
      <c r="GS40" s="159"/>
      <c r="GT40" s="159" t="s">
        <v>579</v>
      </c>
      <c r="GU40" s="144">
        <f t="shared" si="1"/>
        <v>54</v>
      </c>
      <c r="GV40" s="145" t="s">
        <v>580</v>
      </c>
    </row>
    <row r="41" spans="1:204">
      <c r="A41" s="138" t="s">
        <v>517</v>
      </c>
      <c r="B41" s="138" t="s">
        <v>517</v>
      </c>
      <c r="C41" s="138" t="s">
        <v>555</v>
      </c>
      <c r="D41" s="138" t="s">
        <v>8</v>
      </c>
      <c r="E41" s="140" t="s">
        <v>582</v>
      </c>
      <c r="F41" s="138" t="s">
        <v>520</v>
      </c>
      <c r="G41" s="138" t="s">
        <v>714</v>
      </c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1"/>
      <c r="BU41" s="141"/>
      <c r="BV41" s="141"/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1"/>
      <c r="CR41" s="141"/>
      <c r="CS41" s="141"/>
      <c r="CT41" s="141"/>
      <c r="CU41" s="141"/>
      <c r="CV41" s="141"/>
      <c r="CW41" s="141"/>
      <c r="CX41" s="141"/>
      <c r="CY41" s="141"/>
      <c r="CZ41" s="141"/>
      <c r="DA41" s="141"/>
      <c r="DB41" s="141"/>
      <c r="DC41" s="141"/>
      <c r="DD41" s="141"/>
      <c r="DE41" s="141"/>
      <c r="DF41" s="141"/>
      <c r="DG41" s="141"/>
      <c r="DH41" s="141"/>
      <c r="DI41" s="141"/>
      <c r="DJ41" s="141"/>
      <c r="DK41" s="141"/>
      <c r="DL41" s="141"/>
      <c r="DM41" s="141"/>
      <c r="DN41" s="141"/>
      <c r="DO41" s="141"/>
      <c r="DP41" s="141"/>
      <c r="DQ41" s="141"/>
      <c r="DR41" s="141"/>
      <c r="DS41" s="141"/>
      <c r="DT41" s="141"/>
      <c r="DU41" s="141"/>
      <c r="DV41" s="141"/>
      <c r="DW41" s="141"/>
      <c r="DX41" s="141"/>
      <c r="DY41" s="141"/>
      <c r="DZ41" s="141"/>
      <c r="EA41" s="141"/>
      <c r="EB41" s="141"/>
      <c r="EC41" s="141"/>
      <c r="ED41" s="141"/>
      <c r="EE41" s="142">
        <f>30-30+10</f>
        <v>10</v>
      </c>
      <c r="EF41" s="141"/>
      <c r="EG41" s="141"/>
      <c r="EH41" s="141"/>
      <c r="EI41" s="141"/>
      <c r="EJ41" s="141"/>
      <c r="EK41" s="141"/>
      <c r="EL41" s="141"/>
      <c r="EM41" s="141"/>
      <c r="EN41" s="141"/>
      <c r="EO41" s="141"/>
      <c r="EP41" s="141"/>
      <c r="EQ41" s="150"/>
      <c r="ER41" s="141"/>
      <c r="ES41" s="141"/>
      <c r="ET41" s="141"/>
      <c r="EU41" s="141"/>
      <c r="EV41" s="142">
        <f>20-20</f>
        <v>0</v>
      </c>
      <c r="EW41" s="142">
        <f>20-20+10</f>
        <v>10</v>
      </c>
      <c r="EX41" s="202">
        <v>10</v>
      </c>
      <c r="EY41" s="141"/>
      <c r="EZ41" s="142">
        <f>60-60</f>
        <v>0</v>
      </c>
      <c r="FA41" s="202">
        <v>60</v>
      </c>
      <c r="FB41" s="141"/>
      <c r="FC41" s="141"/>
      <c r="FD41" s="141"/>
      <c r="FE41" s="141"/>
      <c r="FF41" s="141"/>
      <c r="FG41" s="141"/>
      <c r="FH41" s="141"/>
      <c r="FI41" s="141"/>
      <c r="FJ41" s="141"/>
      <c r="FK41" s="141"/>
      <c r="FL41" s="141"/>
      <c r="FM41" s="141"/>
      <c r="FN41" s="141"/>
      <c r="FO41" s="141"/>
      <c r="FP41" s="142">
        <f>20-20</f>
        <v>0</v>
      </c>
      <c r="FQ41" s="142">
        <f>20-20</f>
        <v>0</v>
      </c>
      <c r="FR41" s="141"/>
      <c r="FS41" s="141"/>
      <c r="FT41" s="141"/>
      <c r="FU41" s="141"/>
      <c r="FV41" s="141"/>
      <c r="FW41" s="141"/>
      <c r="FX41" s="141"/>
      <c r="FY41" s="141"/>
      <c r="FZ41" s="141"/>
      <c r="GA41" s="141"/>
      <c r="GB41" s="141"/>
      <c r="GC41" s="141"/>
      <c r="GD41" s="141"/>
      <c r="GE41" s="141"/>
      <c r="GF41" s="141"/>
      <c r="GG41" s="141"/>
      <c r="GH41" s="141"/>
      <c r="GI41" s="141"/>
      <c r="GJ41" s="141"/>
      <c r="GK41" s="141"/>
      <c r="GL41" s="141"/>
      <c r="GM41" s="141"/>
      <c r="GN41" s="141"/>
      <c r="GO41" s="141"/>
      <c r="GP41" s="151"/>
      <c r="GQ41" s="152">
        <v>44428</v>
      </c>
      <c r="GR41" s="158" t="s">
        <v>522</v>
      </c>
      <c r="GS41" s="153" t="s">
        <v>584</v>
      </c>
      <c r="GT41" s="153" t="s">
        <v>585</v>
      </c>
      <c r="GU41" s="144">
        <f t="shared" si="1"/>
        <v>90</v>
      </c>
      <c r="GV41" s="145" t="s">
        <v>560</v>
      </c>
    </row>
    <row r="42" spans="1:204">
      <c r="A42" s="138" t="s">
        <v>517</v>
      </c>
      <c r="B42" s="138" t="s">
        <v>517</v>
      </c>
      <c r="C42" s="138" t="s">
        <v>555</v>
      </c>
      <c r="D42" s="138" t="s">
        <v>4</v>
      </c>
      <c r="E42" s="140" t="s">
        <v>582</v>
      </c>
      <c r="F42" s="138" t="s">
        <v>520</v>
      </c>
      <c r="G42" s="138" t="s">
        <v>714</v>
      </c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2">
        <f>10-10</f>
        <v>0</v>
      </c>
      <c r="T42" s="141"/>
      <c r="U42" s="141"/>
      <c r="V42" s="141"/>
      <c r="W42" s="142">
        <f>10-10+10</f>
        <v>10</v>
      </c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2">
        <f>5-5+5</f>
        <v>5</v>
      </c>
      <c r="BC42" s="141" t="s">
        <v>715</v>
      </c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1"/>
      <c r="BU42" s="141"/>
      <c r="BV42" s="141"/>
      <c r="BW42" s="141"/>
      <c r="BX42" s="141"/>
      <c r="BY42" s="141"/>
      <c r="BZ42" s="141"/>
      <c r="CA42" s="142">
        <f>5-5+3</f>
        <v>3</v>
      </c>
      <c r="CB42" s="142">
        <f>5-5</f>
        <v>0</v>
      </c>
      <c r="CC42" s="141"/>
      <c r="CD42" s="141"/>
      <c r="CE42" s="141"/>
      <c r="CF42" s="141"/>
      <c r="CG42" s="142">
        <f>30-30</f>
        <v>0</v>
      </c>
      <c r="CH42" s="142">
        <f>30-30</f>
        <v>0</v>
      </c>
      <c r="CI42" s="141"/>
      <c r="CJ42" s="142">
        <f>60-60+10</f>
        <v>10</v>
      </c>
      <c r="CK42" s="142">
        <f>60-60+2</f>
        <v>2</v>
      </c>
      <c r="CL42" s="142">
        <f>60-60</f>
        <v>0</v>
      </c>
      <c r="CM42" s="141"/>
      <c r="CN42" s="141"/>
      <c r="CO42" s="141"/>
      <c r="CP42" s="141"/>
      <c r="CQ42" s="141"/>
      <c r="CR42" s="141"/>
      <c r="CS42" s="141"/>
      <c r="CT42" s="141"/>
      <c r="CU42" s="142">
        <f>40-40+5</f>
        <v>5</v>
      </c>
      <c r="CV42" s="142">
        <f>40-40</f>
        <v>0</v>
      </c>
      <c r="CW42" s="141"/>
      <c r="CX42" s="141"/>
      <c r="CY42" s="141"/>
      <c r="CZ42" s="141"/>
      <c r="DA42" s="142">
        <f>40-40</f>
        <v>0</v>
      </c>
      <c r="DB42" s="141"/>
      <c r="DC42" s="141"/>
      <c r="DD42" s="141"/>
      <c r="DE42" s="142">
        <f>40-40+10</f>
        <v>10</v>
      </c>
      <c r="DF42" s="142">
        <f>40-40+10</f>
        <v>10</v>
      </c>
      <c r="DG42" s="141"/>
      <c r="DH42" s="141"/>
      <c r="DI42" s="141"/>
      <c r="DJ42" s="141"/>
      <c r="DK42" s="142">
        <f>40-40</f>
        <v>0</v>
      </c>
      <c r="DL42" s="141"/>
      <c r="DM42" s="141"/>
      <c r="DN42" s="141"/>
      <c r="DO42" s="141"/>
      <c r="DP42" s="142">
        <f>20-20+10</f>
        <v>10</v>
      </c>
      <c r="DQ42" s="142">
        <f>60-60+20</f>
        <v>20</v>
      </c>
      <c r="DR42" s="142">
        <f>40-40</f>
        <v>0</v>
      </c>
      <c r="DS42" s="142">
        <f>60-60+20</f>
        <v>20</v>
      </c>
      <c r="DT42" s="142">
        <f>60-60</f>
        <v>0</v>
      </c>
      <c r="DU42" s="141"/>
      <c r="DV42" s="141"/>
      <c r="DW42" s="141"/>
      <c r="DX42" s="141"/>
      <c r="DY42" s="141"/>
      <c r="DZ42" s="141"/>
      <c r="EA42" s="142">
        <f>60-60</f>
        <v>0</v>
      </c>
      <c r="EB42" s="141"/>
      <c r="EC42" s="141"/>
      <c r="ED42" s="141"/>
      <c r="EE42" s="141"/>
      <c r="EF42" s="141"/>
      <c r="EG42" s="141"/>
      <c r="EH42" s="141"/>
      <c r="EI42" s="141"/>
      <c r="EJ42" s="141"/>
      <c r="EK42" s="141"/>
      <c r="EL42" s="142">
        <f>40-40</f>
        <v>0</v>
      </c>
      <c r="EM42" s="141"/>
      <c r="EN42" s="141"/>
      <c r="EO42" s="142">
        <f>20-20</f>
        <v>0</v>
      </c>
      <c r="EP42" s="141"/>
      <c r="EQ42" s="150"/>
      <c r="ER42" s="141"/>
      <c r="ES42" s="141"/>
      <c r="ET42" s="141"/>
      <c r="EU42" s="141"/>
      <c r="EV42" s="141"/>
      <c r="EW42" s="141"/>
      <c r="EX42" s="142">
        <f>60-60</f>
        <v>0</v>
      </c>
      <c r="EY42" s="141"/>
      <c r="EZ42" s="142">
        <f>40-40</f>
        <v>0</v>
      </c>
      <c r="FA42" s="142">
        <f>60-60</f>
        <v>0</v>
      </c>
      <c r="FB42" s="142">
        <f>60-60</f>
        <v>0</v>
      </c>
      <c r="FC42" s="142">
        <f>100-100</f>
        <v>0</v>
      </c>
      <c r="FD42" s="141"/>
      <c r="FE42" s="141"/>
      <c r="FF42" s="141"/>
      <c r="FG42" s="142">
        <f>40-40+10</f>
        <v>10</v>
      </c>
      <c r="FH42" s="142">
        <f>40-40</f>
        <v>0</v>
      </c>
      <c r="FI42" s="141"/>
      <c r="FJ42" s="141"/>
      <c r="FK42" s="141"/>
      <c r="FL42" s="141"/>
      <c r="FM42" s="141"/>
      <c r="FN42" s="141"/>
      <c r="FO42" s="141"/>
      <c r="FP42" s="141"/>
      <c r="FQ42" s="202">
        <v>20</v>
      </c>
      <c r="FR42" s="142">
        <f>20-20</f>
        <v>0</v>
      </c>
      <c r="FS42" s="141"/>
      <c r="FT42" s="141"/>
      <c r="FU42" s="141"/>
      <c r="FV42" s="141"/>
      <c r="FW42" s="141"/>
      <c r="FX42" s="141"/>
      <c r="FY42" s="141"/>
      <c r="FZ42" s="141"/>
      <c r="GA42" s="141"/>
      <c r="GB42" s="141"/>
      <c r="GC42" s="141"/>
      <c r="GD42" s="141"/>
      <c r="GE42" s="141"/>
      <c r="GF42" s="141"/>
      <c r="GG42" s="141"/>
      <c r="GH42" s="141"/>
      <c r="GI42" s="141"/>
      <c r="GJ42" s="141"/>
      <c r="GK42" s="141"/>
      <c r="GL42" s="141"/>
      <c r="GM42" s="141"/>
      <c r="GN42" s="141"/>
      <c r="GO42" s="141"/>
      <c r="GP42" s="151"/>
      <c r="GQ42" s="152">
        <v>44428</v>
      </c>
      <c r="GR42" s="158" t="s">
        <v>522</v>
      </c>
      <c r="GS42" s="153" t="s">
        <v>584</v>
      </c>
      <c r="GT42" s="153" t="s">
        <v>585</v>
      </c>
      <c r="GU42" s="144">
        <f t="shared" si="1"/>
        <v>135</v>
      </c>
      <c r="GV42" s="145" t="s">
        <v>560</v>
      </c>
    </row>
    <row r="43" spans="1:204">
      <c r="A43" s="138"/>
      <c r="B43" s="138" t="s">
        <v>517</v>
      </c>
      <c r="C43" s="138" t="s">
        <v>555</v>
      </c>
      <c r="D43" s="138" t="s">
        <v>8</v>
      </c>
      <c r="E43" s="140" t="s">
        <v>586</v>
      </c>
      <c r="F43" s="138" t="s">
        <v>520</v>
      </c>
      <c r="G43" s="138" t="s">
        <v>716</v>
      </c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1"/>
      <c r="BN43" s="141"/>
      <c r="BO43" s="141"/>
      <c r="BP43" s="141"/>
      <c r="BQ43" s="141"/>
      <c r="BR43" s="141"/>
      <c r="BS43" s="141"/>
      <c r="BT43" s="141"/>
      <c r="BU43" s="141"/>
      <c r="BV43" s="141"/>
      <c r="BW43" s="141"/>
      <c r="BX43" s="141"/>
      <c r="BY43" s="141"/>
      <c r="BZ43" s="141"/>
      <c r="CA43" s="141"/>
      <c r="CB43" s="141"/>
      <c r="CC43" s="141"/>
      <c r="CD43" s="141"/>
      <c r="CE43" s="141"/>
      <c r="CF43" s="141"/>
      <c r="CG43" s="141"/>
      <c r="CH43" s="141"/>
      <c r="CI43" s="141"/>
      <c r="CJ43" s="141"/>
      <c r="CK43" s="141"/>
      <c r="CL43" s="141"/>
      <c r="CM43" s="141"/>
      <c r="CN43" s="141"/>
      <c r="CO43" s="141"/>
      <c r="CP43" s="141"/>
      <c r="CQ43" s="141"/>
      <c r="CR43" s="141"/>
      <c r="CS43" s="141"/>
      <c r="CT43" s="141"/>
      <c r="CU43" s="141"/>
      <c r="CV43" s="141"/>
      <c r="CW43" s="141"/>
      <c r="CX43" s="141"/>
      <c r="CY43" s="141"/>
      <c r="CZ43" s="141"/>
      <c r="DA43" s="141"/>
      <c r="DB43" s="141"/>
      <c r="DC43" s="141"/>
      <c r="DD43" s="141"/>
      <c r="DE43" s="141"/>
      <c r="DF43" s="141"/>
      <c r="DG43" s="141"/>
      <c r="DH43" s="141"/>
      <c r="DI43" s="141"/>
      <c r="DJ43" s="141"/>
      <c r="DK43" s="141"/>
      <c r="DL43" s="141"/>
      <c r="DM43" s="141"/>
      <c r="DN43" s="141"/>
      <c r="DO43" s="141"/>
      <c r="DP43" s="141"/>
      <c r="DQ43" s="141"/>
      <c r="DR43" s="141"/>
      <c r="DS43" s="141"/>
      <c r="DT43" s="141"/>
      <c r="DU43" s="141"/>
      <c r="DV43" s="141"/>
      <c r="DW43" s="141"/>
      <c r="DX43" s="141"/>
      <c r="DY43" s="141"/>
      <c r="DZ43" s="141"/>
      <c r="EA43" s="141"/>
      <c r="EB43" s="141"/>
      <c r="EC43" s="141"/>
      <c r="ED43" s="141"/>
      <c r="EE43" s="141"/>
      <c r="EF43" s="141"/>
      <c r="EG43" s="141"/>
      <c r="EH43" s="141"/>
      <c r="EI43" s="141"/>
      <c r="EJ43" s="141"/>
      <c r="EK43" s="141"/>
      <c r="EL43" s="141"/>
      <c r="EM43" s="141"/>
      <c r="EN43" s="141"/>
      <c r="EO43" s="141"/>
      <c r="EP43" s="141"/>
      <c r="EQ43" s="150"/>
      <c r="ER43" s="141"/>
      <c r="ES43" s="141"/>
      <c r="ET43" s="141"/>
      <c r="EU43" s="141"/>
      <c r="EV43" s="142">
        <f>100-100</f>
        <v>0</v>
      </c>
      <c r="EW43" s="142">
        <f>100-100+20</f>
        <v>20</v>
      </c>
      <c r="EX43" s="141"/>
      <c r="EY43" s="141"/>
      <c r="EZ43" s="142">
        <f>100-100</f>
        <v>0</v>
      </c>
      <c r="FA43" s="202">
        <v>100</v>
      </c>
      <c r="FB43" s="141"/>
      <c r="FC43" s="141"/>
      <c r="FD43" s="141"/>
      <c r="FE43" s="141"/>
      <c r="FF43" s="141"/>
      <c r="FG43" s="141"/>
      <c r="FH43" s="141"/>
      <c r="FI43" s="141"/>
      <c r="FJ43" s="141"/>
      <c r="FK43" s="141"/>
      <c r="FL43" s="141"/>
      <c r="FM43" s="141"/>
      <c r="FN43" s="141"/>
      <c r="FO43" s="141"/>
      <c r="FP43" s="142">
        <f>100-100</f>
        <v>0</v>
      </c>
      <c r="FQ43" s="142">
        <f>100-100</f>
        <v>0</v>
      </c>
      <c r="FR43" s="141"/>
      <c r="FS43" s="141"/>
      <c r="FT43" s="141"/>
      <c r="FU43" s="141"/>
      <c r="FV43" s="141"/>
      <c r="FW43" s="141"/>
      <c r="FX43" s="141"/>
      <c r="FY43" s="141"/>
      <c r="FZ43" s="141"/>
      <c r="GA43" s="141"/>
      <c r="GB43" s="141"/>
      <c r="GC43" s="141"/>
      <c r="GD43" s="141"/>
      <c r="GE43" s="141"/>
      <c r="GF43" s="141"/>
      <c r="GG43" s="141"/>
      <c r="GH43" s="141"/>
      <c r="GI43" s="141"/>
      <c r="GJ43" s="141"/>
      <c r="GK43" s="141"/>
      <c r="GL43" s="141"/>
      <c r="GM43" s="141"/>
      <c r="GN43" s="141"/>
      <c r="GO43" s="141"/>
      <c r="GP43" s="151"/>
      <c r="GQ43" s="152">
        <v>44428</v>
      </c>
      <c r="GR43" s="158" t="s">
        <v>522</v>
      </c>
      <c r="GS43" s="153"/>
      <c r="GT43" s="153" t="s">
        <v>579</v>
      </c>
      <c r="GU43" s="144">
        <f t="shared" si="1"/>
        <v>120</v>
      </c>
      <c r="GV43" s="145" t="s">
        <v>588</v>
      </c>
    </row>
    <row r="44" spans="1:204">
      <c r="A44" s="138"/>
      <c r="B44" s="138" t="s">
        <v>517</v>
      </c>
      <c r="C44" s="138" t="s">
        <v>555</v>
      </c>
      <c r="D44" s="138" t="s">
        <v>4</v>
      </c>
      <c r="E44" s="140" t="s">
        <v>586</v>
      </c>
      <c r="F44" s="138" t="s">
        <v>520</v>
      </c>
      <c r="G44" s="138" t="s">
        <v>716</v>
      </c>
      <c r="H44" s="141"/>
      <c r="I44" s="141"/>
      <c r="J44" s="141"/>
      <c r="K44" s="141"/>
      <c r="L44" s="141"/>
      <c r="M44" s="142">
        <f>10-10</f>
        <v>0</v>
      </c>
      <c r="N44" s="142">
        <f>10-10</f>
        <v>0</v>
      </c>
      <c r="O44" s="142">
        <f>10-10</f>
        <v>0</v>
      </c>
      <c r="P44" s="141"/>
      <c r="Q44" s="141"/>
      <c r="R44" s="142">
        <f>20-20</f>
        <v>0</v>
      </c>
      <c r="S44" s="142">
        <f>20-20</f>
        <v>0</v>
      </c>
      <c r="T44" s="141"/>
      <c r="U44" s="141"/>
      <c r="V44" s="142">
        <f>40-40</f>
        <v>0</v>
      </c>
      <c r="W44" s="142">
        <f>40-40+40</f>
        <v>40</v>
      </c>
      <c r="X44" s="141"/>
      <c r="Y44" s="142">
        <f>40-40</f>
        <v>0</v>
      </c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2">
        <f>10-10</f>
        <v>0</v>
      </c>
      <c r="AZ44" s="142">
        <f>10-10</f>
        <v>0</v>
      </c>
      <c r="BA44" s="142">
        <f>10-10</f>
        <v>0</v>
      </c>
      <c r="BB44" s="142">
        <f>20-20+10</f>
        <v>10</v>
      </c>
      <c r="BC44" s="142">
        <f>10-10</f>
        <v>0</v>
      </c>
      <c r="BD44" s="142">
        <f>10-10+5</f>
        <v>5</v>
      </c>
      <c r="BE44" s="142">
        <f>10-10+1</f>
        <v>1</v>
      </c>
      <c r="BF44" s="141"/>
      <c r="BG44" s="141"/>
      <c r="BH44" s="141"/>
      <c r="BI44" s="141"/>
      <c r="BJ44" s="141"/>
      <c r="BK44" s="141"/>
      <c r="BL44" s="141"/>
      <c r="BM44" s="141"/>
      <c r="BN44" s="141"/>
      <c r="BO44" s="142">
        <f>20-20+2</f>
        <v>2</v>
      </c>
      <c r="BP44" s="142">
        <f>20-20</f>
        <v>0</v>
      </c>
      <c r="BQ44" s="142">
        <f>20-20+10</f>
        <v>10</v>
      </c>
      <c r="BR44" s="141"/>
      <c r="BS44" s="142">
        <f>20-20</f>
        <v>0</v>
      </c>
      <c r="BT44" s="202">
        <v>20</v>
      </c>
      <c r="BU44" s="141"/>
      <c r="BV44" s="141"/>
      <c r="BW44" s="141"/>
      <c r="BX44" s="141"/>
      <c r="BY44" s="141"/>
      <c r="BZ44" s="141"/>
      <c r="CA44" s="141"/>
      <c r="CB44" s="141"/>
      <c r="CC44" s="141"/>
      <c r="CD44" s="141"/>
      <c r="CE44" s="202">
        <v>10</v>
      </c>
      <c r="CF44" s="141"/>
      <c r="CG44" s="141"/>
      <c r="CH44" s="141"/>
      <c r="CI44" s="141"/>
      <c r="CJ44" s="202">
        <v>10</v>
      </c>
      <c r="CK44" s="141"/>
      <c r="CL44" s="141"/>
      <c r="CM44" s="141"/>
      <c r="CN44" s="141"/>
      <c r="CO44" s="141"/>
      <c r="CP44" s="142">
        <f>40-40+5</f>
        <v>5</v>
      </c>
      <c r="CQ44" s="142">
        <f>40-40+10</f>
        <v>10</v>
      </c>
      <c r="CR44" s="141"/>
      <c r="CS44" s="142">
        <f>40-40</f>
        <v>0</v>
      </c>
      <c r="CT44" s="142">
        <f>40-40</f>
        <v>0</v>
      </c>
      <c r="CU44" s="142">
        <f>40-40+10</f>
        <v>10</v>
      </c>
      <c r="CV44" s="142">
        <f>40-40+10</f>
        <v>10</v>
      </c>
      <c r="CW44" s="142">
        <f>20-20</f>
        <v>0</v>
      </c>
      <c r="CX44" s="142">
        <f>40-40</f>
        <v>0</v>
      </c>
      <c r="CY44" s="142">
        <f>40-40</f>
        <v>0</v>
      </c>
      <c r="CZ44" s="141"/>
      <c r="DA44" s="141"/>
      <c r="DB44" s="142">
        <f>20-20+10</f>
        <v>10</v>
      </c>
      <c r="DC44" s="141"/>
      <c r="DD44" s="141"/>
      <c r="DE44" s="142">
        <f>20-20+10</f>
        <v>10</v>
      </c>
      <c r="DF44" s="142">
        <f>20-20+10</f>
        <v>10</v>
      </c>
      <c r="DG44" s="202">
        <v>40</v>
      </c>
      <c r="DH44" s="141"/>
      <c r="DI44" s="141"/>
      <c r="DJ44" s="141"/>
      <c r="DK44" s="141"/>
      <c r="DL44" s="141"/>
      <c r="DM44" s="142">
        <f>20-20</f>
        <v>0</v>
      </c>
      <c r="DN44" s="142">
        <f>20-20</f>
        <v>0</v>
      </c>
      <c r="DO44" s="141"/>
      <c r="DP44" s="142">
        <f>40-40+20</f>
        <v>20</v>
      </c>
      <c r="DQ44" s="142">
        <f>40-40+40</f>
        <v>40</v>
      </c>
      <c r="DR44" s="142">
        <f>40-40</f>
        <v>0</v>
      </c>
      <c r="DS44" s="142">
        <f>20-20+20</f>
        <v>20</v>
      </c>
      <c r="DT44" s="142">
        <f>20-20</f>
        <v>0</v>
      </c>
      <c r="DU44" s="141"/>
      <c r="DV44" s="141"/>
      <c r="DW44" s="141"/>
      <c r="DX44" s="141"/>
      <c r="DY44" s="141"/>
      <c r="DZ44" s="141"/>
      <c r="EA44" s="141"/>
      <c r="EB44" s="141"/>
      <c r="EC44" s="142">
        <f>100-100</f>
        <v>0</v>
      </c>
      <c r="ED44" s="142">
        <f>100-100</f>
        <v>0</v>
      </c>
      <c r="EE44" s="142">
        <f>100-100</f>
        <v>0</v>
      </c>
      <c r="EF44" s="141"/>
      <c r="EG44" s="141"/>
      <c r="EH44" s="141"/>
      <c r="EI44" s="141"/>
      <c r="EJ44" s="141"/>
      <c r="EK44" s="141"/>
      <c r="EL44" s="141"/>
      <c r="EM44" s="141"/>
      <c r="EN44" s="141"/>
      <c r="EO44" s="141"/>
      <c r="EP44" s="141"/>
      <c r="EQ44" s="150"/>
      <c r="ER44" s="141"/>
      <c r="ES44" s="142">
        <f>100-100</f>
        <v>0</v>
      </c>
      <c r="ET44" s="141"/>
      <c r="EU44" s="141"/>
      <c r="EV44" s="141"/>
      <c r="EW44" s="141"/>
      <c r="EX44" s="141"/>
      <c r="EY44" s="141"/>
      <c r="EZ44" s="141"/>
      <c r="FA44" s="142">
        <f>100-100</f>
        <v>0</v>
      </c>
      <c r="FB44" s="142">
        <f>100-100</f>
        <v>0</v>
      </c>
      <c r="FC44" s="142">
        <f>100-100</f>
        <v>0</v>
      </c>
      <c r="FD44" s="141"/>
      <c r="FE44" s="141"/>
      <c r="FF44" s="141"/>
      <c r="FG44" s="202">
        <v>20</v>
      </c>
      <c r="FH44" s="141"/>
      <c r="FI44" s="141"/>
      <c r="FJ44" s="141"/>
      <c r="FK44" s="141"/>
      <c r="FL44" s="141"/>
      <c r="FM44" s="141"/>
      <c r="FN44" s="141"/>
      <c r="FO44" s="141"/>
      <c r="FP44" s="141"/>
      <c r="FQ44" s="202">
        <v>40</v>
      </c>
      <c r="FR44" s="142">
        <f>100-100</f>
        <v>0</v>
      </c>
      <c r="FS44" s="141"/>
      <c r="FT44" s="141"/>
      <c r="FU44" s="141"/>
      <c r="FV44" s="141"/>
      <c r="FW44" s="141"/>
      <c r="FX44" s="141"/>
      <c r="FY44" s="141"/>
      <c r="FZ44" s="141"/>
      <c r="GA44" s="141"/>
      <c r="GB44" s="141"/>
      <c r="GC44" s="141"/>
      <c r="GD44" s="141"/>
      <c r="GE44" s="141"/>
      <c r="GF44" s="141"/>
      <c r="GG44" s="141"/>
      <c r="GH44" s="141"/>
      <c r="GI44" s="141"/>
      <c r="GJ44" s="141"/>
      <c r="GK44" s="141"/>
      <c r="GL44" s="141"/>
      <c r="GM44" s="141"/>
      <c r="GN44" s="141"/>
      <c r="GO44" s="141"/>
      <c r="GP44" s="151"/>
      <c r="GQ44" s="152">
        <v>44428</v>
      </c>
      <c r="GR44" s="158" t="s">
        <v>522</v>
      </c>
      <c r="GS44" s="153"/>
      <c r="GT44" s="153" t="s">
        <v>579</v>
      </c>
      <c r="GU44" s="144">
        <f t="shared" si="1"/>
        <v>353</v>
      </c>
      <c r="GV44" s="145" t="s">
        <v>588</v>
      </c>
    </row>
    <row r="45" spans="1:204">
      <c r="A45" s="138"/>
      <c r="B45" s="138" t="s">
        <v>517</v>
      </c>
      <c r="C45" s="138" t="s">
        <v>555</v>
      </c>
      <c r="D45" s="138" t="s">
        <v>3</v>
      </c>
      <c r="E45" s="140" t="s">
        <v>586</v>
      </c>
      <c r="F45" s="138" t="s">
        <v>520</v>
      </c>
      <c r="G45" s="138" t="s">
        <v>717</v>
      </c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1"/>
      <c r="BN45" s="141"/>
      <c r="BO45" s="141"/>
      <c r="BP45" s="141"/>
      <c r="BQ45" s="141"/>
      <c r="BR45" s="141"/>
      <c r="BS45" s="141"/>
      <c r="BT45" s="141"/>
      <c r="BU45" s="141"/>
      <c r="BV45" s="141"/>
      <c r="BW45" s="141"/>
      <c r="BX45" s="141"/>
      <c r="BY45" s="141"/>
      <c r="BZ45" s="141"/>
      <c r="CA45" s="141"/>
      <c r="CB45" s="141"/>
      <c r="CC45" s="141"/>
      <c r="CD45" s="141"/>
      <c r="CE45" s="141"/>
      <c r="CF45" s="141"/>
      <c r="CG45" s="141"/>
      <c r="CH45" s="141"/>
      <c r="CI45" s="141"/>
      <c r="CJ45" s="141"/>
      <c r="CK45" s="141"/>
      <c r="CL45" s="141"/>
      <c r="CM45" s="141"/>
      <c r="CN45" s="141"/>
      <c r="CO45" s="141"/>
      <c r="CP45" s="141"/>
      <c r="CQ45" s="141"/>
      <c r="CR45" s="141"/>
      <c r="CS45" s="141"/>
      <c r="CT45" s="141"/>
      <c r="CU45" s="141"/>
      <c r="CV45" s="141"/>
      <c r="CW45" s="141"/>
      <c r="CX45" s="141"/>
      <c r="CY45" s="141"/>
      <c r="CZ45" s="141"/>
      <c r="DA45" s="141"/>
      <c r="DB45" s="141"/>
      <c r="DC45" s="141"/>
      <c r="DD45" s="141"/>
      <c r="DE45" s="141"/>
      <c r="DF45" s="141"/>
      <c r="DG45" s="142">
        <f>40-40</f>
        <v>0</v>
      </c>
      <c r="DH45" s="141"/>
      <c r="DI45" s="141"/>
      <c r="DJ45" s="141"/>
      <c r="DK45" s="141"/>
      <c r="DL45" s="141"/>
      <c r="DM45" s="141"/>
      <c r="DN45" s="141"/>
      <c r="DO45" s="141"/>
      <c r="DP45" s="141"/>
      <c r="DQ45" s="141"/>
      <c r="DR45" s="141"/>
      <c r="DS45" s="141"/>
      <c r="DT45" s="141"/>
      <c r="DU45" s="141"/>
      <c r="DV45" s="141"/>
      <c r="DW45" s="141"/>
      <c r="DX45" s="141"/>
      <c r="DY45" s="141"/>
      <c r="DZ45" s="141"/>
      <c r="EA45" s="141"/>
      <c r="EB45" s="141"/>
      <c r="EC45" s="141"/>
      <c r="ED45" s="141"/>
      <c r="EE45" s="141"/>
      <c r="EF45" s="141"/>
      <c r="EG45" s="141"/>
      <c r="EH45" s="141"/>
      <c r="EI45" s="141"/>
      <c r="EJ45" s="141"/>
      <c r="EK45" s="141"/>
      <c r="EL45" s="141"/>
      <c r="EM45" s="141"/>
      <c r="EN45" s="141"/>
      <c r="EO45" s="141"/>
      <c r="EP45" s="141"/>
      <c r="EQ45" s="150"/>
      <c r="ER45" s="141"/>
      <c r="ES45" s="141"/>
      <c r="ET45" s="141"/>
      <c r="EU45" s="141"/>
      <c r="EV45" s="141"/>
      <c r="EW45" s="141"/>
      <c r="EX45" s="141"/>
      <c r="EY45" s="141"/>
      <c r="EZ45" s="141"/>
      <c r="FA45" s="141"/>
      <c r="FB45" s="141"/>
      <c r="FC45" s="141"/>
      <c r="FD45" s="141"/>
      <c r="FE45" s="141"/>
      <c r="FF45" s="141"/>
      <c r="FG45" s="141"/>
      <c r="FH45" s="141"/>
      <c r="FI45" s="141"/>
      <c r="FJ45" s="141"/>
      <c r="FK45" s="141"/>
      <c r="FL45" s="141"/>
      <c r="FM45" s="141"/>
      <c r="FN45" s="141"/>
      <c r="FO45" s="141"/>
      <c r="FP45" s="141"/>
      <c r="FQ45" s="141"/>
      <c r="FR45" s="141"/>
      <c r="FS45" s="141"/>
      <c r="FT45" s="141"/>
      <c r="FU45" s="141"/>
      <c r="FV45" s="141"/>
      <c r="FW45" s="141"/>
      <c r="FX45" s="141"/>
      <c r="FY45" s="141"/>
      <c r="FZ45" s="141"/>
      <c r="GA45" s="141"/>
      <c r="GB45" s="141"/>
      <c r="GC45" s="141"/>
      <c r="GD45" s="141"/>
      <c r="GE45" s="141"/>
      <c r="GF45" s="141"/>
      <c r="GG45" s="141"/>
      <c r="GH45" s="141"/>
      <c r="GI45" s="141"/>
      <c r="GJ45" s="141"/>
      <c r="GK45" s="141"/>
      <c r="GL45" s="141"/>
      <c r="GM45" s="141"/>
      <c r="GN45" s="141"/>
      <c r="GO45" s="141"/>
      <c r="GP45" s="151"/>
      <c r="GQ45" s="152">
        <v>44428</v>
      </c>
      <c r="GR45" s="158" t="s">
        <v>522</v>
      </c>
      <c r="GS45" s="153"/>
      <c r="GT45" s="153" t="s">
        <v>579</v>
      </c>
      <c r="GU45" s="144">
        <f t="shared" si="1"/>
        <v>0</v>
      </c>
      <c r="GV45" s="145" t="s">
        <v>588</v>
      </c>
    </row>
    <row r="46" spans="1:204">
      <c r="A46" s="138"/>
      <c r="B46" s="138" t="s">
        <v>517</v>
      </c>
      <c r="C46" s="138" t="s">
        <v>555</v>
      </c>
      <c r="D46" s="138" t="s">
        <v>4</v>
      </c>
      <c r="E46" s="140" t="s">
        <v>718</v>
      </c>
      <c r="F46" s="138" t="s">
        <v>520</v>
      </c>
      <c r="G46" s="138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1"/>
      <c r="BN46" s="141"/>
      <c r="BO46" s="141"/>
      <c r="BP46" s="141"/>
      <c r="BQ46" s="141"/>
      <c r="BR46" s="141"/>
      <c r="BS46" s="141"/>
      <c r="BT46" s="141"/>
      <c r="BU46" s="141"/>
      <c r="BV46" s="141"/>
      <c r="BW46" s="141"/>
      <c r="BX46" s="141"/>
      <c r="BY46" s="141"/>
      <c r="BZ46" s="141"/>
      <c r="CA46" s="141"/>
      <c r="CB46" s="141"/>
      <c r="CC46" s="141"/>
      <c r="CD46" s="141"/>
      <c r="CE46" s="141"/>
      <c r="CF46" s="141"/>
      <c r="CG46" s="141"/>
      <c r="CH46" s="141"/>
      <c r="CI46" s="141"/>
      <c r="CJ46" s="141"/>
      <c r="CK46" s="141"/>
      <c r="CL46" s="141"/>
      <c r="CM46" s="141"/>
      <c r="CN46" s="141"/>
      <c r="CO46" s="141"/>
      <c r="CP46" s="141"/>
      <c r="CQ46" s="141"/>
      <c r="CR46" s="141"/>
      <c r="CS46" s="141"/>
      <c r="CT46" s="141"/>
      <c r="CU46" s="141"/>
      <c r="CV46" s="142">
        <f>20-20+2</f>
        <v>2</v>
      </c>
      <c r="CW46" s="142">
        <f>20-20</f>
        <v>0</v>
      </c>
      <c r="CX46" s="142">
        <f>20-20</f>
        <v>0</v>
      </c>
      <c r="CY46" s="142">
        <f>30-30+1</f>
        <v>1</v>
      </c>
      <c r="CZ46" s="141"/>
      <c r="DA46" s="141"/>
      <c r="DB46" s="141"/>
      <c r="DC46" s="141"/>
      <c r="DD46" s="141"/>
      <c r="DE46" s="141"/>
      <c r="DF46" s="141"/>
      <c r="DG46" s="141"/>
      <c r="DH46" s="141"/>
      <c r="DI46" s="141"/>
      <c r="DJ46" s="141"/>
      <c r="DK46" s="141"/>
      <c r="DL46" s="141"/>
      <c r="DM46" s="141"/>
      <c r="DN46" s="141"/>
      <c r="DO46" s="141"/>
      <c r="DP46" s="142">
        <f>30-30+5</f>
        <v>5</v>
      </c>
      <c r="DQ46" s="142">
        <f>60-60+10</f>
        <v>10</v>
      </c>
      <c r="DR46" s="142">
        <f>40-40</f>
        <v>0</v>
      </c>
      <c r="DS46" s="142">
        <f>60-60+10</f>
        <v>10</v>
      </c>
      <c r="DT46" s="142">
        <f>60-60</f>
        <v>0</v>
      </c>
      <c r="DU46" s="141"/>
      <c r="DV46" s="141"/>
      <c r="DW46" s="141"/>
      <c r="DX46" s="141"/>
      <c r="DY46" s="141"/>
      <c r="DZ46" s="141"/>
      <c r="EA46" s="141"/>
      <c r="EB46" s="141"/>
      <c r="EC46" s="141"/>
      <c r="ED46" s="141"/>
      <c r="EE46" s="141"/>
      <c r="EF46" s="141"/>
      <c r="EG46" s="141"/>
      <c r="EH46" s="141"/>
      <c r="EI46" s="141"/>
      <c r="EJ46" s="141"/>
      <c r="EK46" s="141"/>
      <c r="EL46" s="141"/>
      <c r="EM46" s="141"/>
      <c r="EN46" s="141"/>
      <c r="EO46" s="141"/>
      <c r="EP46" s="141"/>
      <c r="EQ46" s="150"/>
      <c r="ER46" s="141"/>
      <c r="ES46" s="141"/>
      <c r="ET46" s="141"/>
      <c r="EU46" s="141"/>
      <c r="EV46" s="141"/>
      <c r="EW46" s="141"/>
      <c r="EX46" s="142">
        <f>60-60+10</f>
        <v>10</v>
      </c>
      <c r="EY46" s="141"/>
      <c r="EZ46" s="141"/>
      <c r="FA46" s="141"/>
      <c r="FB46" s="141"/>
      <c r="FC46" s="141"/>
      <c r="FD46" s="141"/>
      <c r="FE46" s="141"/>
      <c r="FF46" s="141"/>
      <c r="FG46" s="142">
        <f>30-30+5</f>
        <v>5</v>
      </c>
      <c r="FH46" s="142">
        <f>30-30</f>
        <v>0</v>
      </c>
      <c r="FI46" s="141"/>
      <c r="FJ46" s="142">
        <f>30-30</f>
        <v>0</v>
      </c>
      <c r="FK46" s="142">
        <f>30-30+20</f>
        <v>20</v>
      </c>
      <c r="FL46" s="141"/>
      <c r="FM46" s="141"/>
      <c r="FN46" s="142">
        <f>30-30</f>
        <v>0</v>
      </c>
      <c r="FO46" s="141"/>
      <c r="FP46" s="141"/>
      <c r="FQ46" s="141"/>
      <c r="FR46" s="141"/>
      <c r="FS46" s="141"/>
      <c r="FT46" s="141"/>
      <c r="FU46" s="141"/>
      <c r="FV46" s="141"/>
      <c r="FW46" s="141"/>
      <c r="FX46" s="141"/>
      <c r="FY46" s="141"/>
      <c r="FZ46" s="141"/>
      <c r="GA46" s="141"/>
      <c r="GB46" s="141"/>
      <c r="GC46" s="141"/>
      <c r="GD46" s="141"/>
      <c r="GE46" s="141"/>
      <c r="GF46" s="141"/>
      <c r="GG46" s="141"/>
      <c r="GH46" s="141"/>
      <c r="GI46" s="141"/>
      <c r="GJ46" s="141"/>
      <c r="GK46" s="141"/>
      <c r="GL46" s="141"/>
      <c r="GM46" s="141"/>
      <c r="GN46" s="141"/>
      <c r="GO46" s="141"/>
      <c r="GP46" s="151"/>
      <c r="GQ46" s="152"/>
      <c r="GR46" s="153" t="s">
        <v>522</v>
      </c>
      <c r="GS46" s="153"/>
      <c r="GT46" s="153"/>
      <c r="GU46" s="144">
        <f t="shared" si="1"/>
        <v>63</v>
      </c>
      <c r="GV46" s="147" t="s">
        <v>719</v>
      </c>
    </row>
    <row r="47" spans="1:204">
      <c r="A47" s="138"/>
      <c r="B47" s="138" t="s">
        <v>517</v>
      </c>
      <c r="C47" s="138" t="s">
        <v>555</v>
      </c>
      <c r="D47" s="138" t="s">
        <v>8</v>
      </c>
      <c r="E47" s="140" t="s">
        <v>718</v>
      </c>
      <c r="F47" s="138" t="s">
        <v>520</v>
      </c>
      <c r="G47" s="138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1"/>
      <c r="BN47" s="141"/>
      <c r="BO47" s="141"/>
      <c r="BP47" s="141"/>
      <c r="BQ47" s="141"/>
      <c r="BR47" s="141"/>
      <c r="BS47" s="141"/>
      <c r="BT47" s="141"/>
      <c r="BU47" s="141"/>
      <c r="BV47" s="141"/>
      <c r="BW47" s="141"/>
      <c r="BX47" s="141"/>
      <c r="BY47" s="141"/>
      <c r="BZ47" s="141"/>
      <c r="CA47" s="141"/>
      <c r="CB47" s="141"/>
      <c r="CC47" s="141"/>
      <c r="CD47" s="141"/>
      <c r="CE47" s="141"/>
      <c r="CF47" s="141"/>
      <c r="CG47" s="141"/>
      <c r="CH47" s="141"/>
      <c r="CI47" s="141"/>
      <c r="CJ47" s="141"/>
      <c r="CK47" s="141"/>
      <c r="CL47" s="141"/>
      <c r="CM47" s="141"/>
      <c r="CN47" s="141"/>
      <c r="CO47" s="141"/>
      <c r="CP47" s="141"/>
      <c r="CQ47" s="141"/>
      <c r="CR47" s="141"/>
      <c r="CS47" s="141"/>
      <c r="CT47" s="141"/>
      <c r="CU47" s="141"/>
      <c r="CV47" s="141"/>
      <c r="CW47" s="141"/>
      <c r="CX47" s="141"/>
      <c r="CY47" s="141"/>
      <c r="CZ47" s="141"/>
      <c r="DA47" s="141"/>
      <c r="DB47" s="141"/>
      <c r="DC47" s="141"/>
      <c r="DD47" s="141"/>
      <c r="DE47" s="141"/>
      <c r="DF47" s="141"/>
      <c r="DG47" s="141"/>
      <c r="DH47" s="141"/>
      <c r="DI47" s="141"/>
      <c r="DJ47" s="141"/>
      <c r="DK47" s="141"/>
      <c r="DL47" s="141"/>
      <c r="DM47" s="141"/>
      <c r="DN47" s="141"/>
      <c r="DO47" s="141"/>
      <c r="DP47" s="141"/>
      <c r="DQ47" s="141"/>
      <c r="DR47" s="141"/>
      <c r="DS47" s="141"/>
      <c r="DT47" s="141"/>
      <c r="DU47" s="141"/>
      <c r="DV47" s="141"/>
      <c r="DW47" s="141"/>
      <c r="DX47" s="141"/>
      <c r="DY47" s="141"/>
      <c r="DZ47" s="141"/>
      <c r="EA47" s="141"/>
      <c r="EB47" s="141"/>
      <c r="EC47" s="141"/>
      <c r="ED47" s="141"/>
      <c r="EE47" s="142">
        <f>60-60+10</f>
        <v>10</v>
      </c>
      <c r="EF47" s="141"/>
      <c r="EG47" s="142">
        <f>60-60+2</f>
        <v>2</v>
      </c>
      <c r="EH47" s="142">
        <f>60-60</f>
        <v>0</v>
      </c>
      <c r="EI47" s="141"/>
      <c r="EJ47" s="141"/>
      <c r="EK47" s="141"/>
      <c r="EL47" s="141"/>
      <c r="EM47" s="141"/>
      <c r="EN47" s="141"/>
      <c r="EO47" s="141"/>
      <c r="EP47" s="141"/>
      <c r="EQ47" s="150"/>
      <c r="ER47" s="141"/>
      <c r="ES47" s="141"/>
      <c r="ET47" s="141"/>
      <c r="EU47" s="141"/>
      <c r="EV47" s="142">
        <f>60-60</f>
        <v>0</v>
      </c>
      <c r="EW47" s="142">
        <f>60-60+5</f>
        <v>5</v>
      </c>
      <c r="EX47" s="141"/>
      <c r="EY47" s="141"/>
      <c r="EZ47" s="141"/>
      <c r="FA47" s="141"/>
      <c r="FB47" s="141"/>
      <c r="FC47" s="141"/>
      <c r="FD47" s="141"/>
      <c r="FE47" s="141"/>
      <c r="FF47" s="141"/>
      <c r="FG47" s="141"/>
      <c r="FH47" s="202">
        <v>2</v>
      </c>
      <c r="FI47" s="141"/>
      <c r="FJ47" s="141"/>
      <c r="FK47" s="141"/>
      <c r="FL47" s="141"/>
      <c r="FM47" s="141"/>
      <c r="FN47" s="141"/>
      <c r="FO47" s="141"/>
      <c r="FP47" s="141"/>
      <c r="FQ47" s="141"/>
      <c r="FR47" s="141"/>
      <c r="FS47" s="141"/>
      <c r="FT47" s="141"/>
      <c r="FU47" s="141"/>
      <c r="FV47" s="141"/>
      <c r="FW47" s="141"/>
      <c r="FX47" s="141"/>
      <c r="FY47" s="141"/>
      <c r="FZ47" s="141"/>
      <c r="GA47" s="141"/>
      <c r="GB47" s="141"/>
      <c r="GC47" s="141"/>
      <c r="GD47" s="141"/>
      <c r="GE47" s="141"/>
      <c r="GF47" s="141"/>
      <c r="GG47" s="141"/>
      <c r="GH47" s="141"/>
      <c r="GI47" s="141"/>
      <c r="GJ47" s="141"/>
      <c r="GK47" s="141"/>
      <c r="GL47" s="141"/>
      <c r="GM47" s="141"/>
      <c r="GN47" s="141"/>
      <c r="GO47" s="141"/>
      <c r="GP47" s="151"/>
      <c r="GQ47" s="152"/>
      <c r="GR47" s="153" t="s">
        <v>522</v>
      </c>
      <c r="GS47" s="153"/>
      <c r="GT47" s="153"/>
      <c r="GU47" s="144">
        <f t="shared" si="1"/>
        <v>19</v>
      </c>
      <c r="GV47" s="147" t="s">
        <v>720</v>
      </c>
    </row>
    <row r="48" spans="1:204">
      <c r="A48" s="138" t="s">
        <v>526</v>
      </c>
      <c r="B48" s="138" t="s">
        <v>517</v>
      </c>
      <c r="C48" s="138" t="s">
        <v>555</v>
      </c>
      <c r="D48" s="138" t="s">
        <v>8</v>
      </c>
      <c r="E48" s="140" t="s">
        <v>589</v>
      </c>
      <c r="F48" s="138" t="s">
        <v>520</v>
      </c>
      <c r="G48" s="138" t="s">
        <v>721</v>
      </c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1"/>
      <c r="BN48" s="141"/>
      <c r="BO48" s="141"/>
      <c r="BP48" s="141"/>
      <c r="BQ48" s="141"/>
      <c r="BR48" s="141"/>
      <c r="BS48" s="141"/>
      <c r="BT48" s="141"/>
      <c r="BU48" s="141"/>
      <c r="BV48" s="141"/>
      <c r="BW48" s="141"/>
      <c r="BX48" s="141"/>
      <c r="BY48" s="141"/>
      <c r="BZ48" s="141"/>
      <c r="CA48" s="141"/>
      <c r="CB48" s="141"/>
      <c r="CC48" s="141"/>
      <c r="CD48" s="141"/>
      <c r="CE48" s="141"/>
      <c r="CF48" s="141"/>
      <c r="CG48" s="141"/>
      <c r="CH48" s="141"/>
      <c r="CI48" s="141"/>
      <c r="CJ48" s="141"/>
      <c r="CK48" s="141"/>
      <c r="CL48" s="141"/>
      <c r="CM48" s="141"/>
      <c r="CN48" s="141"/>
      <c r="CO48" s="141"/>
      <c r="CP48" s="141"/>
      <c r="CQ48" s="141"/>
      <c r="CR48" s="141"/>
      <c r="CS48" s="141"/>
      <c r="CT48" s="141"/>
      <c r="CU48" s="141"/>
      <c r="CV48" s="141"/>
      <c r="CW48" s="141"/>
      <c r="CX48" s="141"/>
      <c r="CY48" s="141"/>
      <c r="CZ48" s="141"/>
      <c r="DA48" s="141"/>
      <c r="DB48" s="141"/>
      <c r="DC48" s="141"/>
      <c r="DD48" s="141"/>
      <c r="DE48" s="141"/>
      <c r="DF48" s="141"/>
      <c r="DG48" s="141"/>
      <c r="DH48" s="141"/>
      <c r="DI48" s="141"/>
      <c r="DJ48" s="141"/>
      <c r="DK48" s="141"/>
      <c r="DL48" s="141"/>
      <c r="DM48" s="141"/>
      <c r="DN48" s="141"/>
      <c r="DO48" s="141"/>
      <c r="DP48" s="141"/>
      <c r="DQ48" s="141"/>
      <c r="DR48" s="141"/>
      <c r="DS48" s="141"/>
      <c r="DT48" s="141"/>
      <c r="DU48" s="141"/>
      <c r="DV48" s="141"/>
      <c r="DW48" s="141"/>
      <c r="DX48" s="141"/>
      <c r="DY48" s="141"/>
      <c r="DZ48" s="141"/>
      <c r="EA48" s="142">
        <f>20-20</f>
        <v>0</v>
      </c>
      <c r="EB48" s="141"/>
      <c r="EC48" s="141"/>
      <c r="ED48" s="141"/>
      <c r="EE48" s="142">
        <f>0-0</f>
        <v>0</v>
      </c>
      <c r="EF48" s="141"/>
      <c r="EG48" s="141"/>
      <c r="EH48" s="141"/>
      <c r="EI48" s="141"/>
      <c r="EJ48" s="141"/>
      <c r="EK48" s="141"/>
      <c r="EL48" s="141"/>
      <c r="EM48" s="141"/>
      <c r="EN48" s="141"/>
      <c r="EO48" s="141"/>
      <c r="EP48" s="141"/>
      <c r="EQ48" s="150"/>
      <c r="ER48" s="141"/>
      <c r="ES48" s="141"/>
      <c r="ET48" s="141"/>
      <c r="EU48" s="141"/>
      <c r="EV48" s="142">
        <f>0-0</f>
        <v>0</v>
      </c>
      <c r="EW48" s="142">
        <f>200-200</f>
        <v>0</v>
      </c>
      <c r="EX48" s="141"/>
      <c r="EY48" s="141"/>
      <c r="EZ48" s="142">
        <f>0-0</f>
        <v>0</v>
      </c>
      <c r="FA48" s="141"/>
      <c r="FB48" s="141"/>
      <c r="FC48" s="141"/>
      <c r="FD48" s="141"/>
      <c r="FE48" s="141"/>
      <c r="FF48" s="141"/>
      <c r="FG48" s="141"/>
      <c r="FH48" s="141"/>
      <c r="FI48" s="141"/>
      <c r="FJ48" s="141"/>
      <c r="FK48" s="141"/>
      <c r="FL48" s="141"/>
      <c r="FM48" s="141"/>
      <c r="FN48" s="142">
        <f>0-0</f>
        <v>0</v>
      </c>
      <c r="FO48" s="141"/>
      <c r="FP48" s="141"/>
      <c r="FQ48" s="142">
        <f>0-0</f>
        <v>0</v>
      </c>
      <c r="FR48" s="141"/>
      <c r="FS48" s="141"/>
      <c r="FT48" s="141"/>
      <c r="FU48" s="141"/>
      <c r="FV48" s="142">
        <f>20-20</f>
        <v>0</v>
      </c>
      <c r="FW48" s="141"/>
      <c r="FX48" s="142">
        <f>0-0</f>
        <v>0</v>
      </c>
      <c r="FY48" s="142">
        <f>0-0</f>
        <v>0</v>
      </c>
      <c r="FZ48" s="141"/>
      <c r="GA48" s="141"/>
      <c r="GB48" s="141"/>
      <c r="GC48" s="141"/>
      <c r="GD48" s="142">
        <f>60-60</f>
        <v>0</v>
      </c>
      <c r="GE48" s="142">
        <f>0-0</f>
        <v>0</v>
      </c>
      <c r="GF48" s="141"/>
      <c r="GG48" s="141"/>
      <c r="GH48" s="141"/>
      <c r="GI48" s="141"/>
      <c r="GJ48" s="141"/>
      <c r="GK48" s="141"/>
      <c r="GL48" s="141"/>
      <c r="GM48" s="141"/>
      <c r="GN48" s="141"/>
      <c r="GO48" s="141"/>
      <c r="GP48" s="151"/>
      <c r="GQ48" s="152">
        <v>44428</v>
      </c>
      <c r="GR48" s="153" t="s">
        <v>522</v>
      </c>
      <c r="GS48" s="153" t="s">
        <v>591</v>
      </c>
      <c r="GT48" s="153" t="s">
        <v>592</v>
      </c>
      <c r="GU48" s="144">
        <f t="shared" si="1"/>
        <v>0</v>
      </c>
      <c r="GV48" s="147" t="s">
        <v>560</v>
      </c>
    </row>
    <row r="49" spans="1:204">
      <c r="A49" s="138" t="s">
        <v>526</v>
      </c>
      <c r="B49" s="138" t="s">
        <v>517</v>
      </c>
      <c r="C49" s="138" t="s">
        <v>555</v>
      </c>
      <c r="D49" s="138" t="s">
        <v>4</v>
      </c>
      <c r="E49" s="140" t="s">
        <v>589</v>
      </c>
      <c r="F49" s="138" t="s">
        <v>520</v>
      </c>
      <c r="G49" s="138" t="s">
        <v>721</v>
      </c>
      <c r="H49" s="141"/>
      <c r="I49" s="141"/>
      <c r="J49" s="141"/>
      <c r="K49" s="141"/>
      <c r="L49" s="141"/>
      <c r="M49" s="141"/>
      <c r="N49" s="141"/>
      <c r="O49" s="142">
        <f>5-5</f>
        <v>0</v>
      </c>
      <c r="P49" s="141"/>
      <c r="Q49" s="141"/>
      <c r="R49" s="141"/>
      <c r="S49" s="142">
        <f>5-5</f>
        <v>0</v>
      </c>
      <c r="T49" s="141"/>
      <c r="U49" s="141"/>
      <c r="V49" s="141"/>
      <c r="W49" s="142">
        <f>10-10+10</f>
        <v>10</v>
      </c>
      <c r="X49" s="141"/>
      <c r="Y49" s="141"/>
      <c r="Z49" s="141"/>
      <c r="AA49" s="142">
        <f>10-10</f>
        <v>0</v>
      </c>
      <c r="AB49" s="142">
        <f>10-10+10</f>
        <v>10</v>
      </c>
      <c r="AC49" s="141"/>
      <c r="AD49" s="142">
        <f>0-0</f>
        <v>0</v>
      </c>
      <c r="AE49" s="142">
        <f>0-0</f>
        <v>0</v>
      </c>
      <c r="AF49" s="141"/>
      <c r="AG49" s="141"/>
      <c r="AH49" s="141"/>
      <c r="AI49" s="142">
        <f>0-0</f>
        <v>0</v>
      </c>
      <c r="AJ49" s="142">
        <f>0-0</f>
        <v>0</v>
      </c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2">
        <f>5-5+5</f>
        <v>5</v>
      </c>
      <c r="BC49" s="141" t="s">
        <v>11</v>
      </c>
      <c r="BD49" s="141"/>
      <c r="BE49" s="141"/>
      <c r="BF49" s="141"/>
      <c r="BG49" s="141"/>
      <c r="BH49" s="141"/>
      <c r="BI49" s="141"/>
      <c r="BJ49" s="141"/>
      <c r="BK49" s="141"/>
      <c r="BL49" s="141"/>
      <c r="BM49" s="141"/>
      <c r="BN49" s="141"/>
      <c r="BO49" s="141"/>
      <c r="BP49" s="141"/>
      <c r="BQ49" s="142">
        <f>10-10+5</f>
        <v>5</v>
      </c>
      <c r="BR49" s="141"/>
      <c r="BS49" s="141" t="s">
        <v>11</v>
      </c>
      <c r="BT49" s="141"/>
      <c r="BU49" s="141"/>
      <c r="BV49" s="141"/>
      <c r="BW49" s="141"/>
      <c r="BX49" s="141"/>
      <c r="BY49" s="141"/>
      <c r="BZ49" s="141"/>
      <c r="CA49" s="141"/>
      <c r="CB49" s="141"/>
      <c r="CC49" s="141"/>
      <c r="CD49" s="141"/>
      <c r="CE49" s="141"/>
      <c r="CF49" s="141"/>
      <c r="CG49" s="142">
        <f>10-10</f>
        <v>0</v>
      </c>
      <c r="CH49" s="142">
        <f>10-10</f>
        <v>0</v>
      </c>
      <c r="CI49" s="141"/>
      <c r="CJ49" s="142">
        <f>20-20+5</f>
        <v>5</v>
      </c>
      <c r="CK49" s="142">
        <f>20-20+1</f>
        <v>1</v>
      </c>
      <c r="CL49" s="142">
        <f>20-20</f>
        <v>0</v>
      </c>
      <c r="CM49" s="141"/>
      <c r="CN49" s="141"/>
      <c r="CO49" s="141"/>
      <c r="CP49" s="141"/>
      <c r="CQ49" s="142">
        <f>50-50+2</f>
        <v>2</v>
      </c>
      <c r="CR49" s="141"/>
      <c r="CS49" s="141"/>
      <c r="CT49" s="141"/>
      <c r="CU49" s="142">
        <f>5-5+2</f>
        <v>2</v>
      </c>
      <c r="CV49" s="142">
        <f>80-80+2</f>
        <v>2</v>
      </c>
      <c r="CW49" s="142">
        <f>50-50</f>
        <v>0</v>
      </c>
      <c r="CX49" s="142">
        <f>50-50</f>
        <v>0</v>
      </c>
      <c r="CY49" s="141"/>
      <c r="CZ49" s="141"/>
      <c r="DA49" s="142">
        <f>10-10</f>
        <v>0</v>
      </c>
      <c r="DB49" s="141"/>
      <c r="DC49" s="202">
        <v>10</v>
      </c>
      <c r="DD49" s="141"/>
      <c r="DE49" s="142">
        <f>50-50+20</f>
        <v>20</v>
      </c>
      <c r="DF49" s="142">
        <f>20-20+10</f>
        <v>10</v>
      </c>
      <c r="DG49" s="202">
        <v>20</v>
      </c>
      <c r="DH49" s="141"/>
      <c r="DI49" s="141" t="s">
        <v>11</v>
      </c>
      <c r="DJ49" s="141" t="s">
        <v>11</v>
      </c>
      <c r="DK49" s="141"/>
      <c r="DL49" s="141"/>
      <c r="DM49" s="141"/>
      <c r="DN49" s="141"/>
      <c r="DO49" s="141"/>
      <c r="DP49" s="142">
        <f>10-10+10</f>
        <v>10</v>
      </c>
      <c r="DQ49" s="142">
        <f>60-60+10</f>
        <v>10</v>
      </c>
      <c r="DR49" s="142">
        <f>20-20</f>
        <v>0</v>
      </c>
      <c r="DS49" s="142">
        <f>60-60+20</f>
        <v>20</v>
      </c>
      <c r="DT49" s="142">
        <f>60-60</f>
        <v>0</v>
      </c>
      <c r="DU49" s="142">
        <f>60-60+20</f>
        <v>20</v>
      </c>
      <c r="DV49" s="142">
        <f>60-60</f>
        <v>0</v>
      </c>
      <c r="DW49" s="141"/>
      <c r="DX49" s="141"/>
      <c r="DY49" s="141"/>
      <c r="DZ49" s="141"/>
      <c r="EA49" s="141"/>
      <c r="EB49" s="141"/>
      <c r="EC49" s="142">
        <f>0-0</f>
        <v>0</v>
      </c>
      <c r="ED49" s="142">
        <f>0-0</f>
        <v>0</v>
      </c>
      <c r="EE49" s="141"/>
      <c r="EF49" s="141"/>
      <c r="EG49" s="141"/>
      <c r="EH49" s="141"/>
      <c r="EI49" s="141"/>
      <c r="EJ49" s="141"/>
      <c r="EK49" s="141"/>
      <c r="EL49" s="142">
        <f>200-200</f>
        <v>0</v>
      </c>
      <c r="EM49" s="141"/>
      <c r="EN49" s="141"/>
      <c r="EO49" s="141"/>
      <c r="EP49" s="141"/>
      <c r="EQ49" s="150"/>
      <c r="ER49" s="141"/>
      <c r="ES49" s="142">
        <f>100-100</f>
        <v>0</v>
      </c>
      <c r="ET49" s="141"/>
      <c r="EU49" s="142">
        <f>0-0</f>
        <v>0</v>
      </c>
      <c r="EV49" s="141"/>
      <c r="EW49" s="141"/>
      <c r="EX49" s="142">
        <f>0-0</f>
        <v>0</v>
      </c>
      <c r="EY49" s="141"/>
      <c r="EZ49" s="141"/>
      <c r="FA49" s="142">
        <f>0-0</f>
        <v>0</v>
      </c>
      <c r="FB49" s="142">
        <f>0-0</f>
        <v>0</v>
      </c>
      <c r="FC49" s="142">
        <f>0-0</f>
        <v>0</v>
      </c>
      <c r="FD49" s="141"/>
      <c r="FE49" s="142">
        <f>0-0</f>
        <v>0</v>
      </c>
      <c r="FF49" s="142">
        <f>0-0</f>
        <v>0</v>
      </c>
      <c r="FG49" s="142">
        <f>0-0</f>
        <v>0</v>
      </c>
      <c r="FH49" s="142">
        <f>0-0</f>
        <v>0</v>
      </c>
      <c r="FI49" s="141"/>
      <c r="FJ49" s="142">
        <f>100-100</f>
        <v>0</v>
      </c>
      <c r="FK49" s="141"/>
      <c r="FL49" s="142">
        <f>0-0</f>
        <v>0</v>
      </c>
      <c r="FM49" s="141"/>
      <c r="FN49" s="141"/>
      <c r="FO49" s="141"/>
      <c r="FP49" s="141"/>
      <c r="FQ49" s="141"/>
      <c r="FR49" s="142">
        <f>0-0</f>
        <v>0</v>
      </c>
      <c r="FS49" s="142">
        <f>0-0</f>
        <v>0</v>
      </c>
      <c r="FT49" s="141"/>
      <c r="FU49" s="141"/>
      <c r="FV49" s="141"/>
      <c r="FW49" s="141"/>
      <c r="FX49" s="141"/>
      <c r="FY49" s="141"/>
      <c r="FZ49" s="141"/>
      <c r="GA49" s="141"/>
      <c r="GB49" s="141"/>
      <c r="GC49" s="141"/>
      <c r="GD49" s="141"/>
      <c r="GE49" s="141"/>
      <c r="GF49" s="141"/>
      <c r="GG49" s="141"/>
      <c r="GH49" s="141"/>
      <c r="GI49" s="141"/>
      <c r="GJ49" s="141"/>
      <c r="GK49" s="141"/>
      <c r="GL49" s="141"/>
      <c r="GM49" s="141"/>
      <c r="GN49" s="141"/>
      <c r="GO49" s="141"/>
      <c r="GP49" s="151"/>
      <c r="GQ49" s="152">
        <v>44428</v>
      </c>
      <c r="GR49" s="153" t="s">
        <v>522</v>
      </c>
      <c r="GS49" s="153" t="s">
        <v>591</v>
      </c>
      <c r="GT49" s="153" t="s">
        <v>592</v>
      </c>
      <c r="GU49" s="144">
        <f t="shared" si="1"/>
        <v>162</v>
      </c>
      <c r="GV49" s="147" t="s">
        <v>560</v>
      </c>
    </row>
    <row r="50" spans="1:204">
      <c r="A50" s="138" t="s">
        <v>526</v>
      </c>
      <c r="B50" s="138" t="s">
        <v>517</v>
      </c>
      <c r="C50" s="138" t="s">
        <v>555</v>
      </c>
      <c r="D50" s="138" t="s">
        <v>3</v>
      </c>
      <c r="E50" s="140" t="s">
        <v>589</v>
      </c>
      <c r="F50" s="138" t="s">
        <v>520</v>
      </c>
      <c r="G50" s="138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1"/>
      <c r="BN50" s="141"/>
      <c r="BO50" s="141"/>
      <c r="BP50" s="141"/>
      <c r="BQ50" s="141"/>
      <c r="BR50" s="141"/>
      <c r="BS50" s="141"/>
      <c r="BT50" s="141"/>
      <c r="BU50" s="141"/>
      <c r="BV50" s="141"/>
      <c r="BW50" s="141"/>
      <c r="BX50" s="141"/>
      <c r="BY50" s="141"/>
      <c r="BZ50" s="141"/>
      <c r="CA50" s="141"/>
      <c r="CB50" s="141"/>
      <c r="CC50" s="141"/>
      <c r="CD50" s="141"/>
      <c r="CE50" s="141"/>
      <c r="CF50" s="141"/>
      <c r="CG50" s="141"/>
      <c r="CH50" s="141"/>
      <c r="CI50" s="141"/>
      <c r="CJ50" s="141"/>
      <c r="CK50" s="141"/>
      <c r="CL50" s="141"/>
      <c r="CM50" s="141"/>
      <c r="CN50" s="141"/>
      <c r="CO50" s="141"/>
      <c r="CP50" s="141"/>
      <c r="CQ50" s="141"/>
      <c r="CR50" s="141"/>
      <c r="CS50" s="141"/>
      <c r="CT50" s="141"/>
      <c r="CU50" s="141"/>
      <c r="CV50" s="141"/>
      <c r="CW50" s="141"/>
      <c r="CX50" s="141"/>
      <c r="CY50" s="141"/>
      <c r="CZ50" s="141"/>
      <c r="DA50" s="141"/>
      <c r="DB50" s="141"/>
      <c r="DC50" s="142">
        <f>10-10</f>
        <v>0</v>
      </c>
      <c r="DD50" s="142">
        <f>10-10</f>
        <v>0</v>
      </c>
      <c r="DE50" s="141"/>
      <c r="DF50" s="141"/>
      <c r="DG50" s="142">
        <f>50-50</f>
        <v>0</v>
      </c>
      <c r="DH50" s="141"/>
      <c r="DI50" s="141"/>
      <c r="DJ50" s="141"/>
      <c r="DK50" s="141"/>
      <c r="DL50" s="141"/>
      <c r="DM50" s="141"/>
      <c r="DN50" s="141"/>
      <c r="DO50" s="141"/>
      <c r="DP50" s="141"/>
      <c r="DQ50" s="141"/>
      <c r="DR50" s="141"/>
      <c r="DS50" s="141"/>
      <c r="DT50" s="141"/>
      <c r="DU50" s="141"/>
      <c r="DV50" s="141"/>
      <c r="DW50" s="141"/>
      <c r="DX50" s="141"/>
      <c r="DY50" s="141"/>
      <c r="DZ50" s="141"/>
      <c r="EA50" s="141"/>
      <c r="EB50" s="141"/>
      <c r="EC50" s="141"/>
      <c r="ED50" s="141"/>
      <c r="EE50" s="141"/>
      <c r="EF50" s="141"/>
      <c r="EG50" s="141"/>
      <c r="EH50" s="141"/>
      <c r="EI50" s="141"/>
      <c r="EJ50" s="141"/>
      <c r="EK50" s="141"/>
      <c r="EL50" s="141"/>
      <c r="EM50" s="141"/>
      <c r="EN50" s="141"/>
      <c r="EO50" s="141"/>
      <c r="EP50" s="141"/>
      <c r="EQ50" s="150"/>
      <c r="ER50" s="141"/>
      <c r="ES50" s="141"/>
      <c r="ET50" s="141"/>
      <c r="EU50" s="141"/>
      <c r="EV50" s="141"/>
      <c r="EW50" s="141"/>
      <c r="EX50" s="141"/>
      <c r="EY50" s="141"/>
      <c r="EZ50" s="141"/>
      <c r="FA50" s="141"/>
      <c r="FB50" s="141"/>
      <c r="FC50" s="141"/>
      <c r="FD50" s="141"/>
      <c r="FE50" s="141"/>
      <c r="FF50" s="141"/>
      <c r="FG50" s="141"/>
      <c r="FH50" s="141"/>
      <c r="FI50" s="141"/>
      <c r="FJ50" s="141"/>
      <c r="FK50" s="141"/>
      <c r="FL50" s="141"/>
      <c r="FM50" s="141"/>
      <c r="FN50" s="141"/>
      <c r="FO50" s="141"/>
      <c r="FP50" s="141"/>
      <c r="FQ50" s="141"/>
      <c r="FR50" s="141"/>
      <c r="FS50" s="141"/>
      <c r="FT50" s="141"/>
      <c r="FU50" s="141"/>
      <c r="FV50" s="141"/>
      <c r="FW50" s="141"/>
      <c r="FX50" s="141"/>
      <c r="FY50" s="141"/>
      <c r="FZ50" s="141"/>
      <c r="GA50" s="141"/>
      <c r="GB50" s="141"/>
      <c r="GC50" s="141"/>
      <c r="GD50" s="141"/>
      <c r="GE50" s="141"/>
      <c r="GF50" s="141"/>
      <c r="GG50" s="141"/>
      <c r="GH50" s="141"/>
      <c r="GI50" s="141"/>
      <c r="GJ50" s="141"/>
      <c r="GK50" s="141"/>
      <c r="GL50" s="141"/>
      <c r="GM50" s="141"/>
      <c r="GN50" s="141"/>
      <c r="GO50" s="141"/>
      <c r="GP50" s="151"/>
      <c r="GQ50" s="152">
        <v>44428</v>
      </c>
      <c r="GR50" s="153" t="s">
        <v>522</v>
      </c>
      <c r="GS50" s="153" t="s">
        <v>591</v>
      </c>
      <c r="GT50" s="153" t="s">
        <v>592</v>
      </c>
      <c r="GU50" s="144">
        <f t="shared" si="1"/>
        <v>0</v>
      </c>
      <c r="GV50" s="147" t="s">
        <v>560</v>
      </c>
    </row>
    <row r="51" spans="1:204">
      <c r="A51" s="138" t="s">
        <v>526</v>
      </c>
      <c r="B51" s="138" t="s">
        <v>525</v>
      </c>
      <c r="C51" s="138" t="s">
        <v>555</v>
      </c>
      <c r="D51" s="138" t="s">
        <v>8</v>
      </c>
      <c r="E51" s="149" t="s">
        <v>589</v>
      </c>
      <c r="F51" s="138" t="s">
        <v>520</v>
      </c>
      <c r="G51" s="138" t="s">
        <v>722</v>
      </c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1"/>
      <c r="BN51" s="141"/>
      <c r="BO51" s="141"/>
      <c r="BP51" s="141"/>
      <c r="BQ51" s="141"/>
      <c r="BR51" s="141"/>
      <c r="BS51" s="141"/>
      <c r="BT51" s="141"/>
      <c r="BU51" s="141"/>
      <c r="BV51" s="141"/>
      <c r="BW51" s="141"/>
      <c r="BX51" s="141"/>
      <c r="BY51" s="141"/>
      <c r="BZ51" s="141"/>
      <c r="CA51" s="141"/>
      <c r="CB51" s="141"/>
      <c r="CC51" s="141"/>
      <c r="CD51" s="141"/>
      <c r="CE51" s="141"/>
      <c r="CF51" s="141"/>
      <c r="CG51" s="141"/>
      <c r="CH51" s="141"/>
      <c r="CI51" s="141"/>
      <c r="CJ51" s="141"/>
      <c r="CK51" s="141"/>
      <c r="CL51" s="141"/>
      <c r="CM51" s="141"/>
      <c r="CN51" s="141"/>
      <c r="CO51" s="141"/>
      <c r="CP51" s="141"/>
      <c r="CQ51" s="141"/>
      <c r="CR51" s="141"/>
      <c r="CS51" s="141"/>
      <c r="CT51" s="141"/>
      <c r="CU51" s="141"/>
      <c r="CV51" s="141"/>
      <c r="CW51" s="141"/>
      <c r="CX51" s="141"/>
      <c r="CY51" s="141"/>
      <c r="CZ51" s="141"/>
      <c r="DA51" s="141"/>
      <c r="DB51" s="141"/>
      <c r="DC51" s="141"/>
      <c r="DD51" s="141"/>
      <c r="DE51" s="141"/>
      <c r="DF51" s="141"/>
      <c r="DG51" s="141"/>
      <c r="DH51" s="141"/>
      <c r="DI51" s="141"/>
      <c r="DJ51" s="141"/>
      <c r="DK51" s="141"/>
      <c r="DL51" s="141"/>
      <c r="DM51" s="141"/>
      <c r="DN51" s="141"/>
      <c r="DO51" s="141"/>
      <c r="DP51" s="141"/>
      <c r="DQ51" s="141"/>
      <c r="DR51" s="141"/>
      <c r="DS51" s="141"/>
      <c r="DT51" s="141"/>
      <c r="DU51" s="141"/>
      <c r="DV51" s="141"/>
      <c r="DW51" s="141"/>
      <c r="DX51" s="141"/>
      <c r="DY51" s="141"/>
      <c r="DZ51" s="141"/>
      <c r="EA51" s="141"/>
      <c r="EB51" s="141"/>
      <c r="EC51" s="141"/>
      <c r="ED51" s="141"/>
      <c r="EE51" s="141"/>
      <c r="EF51" s="141"/>
      <c r="EG51" s="141"/>
      <c r="EH51" s="141"/>
      <c r="EI51" s="141"/>
      <c r="EJ51" s="141"/>
      <c r="EK51" s="141"/>
      <c r="EL51" s="141"/>
      <c r="EM51" s="141"/>
      <c r="EN51" s="141"/>
      <c r="EO51" s="141"/>
      <c r="EP51" s="141"/>
      <c r="EQ51" s="150"/>
      <c r="ER51" s="141"/>
      <c r="ES51" s="141"/>
      <c r="ET51" s="141"/>
      <c r="EU51" s="141"/>
      <c r="EV51" s="141"/>
      <c r="EW51" s="142">
        <f>20-20+10</f>
        <v>10</v>
      </c>
      <c r="EX51" s="202">
        <v>10</v>
      </c>
      <c r="EY51" s="141"/>
      <c r="EZ51" s="142">
        <f>20-20</f>
        <v>0</v>
      </c>
      <c r="FA51" s="202">
        <v>60</v>
      </c>
      <c r="FB51" s="141"/>
      <c r="FC51" s="141"/>
      <c r="FD51" s="141"/>
      <c r="FE51" s="202">
        <v>5</v>
      </c>
      <c r="FF51" s="141"/>
      <c r="FG51" s="141"/>
      <c r="FH51" s="202">
        <v>4</v>
      </c>
      <c r="FI51" s="141"/>
      <c r="FJ51" s="141"/>
      <c r="FK51" s="141"/>
      <c r="FL51" s="141"/>
      <c r="FM51" s="141"/>
      <c r="FN51" s="142">
        <f>20-20</f>
        <v>0</v>
      </c>
      <c r="FO51" s="141"/>
      <c r="FP51" s="142">
        <f>40-40</f>
        <v>0</v>
      </c>
      <c r="FQ51" s="142">
        <f>20-20</f>
        <v>0</v>
      </c>
      <c r="FR51" s="141"/>
      <c r="FS51" s="141"/>
      <c r="FT51" s="141"/>
      <c r="FU51" s="142">
        <f>40-40</f>
        <v>0</v>
      </c>
      <c r="FV51" s="142">
        <f>40-40</f>
        <v>0</v>
      </c>
      <c r="FW51" s="141"/>
      <c r="FX51" s="141"/>
      <c r="FY51" s="141"/>
      <c r="FZ51" s="141"/>
      <c r="GA51" s="141"/>
      <c r="GB51" s="141"/>
      <c r="GC51" s="142">
        <f>30-30</f>
        <v>0</v>
      </c>
      <c r="GD51" s="142">
        <f>150-150</f>
        <v>0</v>
      </c>
      <c r="GE51" s="141"/>
      <c r="GF51" s="141"/>
      <c r="GG51" s="141"/>
      <c r="GH51" s="141"/>
      <c r="GI51" s="141"/>
      <c r="GJ51" s="141"/>
      <c r="GK51" s="141"/>
      <c r="GL51" s="141"/>
      <c r="GM51" s="141"/>
      <c r="GN51" s="141"/>
      <c r="GO51" s="141"/>
      <c r="GP51" s="151"/>
      <c r="GQ51" s="152">
        <v>44428</v>
      </c>
      <c r="GR51" s="153" t="s">
        <v>522</v>
      </c>
      <c r="GS51" s="153" t="s">
        <v>591</v>
      </c>
      <c r="GT51" s="153" t="s">
        <v>592</v>
      </c>
      <c r="GU51" s="144">
        <f t="shared" si="1"/>
        <v>89</v>
      </c>
      <c r="GV51" s="147" t="s">
        <v>560</v>
      </c>
    </row>
    <row r="52" spans="1:204">
      <c r="A52" s="138" t="s">
        <v>526</v>
      </c>
      <c r="B52" s="138" t="s">
        <v>525</v>
      </c>
      <c r="C52" s="138" t="s">
        <v>555</v>
      </c>
      <c r="D52" s="138" t="s">
        <v>4</v>
      </c>
      <c r="E52" s="149" t="s">
        <v>589</v>
      </c>
      <c r="F52" s="138" t="s">
        <v>520</v>
      </c>
      <c r="G52" s="138" t="s">
        <v>722</v>
      </c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1"/>
      <c r="BN52" s="141"/>
      <c r="BO52" s="141"/>
      <c r="BP52" s="141"/>
      <c r="BQ52" s="141"/>
      <c r="BR52" s="141"/>
      <c r="BS52" s="141"/>
      <c r="BT52" s="141"/>
      <c r="BU52" s="141"/>
      <c r="BV52" s="141"/>
      <c r="BW52" s="141"/>
      <c r="BX52" s="141"/>
      <c r="BY52" s="141"/>
      <c r="BZ52" s="141"/>
      <c r="CA52" s="141"/>
      <c r="CB52" s="141"/>
      <c r="CC52" s="141"/>
      <c r="CD52" s="141"/>
      <c r="CE52" s="141"/>
      <c r="CF52" s="141"/>
      <c r="CG52" s="141"/>
      <c r="CH52" s="141"/>
      <c r="CI52" s="141"/>
      <c r="CJ52" s="141"/>
      <c r="CK52" s="141"/>
      <c r="CL52" s="141"/>
      <c r="CM52" s="141"/>
      <c r="CN52" s="141"/>
      <c r="CO52" s="141"/>
      <c r="CP52" s="141"/>
      <c r="CQ52" s="141"/>
      <c r="CR52" s="141"/>
      <c r="CS52" s="141"/>
      <c r="CT52" s="141"/>
      <c r="CU52" s="141"/>
      <c r="CV52" s="141"/>
      <c r="CW52" s="141"/>
      <c r="CX52" s="141"/>
      <c r="CY52" s="141"/>
      <c r="CZ52" s="141"/>
      <c r="DA52" s="141"/>
      <c r="DB52" s="141"/>
      <c r="DC52" s="141"/>
      <c r="DD52" s="141"/>
      <c r="DE52" s="141"/>
      <c r="DF52" s="141"/>
      <c r="DG52" s="141"/>
      <c r="DH52" s="141"/>
      <c r="DI52" s="141"/>
      <c r="DJ52" s="141"/>
      <c r="DK52" s="141"/>
      <c r="DL52" s="141"/>
      <c r="DM52" s="141"/>
      <c r="DN52" s="141"/>
      <c r="DO52" s="141"/>
      <c r="DP52" s="141"/>
      <c r="DQ52" s="141"/>
      <c r="DR52" s="141"/>
      <c r="DS52" s="141"/>
      <c r="DT52" s="141"/>
      <c r="DU52" s="141"/>
      <c r="DV52" s="141"/>
      <c r="DW52" s="141"/>
      <c r="DX52" s="141"/>
      <c r="DY52" s="141"/>
      <c r="DZ52" s="141"/>
      <c r="EA52" s="142">
        <f>50-50</f>
        <v>0</v>
      </c>
      <c r="EB52" s="142">
        <f>40-40</f>
        <v>0</v>
      </c>
      <c r="EC52" s="142">
        <f>30-30</f>
        <v>0</v>
      </c>
      <c r="ED52" s="142">
        <f>30-30</f>
        <v>0</v>
      </c>
      <c r="EE52" s="141"/>
      <c r="EF52" s="141"/>
      <c r="EG52" s="141"/>
      <c r="EH52" s="142">
        <f>160-160+5</f>
        <v>5</v>
      </c>
      <c r="EI52" s="141"/>
      <c r="EJ52" s="141"/>
      <c r="EK52" s="141"/>
      <c r="EL52" s="142">
        <f>80-80</f>
        <v>0</v>
      </c>
      <c r="EM52" s="141"/>
      <c r="EN52" s="141"/>
      <c r="EO52" s="142">
        <f>110-110</f>
        <v>0</v>
      </c>
      <c r="EP52" s="141"/>
      <c r="EQ52" s="150"/>
      <c r="ER52" s="142">
        <f>140-140</f>
        <v>0</v>
      </c>
      <c r="ES52" s="141"/>
      <c r="ET52" s="141"/>
      <c r="EU52" s="142">
        <f>30-30</f>
        <v>0</v>
      </c>
      <c r="EV52" s="141"/>
      <c r="EW52" s="141"/>
      <c r="EX52" s="142">
        <f>20-20</f>
        <v>0</v>
      </c>
      <c r="EY52" s="141"/>
      <c r="EZ52" s="141"/>
      <c r="FA52" s="142">
        <f>60-60</f>
        <v>0</v>
      </c>
      <c r="FB52" s="142">
        <f>60-60</f>
        <v>0</v>
      </c>
      <c r="FC52" s="142">
        <f>40-40</f>
        <v>0</v>
      </c>
      <c r="FD52" s="141"/>
      <c r="FE52" s="142">
        <f>40-40</f>
        <v>0</v>
      </c>
      <c r="FF52" s="142">
        <f>40-40</f>
        <v>0</v>
      </c>
      <c r="FG52" s="142">
        <f>60-60+10</f>
        <v>10</v>
      </c>
      <c r="FH52" s="142">
        <f>60-60</f>
        <v>0</v>
      </c>
      <c r="FI52" s="141"/>
      <c r="FJ52" s="142">
        <f>40-40</f>
        <v>0</v>
      </c>
      <c r="FK52" s="142">
        <f>20-20+20</f>
        <v>20</v>
      </c>
      <c r="FL52" s="142">
        <f>20-20</f>
        <v>0</v>
      </c>
      <c r="FM52" s="141"/>
      <c r="FN52" s="141"/>
      <c r="FO52" s="142">
        <f>20-20</f>
        <v>0</v>
      </c>
      <c r="FP52" s="141"/>
      <c r="FQ52" s="202">
        <v>20</v>
      </c>
      <c r="FR52" s="141"/>
      <c r="FS52" s="142">
        <f>20-20</f>
        <v>0</v>
      </c>
      <c r="FT52" s="141"/>
      <c r="FU52" s="141"/>
      <c r="FV52" s="141"/>
      <c r="FW52" s="141"/>
      <c r="FX52" s="141"/>
      <c r="FY52" s="141"/>
      <c r="FZ52" s="141"/>
      <c r="GA52" s="141"/>
      <c r="GB52" s="141"/>
      <c r="GC52" s="141"/>
      <c r="GD52" s="141"/>
      <c r="GE52" s="141"/>
      <c r="GF52" s="141"/>
      <c r="GG52" s="141"/>
      <c r="GH52" s="141"/>
      <c r="GI52" s="141"/>
      <c r="GJ52" s="141"/>
      <c r="GK52" s="141"/>
      <c r="GL52" s="141"/>
      <c r="GM52" s="141"/>
      <c r="GN52" s="141"/>
      <c r="GO52" s="141"/>
      <c r="GP52" s="151"/>
      <c r="GQ52" s="152">
        <v>44428</v>
      </c>
      <c r="GR52" s="153" t="s">
        <v>522</v>
      </c>
      <c r="GS52" s="153" t="s">
        <v>591</v>
      </c>
      <c r="GT52" s="153" t="s">
        <v>592</v>
      </c>
      <c r="GU52" s="144">
        <f t="shared" si="1"/>
        <v>55</v>
      </c>
      <c r="GV52" s="147" t="s">
        <v>560</v>
      </c>
    </row>
    <row r="53" spans="1:204">
      <c r="A53" s="138" t="s">
        <v>517</v>
      </c>
      <c r="B53" s="138" t="s">
        <v>517</v>
      </c>
      <c r="C53" s="138" t="s">
        <v>555</v>
      </c>
      <c r="D53" s="138" t="s">
        <v>8</v>
      </c>
      <c r="E53" s="140" t="s">
        <v>594</v>
      </c>
      <c r="F53" s="138" t="s">
        <v>520</v>
      </c>
      <c r="G53" s="138" t="s">
        <v>723</v>
      </c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1"/>
      <c r="BN53" s="141"/>
      <c r="BO53" s="141"/>
      <c r="BP53" s="141"/>
      <c r="BQ53" s="141"/>
      <c r="BR53" s="141"/>
      <c r="BS53" s="141"/>
      <c r="BT53" s="141"/>
      <c r="BU53" s="141"/>
      <c r="BV53" s="141"/>
      <c r="BW53" s="141"/>
      <c r="BX53" s="141"/>
      <c r="BY53" s="141"/>
      <c r="BZ53" s="141"/>
      <c r="CA53" s="141"/>
      <c r="CB53" s="141"/>
      <c r="CC53" s="141"/>
      <c r="CD53" s="141"/>
      <c r="CE53" s="141"/>
      <c r="CF53" s="141"/>
      <c r="CG53" s="141"/>
      <c r="CH53" s="141"/>
      <c r="CI53" s="141"/>
      <c r="CJ53" s="141"/>
      <c r="CK53" s="141"/>
      <c r="CL53" s="141"/>
      <c r="CM53" s="141"/>
      <c r="CN53" s="141"/>
      <c r="CO53" s="141"/>
      <c r="CP53" s="141"/>
      <c r="CQ53" s="141"/>
      <c r="CR53" s="141"/>
      <c r="CS53" s="141"/>
      <c r="CT53" s="141"/>
      <c r="CU53" s="141"/>
      <c r="CV53" s="141"/>
      <c r="CW53" s="141"/>
      <c r="CX53" s="141"/>
      <c r="CY53" s="141"/>
      <c r="CZ53" s="141"/>
      <c r="DA53" s="141"/>
      <c r="DB53" s="141"/>
      <c r="DC53" s="141"/>
      <c r="DD53" s="141"/>
      <c r="DE53" s="141"/>
      <c r="DF53" s="141"/>
      <c r="DG53" s="141"/>
      <c r="DH53" s="141"/>
      <c r="DI53" s="141"/>
      <c r="DJ53" s="141"/>
      <c r="DK53" s="141"/>
      <c r="DL53" s="141"/>
      <c r="DM53" s="141"/>
      <c r="DN53" s="141"/>
      <c r="DO53" s="141"/>
      <c r="DP53" s="141"/>
      <c r="DQ53" s="141"/>
      <c r="DR53" s="141"/>
      <c r="DS53" s="141"/>
      <c r="DT53" s="141"/>
      <c r="DU53" s="141"/>
      <c r="DV53" s="141"/>
      <c r="DW53" s="141"/>
      <c r="DX53" s="141"/>
      <c r="DY53" s="141"/>
      <c r="DZ53" s="141"/>
      <c r="EA53" s="141"/>
      <c r="EB53" s="141"/>
      <c r="EC53" s="141"/>
      <c r="ED53" s="141"/>
      <c r="EE53" s="141"/>
      <c r="EF53" s="141"/>
      <c r="EG53" s="141"/>
      <c r="EH53" s="141"/>
      <c r="EI53" s="141"/>
      <c r="EJ53" s="141"/>
      <c r="EK53" s="141"/>
      <c r="EL53" s="141"/>
      <c r="EM53" s="141"/>
      <c r="EN53" s="141"/>
      <c r="EO53" s="141"/>
      <c r="EP53" s="141"/>
      <c r="EQ53" s="150"/>
      <c r="ER53" s="141"/>
      <c r="ES53" s="141"/>
      <c r="ET53" s="141"/>
      <c r="EU53" s="141"/>
      <c r="EV53" s="142">
        <f>100-100</f>
        <v>0</v>
      </c>
      <c r="EW53" s="141"/>
      <c r="EX53" s="141"/>
      <c r="EY53" s="141"/>
      <c r="EZ53" s="142">
        <f>100-100</f>
        <v>0</v>
      </c>
      <c r="FA53" s="141"/>
      <c r="FB53" s="141"/>
      <c r="FC53" s="141"/>
      <c r="FD53" s="141"/>
      <c r="FE53" s="141"/>
      <c r="FF53" s="141"/>
      <c r="FG53" s="141"/>
      <c r="FH53" s="141"/>
      <c r="FI53" s="141"/>
      <c r="FJ53" s="141"/>
      <c r="FK53" s="141"/>
      <c r="FL53" s="141"/>
      <c r="FM53" s="141"/>
      <c r="FN53" s="141"/>
      <c r="FO53" s="141"/>
      <c r="FP53" s="141"/>
      <c r="FQ53" s="141"/>
      <c r="FR53" s="141"/>
      <c r="FS53" s="141"/>
      <c r="FT53" s="141"/>
      <c r="FU53" s="141"/>
      <c r="FV53" s="141"/>
      <c r="FW53" s="141"/>
      <c r="FX53" s="141"/>
      <c r="FY53" s="141"/>
      <c r="FZ53" s="141"/>
      <c r="GA53" s="141"/>
      <c r="GB53" s="141"/>
      <c r="GC53" s="141"/>
      <c r="GD53" s="141"/>
      <c r="GE53" s="141"/>
      <c r="GF53" s="141"/>
      <c r="GG53" s="141"/>
      <c r="GH53" s="141"/>
      <c r="GI53" s="141"/>
      <c r="GJ53" s="141"/>
      <c r="GK53" s="141"/>
      <c r="GL53" s="141"/>
      <c r="GM53" s="141"/>
      <c r="GN53" s="141"/>
      <c r="GO53" s="141"/>
      <c r="GP53" s="151"/>
      <c r="GQ53" s="152">
        <v>44428</v>
      </c>
      <c r="GR53" s="158" t="s">
        <v>522</v>
      </c>
      <c r="GS53" s="153" t="s">
        <v>724</v>
      </c>
      <c r="GT53" s="153" t="s">
        <v>712</v>
      </c>
      <c r="GU53" s="144">
        <f t="shared" si="1"/>
        <v>0</v>
      </c>
      <c r="GV53" s="147" t="s">
        <v>573</v>
      </c>
    </row>
    <row r="54" spans="1:204">
      <c r="A54" s="138" t="s">
        <v>517</v>
      </c>
      <c r="B54" s="138" t="s">
        <v>517</v>
      </c>
      <c r="C54" s="138" t="s">
        <v>555</v>
      </c>
      <c r="D54" s="138" t="s">
        <v>4</v>
      </c>
      <c r="E54" s="140" t="s">
        <v>594</v>
      </c>
      <c r="F54" s="138" t="s">
        <v>520</v>
      </c>
      <c r="G54" s="138" t="s">
        <v>723</v>
      </c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2">
        <f>5-5</f>
        <v>0</v>
      </c>
      <c r="AZ54" s="142">
        <f>5-5</f>
        <v>0</v>
      </c>
      <c r="BA54" s="142">
        <f>5-5</f>
        <v>0</v>
      </c>
      <c r="BB54" s="142">
        <f>10-10+5</f>
        <v>5</v>
      </c>
      <c r="BC54" s="142">
        <f>5-5</f>
        <v>0</v>
      </c>
      <c r="BD54" s="142">
        <f>5-5+5</f>
        <v>5</v>
      </c>
      <c r="BE54" s="141"/>
      <c r="BF54" s="141"/>
      <c r="BG54" s="141"/>
      <c r="BH54" s="141"/>
      <c r="BI54" s="141"/>
      <c r="BJ54" s="141"/>
      <c r="BK54" s="141"/>
      <c r="BL54" s="141"/>
      <c r="BM54" s="141"/>
      <c r="BN54" s="141"/>
      <c r="BO54" s="142">
        <f>5-5+2</f>
        <v>2</v>
      </c>
      <c r="BP54" s="142">
        <f>5-5</f>
        <v>0</v>
      </c>
      <c r="BQ54" s="142">
        <f>5-5+5</f>
        <v>5</v>
      </c>
      <c r="BR54" s="142">
        <f>5-5+5</f>
        <v>5</v>
      </c>
      <c r="BS54" s="141"/>
      <c r="BT54" s="142">
        <f>5-5+5</f>
        <v>5</v>
      </c>
      <c r="BU54" s="141"/>
      <c r="BV54" s="141"/>
      <c r="BW54" s="141"/>
      <c r="BX54" s="141"/>
      <c r="BY54" s="141"/>
      <c r="BZ54" s="141"/>
      <c r="CA54" s="141"/>
      <c r="CB54" s="141"/>
      <c r="CC54" s="141"/>
      <c r="CD54" s="141"/>
      <c r="CE54" s="142">
        <f>5-5+5</f>
        <v>5</v>
      </c>
      <c r="CF54" s="142">
        <f>5-5</f>
        <v>0</v>
      </c>
      <c r="CG54" s="142">
        <f>5-5</f>
        <v>0</v>
      </c>
      <c r="CH54" s="142">
        <f>5-5</f>
        <v>0</v>
      </c>
      <c r="CI54" s="141"/>
      <c r="CJ54" s="142">
        <f>10-10+10</f>
        <v>10</v>
      </c>
      <c r="CK54" s="142">
        <f>5-5+1</f>
        <v>1</v>
      </c>
      <c r="CL54" s="142">
        <f>5-5</f>
        <v>0</v>
      </c>
      <c r="CM54" s="142">
        <f>5-5</f>
        <v>0</v>
      </c>
      <c r="CN54" s="142">
        <f>5-5</f>
        <v>0</v>
      </c>
      <c r="CO54" s="141"/>
      <c r="CP54" s="142">
        <f>5-5+5</f>
        <v>5</v>
      </c>
      <c r="CQ54" s="142">
        <f>10-10</f>
        <v>0</v>
      </c>
      <c r="CR54" s="142">
        <f>5-5</f>
        <v>0</v>
      </c>
      <c r="CS54" s="142">
        <f>5-5</f>
        <v>0</v>
      </c>
      <c r="CT54" s="142">
        <f>10-10</f>
        <v>0</v>
      </c>
      <c r="CU54" s="142">
        <f>5-5+5</f>
        <v>5</v>
      </c>
      <c r="CV54" s="142">
        <f>20-20+4</f>
        <v>4</v>
      </c>
      <c r="CW54" s="142">
        <f>5-5</f>
        <v>0</v>
      </c>
      <c r="CX54" s="142">
        <f>20-20</f>
        <v>0</v>
      </c>
      <c r="CY54" s="142">
        <f>10-10+2</f>
        <v>2</v>
      </c>
      <c r="CZ54" s="141"/>
      <c r="DA54" s="142">
        <f>20-20</f>
        <v>0</v>
      </c>
      <c r="DB54" s="141"/>
      <c r="DC54" s="141"/>
      <c r="DD54" s="141"/>
      <c r="DE54" s="142">
        <f>100-100+20</f>
        <v>20</v>
      </c>
      <c r="DF54" s="142">
        <f>10-10+10</f>
        <v>10</v>
      </c>
      <c r="DG54" s="141"/>
      <c r="DH54" s="141"/>
      <c r="DI54" s="141"/>
      <c r="DJ54" s="141"/>
      <c r="DK54" s="141"/>
      <c r="DL54" s="141"/>
      <c r="DM54" s="142">
        <f>30-30+20</f>
        <v>20</v>
      </c>
      <c r="DN54" s="142">
        <f>30-30</f>
        <v>0</v>
      </c>
      <c r="DO54" s="141"/>
      <c r="DP54" s="142">
        <f>50-50+10</f>
        <v>10</v>
      </c>
      <c r="DQ54" s="142">
        <f>150-150+20</f>
        <v>20</v>
      </c>
      <c r="DR54" s="142">
        <f>30-30</f>
        <v>0</v>
      </c>
      <c r="DS54" s="142">
        <f>50-50+20</f>
        <v>20</v>
      </c>
      <c r="DT54" s="142">
        <f>50-50</f>
        <v>0</v>
      </c>
      <c r="DU54" s="142">
        <f>50-50+20</f>
        <v>20</v>
      </c>
      <c r="DV54" s="142">
        <f>50-50</f>
        <v>0</v>
      </c>
      <c r="DW54" s="141"/>
      <c r="DX54" s="141"/>
      <c r="DY54" s="141"/>
      <c r="DZ54" s="141"/>
      <c r="EA54" s="141"/>
      <c r="EB54" s="141"/>
      <c r="EC54" s="141"/>
      <c r="ED54" s="141"/>
      <c r="EE54" s="141"/>
      <c r="EF54" s="141"/>
      <c r="EG54" s="141"/>
      <c r="EH54" s="141"/>
      <c r="EI54" s="141"/>
      <c r="EJ54" s="141"/>
      <c r="EK54" s="141"/>
      <c r="EL54" s="142">
        <f>100-100</f>
        <v>0</v>
      </c>
      <c r="EM54" s="141"/>
      <c r="EN54" s="141"/>
      <c r="EO54" s="142">
        <f>50-50+5</f>
        <v>5</v>
      </c>
      <c r="EP54" s="141"/>
      <c r="EQ54" s="150"/>
      <c r="ER54" s="141"/>
      <c r="ES54" s="141"/>
      <c r="ET54" s="141"/>
      <c r="EU54" s="141"/>
      <c r="EV54" s="141"/>
      <c r="EW54" s="141"/>
      <c r="EX54" s="141"/>
      <c r="EY54" s="141"/>
      <c r="EZ54" s="141"/>
      <c r="FA54" s="141"/>
      <c r="FB54" s="141"/>
      <c r="FC54" s="142">
        <f>50-50</f>
        <v>0</v>
      </c>
      <c r="FD54" s="141"/>
      <c r="FE54" s="141"/>
      <c r="FF54" s="142">
        <f>50-50</f>
        <v>0</v>
      </c>
      <c r="FG54" s="141"/>
      <c r="FH54" s="141"/>
      <c r="FI54" s="141"/>
      <c r="FJ54" s="141"/>
      <c r="FK54" s="141"/>
      <c r="FL54" s="141"/>
      <c r="FM54" s="141"/>
      <c r="FN54" s="141"/>
      <c r="FO54" s="141"/>
      <c r="FP54" s="141"/>
      <c r="FQ54" s="141"/>
      <c r="FR54" s="141"/>
      <c r="FS54" s="141"/>
      <c r="FT54" s="141"/>
      <c r="FU54" s="141"/>
      <c r="FV54" s="141"/>
      <c r="FW54" s="141"/>
      <c r="FX54" s="141"/>
      <c r="FY54" s="141"/>
      <c r="FZ54" s="141"/>
      <c r="GA54" s="141"/>
      <c r="GB54" s="141"/>
      <c r="GC54" s="141"/>
      <c r="GD54" s="141"/>
      <c r="GE54" s="141"/>
      <c r="GF54" s="141"/>
      <c r="GG54" s="141"/>
      <c r="GH54" s="141"/>
      <c r="GI54" s="141"/>
      <c r="GJ54" s="141"/>
      <c r="GK54" s="141"/>
      <c r="GL54" s="141"/>
      <c r="GM54" s="141"/>
      <c r="GN54" s="141"/>
      <c r="GO54" s="141"/>
      <c r="GP54" s="151"/>
      <c r="GQ54" s="152">
        <v>44428</v>
      </c>
      <c r="GR54" s="158" t="s">
        <v>522</v>
      </c>
      <c r="GS54" s="153" t="s">
        <v>724</v>
      </c>
      <c r="GT54" s="153" t="s">
        <v>712</v>
      </c>
      <c r="GU54" s="144">
        <f t="shared" si="1"/>
        <v>184</v>
      </c>
      <c r="GV54" s="147" t="s">
        <v>573</v>
      </c>
    </row>
    <row r="55" spans="1:204">
      <c r="A55" s="138" t="s">
        <v>517</v>
      </c>
      <c r="B55" s="138" t="s">
        <v>517</v>
      </c>
      <c r="C55" s="138" t="s">
        <v>555</v>
      </c>
      <c r="D55" s="138" t="s">
        <v>4</v>
      </c>
      <c r="E55" s="140" t="s">
        <v>594</v>
      </c>
      <c r="F55" s="138" t="s">
        <v>520</v>
      </c>
      <c r="G55" s="138" t="s">
        <v>723</v>
      </c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141"/>
      <c r="AI55" s="141"/>
      <c r="AJ55" s="141"/>
      <c r="AK55" s="141"/>
      <c r="AL55" s="141"/>
      <c r="AM55" s="141"/>
      <c r="AN55" s="141"/>
      <c r="AO55" s="141"/>
      <c r="AP55" s="141"/>
      <c r="AQ55" s="141"/>
      <c r="AR55" s="141"/>
      <c r="AS55" s="141"/>
      <c r="AT55" s="141"/>
      <c r="AU55" s="141"/>
      <c r="AV55" s="141"/>
      <c r="AW55" s="141"/>
      <c r="AX55" s="141"/>
      <c r="AY55" s="141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1"/>
      <c r="BN55" s="141"/>
      <c r="BO55" s="141"/>
      <c r="BP55" s="141"/>
      <c r="BQ55" s="141"/>
      <c r="BR55" s="141"/>
      <c r="BS55" s="141"/>
      <c r="BT55" s="141"/>
      <c r="BU55" s="141"/>
      <c r="BV55" s="141"/>
      <c r="BW55" s="141"/>
      <c r="BX55" s="141"/>
      <c r="BY55" s="141"/>
      <c r="BZ55" s="141"/>
      <c r="CA55" s="141"/>
      <c r="CB55" s="141"/>
      <c r="CC55" s="141"/>
      <c r="CD55" s="141"/>
      <c r="CE55" s="141"/>
      <c r="CF55" s="141"/>
      <c r="CG55" s="141"/>
      <c r="CH55" s="141"/>
      <c r="CI55" s="141"/>
      <c r="CJ55" s="141"/>
      <c r="CK55" s="141"/>
      <c r="CL55" s="141"/>
      <c r="CM55" s="141"/>
      <c r="CN55" s="141"/>
      <c r="CO55" s="141"/>
      <c r="CP55" s="141"/>
      <c r="CQ55" s="141"/>
      <c r="CR55" s="141"/>
      <c r="CS55" s="141"/>
      <c r="CT55" s="141"/>
      <c r="CU55" s="141"/>
      <c r="CV55" s="141"/>
      <c r="CW55" s="141"/>
      <c r="CX55" s="141"/>
      <c r="CY55" s="141"/>
      <c r="CZ55" s="141"/>
      <c r="DA55" s="141"/>
      <c r="DB55" s="141"/>
      <c r="DC55" s="141"/>
      <c r="DD55" s="141"/>
      <c r="DE55" s="141"/>
      <c r="DF55" s="141"/>
      <c r="DG55" s="142">
        <f>50-50+20</f>
        <v>20</v>
      </c>
      <c r="DH55" s="141"/>
      <c r="DI55" s="141"/>
      <c r="DJ55" s="141"/>
      <c r="DK55" s="141"/>
      <c r="DL55" s="141"/>
      <c r="DM55" s="141"/>
      <c r="DN55" s="141"/>
      <c r="DO55" s="141"/>
      <c r="DP55" s="141"/>
      <c r="DQ55" s="141"/>
      <c r="DR55" s="141"/>
      <c r="DS55" s="141"/>
      <c r="DT55" s="141"/>
      <c r="DU55" s="141"/>
      <c r="DV55" s="141"/>
      <c r="DW55" s="141"/>
      <c r="DX55" s="141"/>
      <c r="DY55" s="141"/>
      <c r="DZ55" s="141"/>
      <c r="EA55" s="141"/>
      <c r="EB55" s="141"/>
      <c r="EC55" s="141"/>
      <c r="ED55" s="141"/>
      <c r="EE55" s="141"/>
      <c r="EF55" s="141"/>
      <c r="EG55" s="141"/>
      <c r="EH55" s="141"/>
      <c r="EI55" s="141"/>
      <c r="EJ55" s="141"/>
      <c r="EK55" s="141"/>
      <c r="EL55" s="141"/>
      <c r="EM55" s="141"/>
      <c r="EN55" s="141"/>
      <c r="EO55" s="141"/>
      <c r="EP55" s="141"/>
      <c r="EQ55" s="150"/>
      <c r="ER55" s="141"/>
      <c r="ES55" s="141"/>
      <c r="ET55" s="141"/>
      <c r="EU55" s="141"/>
      <c r="EV55" s="141"/>
      <c r="EW55" s="141"/>
      <c r="EX55" s="141"/>
      <c r="EY55" s="141"/>
      <c r="EZ55" s="141"/>
      <c r="FA55" s="141"/>
      <c r="FB55" s="141"/>
      <c r="FC55" s="141"/>
      <c r="FD55" s="141"/>
      <c r="FE55" s="141"/>
      <c r="FF55" s="141"/>
      <c r="FG55" s="141"/>
      <c r="FH55" s="141"/>
      <c r="FI55" s="141"/>
      <c r="FJ55" s="141"/>
      <c r="FK55" s="141"/>
      <c r="FL55" s="141"/>
      <c r="FM55" s="141"/>
      <c r="FN55" s="141"/>
      <c r="FO55" s="141"/>
      <c r="FP55" s="141"/>
      <c r="FQ55" s="141"/>
      <c r="FR55" s="141"/>
      <c r="FS55" s="141"/>
      <c r="FT55" s="141"/>
      <c r="FU55" s="141"/>
      <c r="FV55" s="141"/>
      <c r="FW55" s="141"/>
      <c r="FX55" s="141"/>
      <c r="FY55" s="141"/>
      <c r="FZ55" s="141"/>
      <c r="GA55" s="141"/>
      <c r="GB55" s="141"/>
      <c r="GC55" s="141"/>
      <c r="GD55" s="141"/>
      <c r="GE55" s="141"/>
      <c r="GF55" s="141"/>
      <c r="GG55" s="141"/>
      <c r="GH55" s="141"/>
      <c r="GI55" s="141"/>
      <c r="GJ55" s="141"/>
      <c r="GK55" s="141"/>
      <c r="GL55" s="141"/>
      <c r="GM55" s="141"/>
      <c r="GN55" s="141"/>
      <c r="GO55" s="141"/>
      <c r="GP55" s="151"/>
      <c r="GQ55" s="152">
        <v>44428</v>
      </c>
      <c r="GR55" s="158" t="s">
        <v>522</v>
      </c>
      <c r="GS55" s="153" t="s">
        <v>724</v>
      </c>
      <c r="GT55" s="153" t="s">
        <v>712</v>
      </c>
      <c r="GU55" s="144">
        <f t="shared" si="1"/>
        <v>20</v>
      </c>
      <c r="GV55" s="147" t="s">
        <v>573</v>
      </c>
    </row>
    <row r="56" spans="1:204">
      <c r="A56" s="138" t="s">
        <v>517</v>
      </c>
      <c r="B56" s="139" t="s">
        <v>517</v>
      </c>
      <c r="C56" s="138" t="s">
        <v>555</v>
      </c>
      <c r="D56" s="138" t="s">
        <v>8</v>
      </c>
      <c r="E56" s="140" t="s">
        <v>597</v>
      </c>
      <c r="F56" s="139" t="s">
        <v>520</v>
      </c>
      <c r="G56" s="138" t="s">
        <v>725</v>
      </c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1"/>
      <c r="BN56" s="141"/>
      <c r="BO56" s="141"/>
      <c r="BP56" s="141"/>
      <c r="BQ56" s="141"/>
      <c r="BR56" s="141"/>
      <c r="BS56" s="141"/>
      <c r="BT56" s="141"/>
      <c r="BU56" s="141"/>
      <c r="BV56" s="141"/>
      <c r="BW56" s="141"/>
      <c r="BX56" s="141"/>
      <c r="BY56" s="141"/>
      <c r="BZ56" s="141"/>
      <c r="CA56" s="141"/>
      <c r="CB56" s="141"/>
      <c r="CC56" s="141"/>
      <c r="CD56" s="141"/>
      <c r="CE56" s="141"/>
      <c r="CF56" s="141"/>
      <c r="CG56" s="141"/>
      <c r="CH56" s="141"/>
      <c r="CI56" s="141"/>
      <c r="CJ56" s="141"/>
      <c r="CK56" s="141"/>
      <c r="CL56" s="141"/>
      <c r="CM56" s="141"/>
      <c r="CN56" s="141"/>
      <c r="CO56" s="141"/>
      <c r="CP56" s="141"/>
      <c r="CQ56" s="141"/>
      <c r="CR56" s="141"/>
      <c r="CS56" s="141"/>
      <c r="CT56" s="141"/>
      <c r="CU56" s="141"/>
      <c r="CV56" s="141"/>
      <c r="CW56" s="141"/>
      <c r="CX56" s="141"/>
      <c r="CY56" s="141"/>
      <c r="CZ56" s="141"/>
      <c r="DA56" s="141"/>
      <c r="DB56" s="141"/>
      <c r="DC56" s="141"/>
      <c r="DD56" s="141"/>
      <c r="DE56" s="141"/>
      <c r="DF56" s="141"/>
      <c r="DG56" s="141"/>
      <c r="DH56" s="141"/>
      <c r="DI56" s="141"/>
      <c r="DJ56" s="141"/>
      <c r="DK56" s="141"/>
      <c r="DL56" s="141"/>
      <c r="DM56" s="141"/>
      <c r="DN56" s="141"/>
      <c r="DO56" s="141"/>
      <c r="DP56" s="141"/>
      <c r="DQ56" s="141"/>
      <c r="DR56" s="141"/>
      <c r="DS56" s="141"/>
      <c r="DT56" s="141"/>
      <c r="DU56" s="141"/>
      <c r="DV56" s="141"/>
      <c r="DW56" s="141"/>
      <c r="DX56" s="141"/>
      <c r="DY56" s="141"/>
      <c r="DZ56" s="141"/>
      <c r="EA56" s="141"/>
      <c r="EB56" s="141"/>
      <c r="EC56" s="141"/>
      <c r="ED56" s="141"/>
      <c r="EE56" s="141"/>
      <c r="EF56" s="141"/>
      <c r="EG56" s="141"/>
      <c r="EH56" s="141"/>
      <c r="EI56" s="141"/>
      <c r="EJ56" s="141"/>
      <c r="EK56" s="141"/>
      <c r="EL56" s="141"/>
      <c r="EM56" s="141"/>
      <c r="EN56" s="141"/>
      <c r="EO56" s="141"/>
      <c r="EP56" s="141"/>
      <c r="EQ56" s="150"/>
      <c r="ER56" s="141"/>
      <c r="ES56" s="141"/>
      <c r="ET56" s="141"/>
      <c r="EU56" s="141"/>
      <c r="EV56" s="141"/>
      <c r="EW56" s="142">
        <f>200-200+10</f>
        <v>10</v>
      </c>
      <c r="EX56" s="141"/>
      <c r="EY56" s="141"/>
      <c r="EZ56" s="141"/>
      <c r="FA56" s="141"/>
      <c r="FB56" s="141"/>
      <c r="FC56" s="141"/>
      <c r="FD56" s="141"/>
      <c r="FE56" s="141"/>
      <c r="FF56" s="141"/>
      <c r="FG56" s="141"/>
      <c r="FH56" s="141"/>
      <c r="FI56" s="141"/>
      <c r="FJ56" s="141"/>
      <c r="FK56" s="141"/>
      <c r="FL56" s="141"/>
      <c r="FM56" s="141"/>
      <c r="FN56" s="141"/>
      <c r="FO56" s="141"/>
      <c r="FP56" s="142">
        <f>50-50</f>
        <v>0</v>
      </c>
      <c r="FQ56" s="141"/>
      <c r="FR56" s="141"/>
      <c r="FS56" s="141"/>
      <c r="FT56" s="141"/>
      <c r="FU56" s="141"/>
      <c r="FV56" s="141"/>
      <c r="FW56" s="141"/>
      <c r="FX56" s="141"/>
      <c r="FY56" s="141"/>
      <c r="FZ56" s="141"/>
      <c r="GA56" s="141"/>
      <c r="GB56" s="141"/>
      <c r="GC56" s="141"/>
      <c r="GD56" s="141"/>
      <c r="GE56" s="141"/>
      <c r="GF56" s="141"/>
      <c r="GG56" s="141"/>
      <c r="GH56" s="141"/>
      <c r="GI56" s="141"/>
      <c r="GJ56" s="141"/>
      <c r="GK56" s="141"/>
      <c r="GL56" s="141"/>
      <c r="GM56" s="141"/>
      <c r="GN56" s="141"/>
      <c r="GO56" s="141"/>
      <c r="GP56" s="151"/>
      <c r="GQ56" s="152">
        <v>44428</v>
      </c>
      <c r="GR56" s="158" t="s">
        <v>522</v>
      </c>
      <c r="GS56" s="153" t="s">
        <v>599</v>
      </c>
      <c r="GT56" s="153" t="s">
        <v>712</v>
      </c>
      <c r="GU56" s="144">
        <f t="shared" si="1"/>
        <v>10</v>
      </c>
      <c r="GV56" s="147" t="s">
        <v>573</v>
      </c>
    </row>
    <row r="57" spans="1:204">
      <c r="A57" s="138" t="s">
        <v>517</v>
      </c>
      <c r="B57" s="139" t="s">
        <v>517</v>
      </c>
      <c r="C57" s="138" t="s">
        <v>555</v>
      </c>
      <c r="D57" s="138" t="s">
        <v>4</v>
      </c>
      <c r="E57" s="140" t="s">
        <v>597</v>
      </c>
      <c r="F57" s="139" t="s">
        <v>520</v>
      </c>
      <c r="G57" s="138" t="s">
        <v>725</v>
      </c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41"/>
      <c r="BG57" s="141"/>
      <c r="BH57" s="141"/>
      <c r="BI57" s="141"/>
      <c r="BJ57" s="141"/>
      <c r="BK57" s="141"/>
      <c r="BL57" s="141"/>
      <c r="BM57" s="141"/>
      <c r="BN57" s="141"/>
      <c r="BO57" s="141"/>
      <c r="BP57" s="141"/>
      <c r="BQ57" s="141"/>
      <c r="BR57" s="141"/>
      <c r="BS57" s="141"/>
      <c r="BT57" s="141"/>
      <c r="BU57" s="141"/>
      <c r="BV57" s="141"/>
      <c r="BW57" s="141"/>
      <c r="BX57" s="141"/>
      <c r="BY57" s="141"/>
      <c r="BZ57" s="141"/>
      <c r="CA57" s="141"/>
      <c r="CB57" s="141"/>
      <c r="CC57" s="141"/>
      <c r="CD57" s="141"/>
      <c r="CE57" s="141"/>
      <c r="CF57" s="141"/>
      <c r="CG57" s="141"/>
      <c r="CH57" s="141"/>
      <c r="CI57" s="141"/>
      <c r="CJ57" s="142">
        <f>5-5+5</f>
        <v>5</v>
      </c>
      <c r="CK57" s="141"/>
      <c r="CL57" s="141"/>
      <c r="CM57" s="141"/>
      <c r="CN57" s="141"/>
      <c r="CO57" s="141"/>
      <c r="CP57" s="141"/>
      <c r="CQ57" s="142">
        <f>20-20+2</f>
        <v>2</v>
      </c>
      <c r="CR57" s="141"/>
      <c r="CS57" s="142">
        <f>20-20</f>
        <v>0</v>
      </c>
      <c r="CT57" s="141"/>
      <c r="CU57" s="141"/>
      <c r="CV57" s="142">
        <f>30-30+4</f>
        <v>4</v>
      </c>
      <c r="CW57" s="141"/>
      <c r="CX57" s="142">
        <f>20-20</f>
        <v>0</v>
      </c>
      <c r="CY57" s="141"/>
      <c r="CZ57" s="141"/>
      <c r="DA57" s="141"/>
      <c r="DB57" s="141"/>
      <c r="DC57" s="141"/>
      <c r="DD57" s="141"/>
      <c r="DE57" s="142">
        <f>100-100+10</f>
        <v>10</v>
      </c>
      <c r="DF57" s="141"/>
      <c r="DG57" s="147"/>
      <c r="DH57" s="141"/>
      <c r="DI57" s="141"/>
      <c r="DJ57" s="141"/>
      <c r="DK57" s="141"/>
      <c r="DL57" s="141"/>
      <c r="DM57" s="141"/>
      <c r="DN57" s="141"/>
      <c r="DO57" s="141"/>
      <c r="DP57" s="141"/>
      <c r="DQ57" s="142">
        <f>100-100+10</f>
        <v>10</v>
      </c>
      <c r="DR57" s="141"/>
      <c r="DS57" s="142">
        <f>50-50</f>
        <v>0</v>
      </c>
      <c r="DT57" s="142">
        <f>50-50</f>
        <v>0</v>
      </c>
      <c r="DU57" s="141"/>
      <c r="DV57" s="141"/>
      <c r="DW57" s="141"/>
      <c r="DX57" s="141"/>
      <c r="DY57" s="141"/>
      <c r="DZ57" s="141"/>
      <c r="EA57" s="141"/>
      <c r="EB57" s="141"/>
      <c r="EC57" s="141"/>
      <c r="ED57" s="141"/>
      <c r="EE57" s="141"/>
      <c r="EF57" s="141"/>
      <c r="EG57" s="141"/>
      <c r="EH57" s="141"/>
      <c r="EI57" s="141"/>
      <c r="EJ57" s="141"/>
      <c r="EK57" s="141"/>
      <c r="EL57" s="142">
        <f>100-100</f>
        <v>0</v>
      </c>
      <c r="EM57" s="141"/>
      <c r="EN57" s="141"/>
      <c r="EO57" s="141"/>
      <c r="EP57" s="141"/>
      <c r="EQ57" s="150"/>
      <c r="ER57" s="141"/>
      <c r="ES57" s="142">
        <f>100-100</f>
        <v>0</v>
      </c>
      <c r="ET57" s="141"/>
      <c r="EU57" s="141"/>
      <c r="EV57" s="141"/>
      <c r="EW57" s="147"/>
      <c r="EX57" s="141"/>
      <c r="EY57" s="141"/>
      <c r="EZ57" s="141"/>
      <c r="FA57" s="141"/>
      <c r="FB57" s="141"/>
      <c r="FC57" s="141"/>
      <c r="FD57" s="141"/>
      <c r="FE57" s="141"/>
      <c r="FF57" s="141"/>
      <c r="FG57" s="141"/>
      <c r="FH57" s="141"/>
      <c r="FI57" s="141"/>
      <c r="FJ57" s="142">
        <f>200-200</f>
        <v>0</v>
      </c>
      <c r="FK57" s="141"/>
      <c r="FL57" s="141"/>
      <c r="FM57" s="141"/>
      <c r="FN57" s="141"/>
      <c r="FO57" s="141"/>
      <c r="FP57" s="147"/>
      <c r="FQ57" s="141"/>
      <c r="FR57" s="141"/>
      <c r="FS57" s="141"/>
      <c r="FT57" s="141"/>
      <c r="FU57" s="141"/>
      <c r="FV57" s="141"/>
      <c r="FW57" s="141"/>
      <c r="FX57" s="141"/>
      <c r="FY57" s="141"/>
      <c r="FZ57" s="141"/>
      <c r="GA57" s="141"/>
      <c r="GB57" s="141"/>
      <c r="GC57" s="141"/>
      <c r="GD57" s="141"/>
      <c r="GE57" s="141"/>
      <c r="GF57" s="141"/>
      <c r="GG57" s="141"/>
      <c r="GH57" s="141"/>
      <c r="GI57" s="141"/>
      <c r="GJ57" s="141"/>
      <c r="GK57" s="141"/>
      <c r="GL57" s="141"/>
      <c r="GM57" s="141"/>
      <c r="GN57" s="141"/>
      <c r="GO57" s="141"/>
      <c r="GP57" s="151"/>
      <c r="GQ57" s="152">
        <v>44428</v>
      </c>
      <c r="GR57" s="158" t="s">
        <v>522</v>
      </c>
      <c r="GS57" s="153" t="s">
        <v>599</v>
      </c>
      <c r="GT57" s="153" t="s">
        <v>712</v>
      </c>
      <c r="GU57" s="144">
        <f t="shared" si="1"/>
        <v>31</v>
      </c>
      <c r="GV57" s="147" t="s">
        <v>573</v>
      </c>
    </row>
    <row r="58" spans="1:204">
      <c r="A58" s="138" t="s">
        <v>517</v>
      </c>
      <c r="B58" s="139" t="s">
        <v>517</v>
      </c>
      <c r="C58" s="138" t="s">
        <v>555</v>
      </c>
      <c r="D58" s="138" t="s">
        <v>4</v>
      </c>
      <c r="E58" s="140" t="s">
        <v>597</v>
      </c>
      <c r="F58" s="139" t="s">
        <v>520</v>
      </c>
      <c r="G58" s="138" t="s">
        <v>725</v>
      </c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1"/>
      <c r="BD58" s="141"/>
      <c r="BE58" s="141"/>
      <c r="BF58" s="141"/>
      <c r="BG58" s="141"/>
      <c r="BH58" s="141"/>
      <c r="BI58" s="141"/>
      <c r="BJ58" s="141"/>
      <c r="BK58" s="141"/>
      <c r="BL58" s="141"/>
      <c r="BM58" s="141"/>
      <c r="BN58" s="141"/>
      <c r="BO58" s="141"/>
      <c r="BP58" s="141"/>
      <c r="BQ58" s="141"/>
      <c r="BR58" s="141"/>
      <c r="BS58" s="141"/>
      <c r="BT58" s="141"/>
      <c r="BU58" s="141"/>
      <c r="BV58" s="141"/>
      <c r="BW58" s="141"/>
      <c r="BX58" s="141"/>
      <c r="BY58" s="141"/>
      <c r="BZ58" s="141"/>
      <c r="CA58" s="141"/>
      <c r="CB58" s="141"/>
      <c r="CC58" s="141"/>
      <c r="CD58" s="141"/>
      <c r="CE58" s="141"/>
      <c r="CF58" s="141"/>
      <c r="CG58" s="141"/>
      <c r="CH58" s="141"/>
      <c r="CI58" s="141"/>
      <c r="CJ58" s="141"/>
      <c r="CK58" s="141"/>
      <c r="CL58" s="141"/>
      <c r="CM58" s="141"/>
      <c r="CN58" s="141"/>
      <c r="CO58" s="141"/>
      <c r="CP58" s="141"/>
      <c r="CQ58" s="141"/>
      <c r="CR58" s="141"/>
      <c r="CS58" s="141"/>
      <c r="CT58" s="141"/>
      <c r="CU58" s="141"/>
      <c r="CV58" s="141"/>
      <c r="CW58" s="141"/>
      <c r="CX58" s="141"/>
      <c r="CY58" s="141"/>
      <c r="CZ58" s="141"/>
      <c r="DA58" s="141"/>
      <c r="DB58" s="141"/>
      <c r="DC58" s="141"/>
      <c r="DD58" s="141"/>
      <c r="DE58" s="141"/>
      <c r="DF58" s="141"/>
      <c r="DG58" s="142">
        <f>50-50+20</f>
        <v>20</v>
      </c>
      <c r="DH58" s="141"/>
      <c r="DI58" s="141"/>
      <c r="DJ58" s="141"/>
      <c r="DK58" s="141"/>
      <c r="DL58" s="141"/>
      <c r="DM58" s="141"/>
      <c r="DN58" s="141"/>
      <c r="DO58" s="141"/>
      <c r="DP58" s="141"/>
      <c r="DQ58" s="141"/>
      <c r="DR58" s="141"/>
      <c r="DS58" s="141"/>
      <c r="DT58" s="141"/>
      <c r="DU58" s="141"/>
      <c r="DV58" s="141"/>
      <c r="DW58" s="141"/>
      <c r="DX58" s="141"/>
      <c r="DY58" s="141"/>
      <c r="DZ58" s="141"/>
      <c r="EA58" s="141"/>
      <c r="EB58" s="141"/>
      <c r="EC58" s="141"/>
      <c r="ED58" s="141"/>
      <c r="EE58" s="141"/>
      <c r="EF58" s="141"/>
      <c r="EG58" s="141"/>
      <c r="EH58" s="141"/>
      <c r="EI58" s="141"/>
      <c r="EJ58" s="141"/>
      <c r="EK58" s="141"/>
      <c r="EL58" s="141"/>
      <c r="EM58" s="141"/>
      <c r="EN58" s="141"/>
      <c r="EO58" s="141"/>
      <c r="EP58" s="141"/>
      <c r="EQ58" s="150"/>
      <c r="ER58" s="141"/>
      <c r="ES58" s="141"/>
      <c r="ET58" s="141"/>
      <c r="EU58" s="141"/>
      <c r="EV58" s="141"/>
      <c r="EW58" s="141"/>
      <c r="EX58" s="141"/>
      <c r="EY58" s="141"/>
      <c r="EZ58" s="141"/>
      <c r="FA58" s="141"/>
      <c r="FB58" s="141"/>
      <c r="FC58" s="141"/>
      <c r="FD58" s="141"/>
      <c r="FE58" s="141"/>
      <c r="FF58" s="141"/>
      <c r="FG58" s="141"/>
      <c r="FH58" s="141"/>
      <c r="FI58" s="141"/>
      <c r="FJ58" s="141"/>
      <c r="FK58" s="141"/>
      <c r="FL58" s="141"/>
      <c r="FM58" s="141"/>
      <c r="FN58" s="141"/>
      <c r="FO58" s="141"/>
      <c r="FP58" s="141"/>
      <c r="FQ58" s="141"/>
      <c r="FR58" s="141"/>
      <c r="FS58" s="141"/>
      <c r="FT58" s="141"/>
      <c r="FU58" s="141"/>
      <c r="FV58" s="141"/>
      <c r="FW58" s="141"/>
      <c r="FX58" s="141"/>
      <c r="FY58" s="141"/>
      <c r="FZ58" s="141"/>
      <c r="GA58" s="141"/>
      <c r="GB58" s="141"/>
      <c r="GC58" s="141"/>
      <c r="GD58" s="141"/>
      <c r="GE58" s="141"/>
      <c r="GF58" s="141"/>
      <c r="GG58" s="141"/>
      <c r="GH58" s="141"/>
      <c r="GI58" s="141"/>
      <c r="GJ58" s="141"/>
      <c r="GK58" s="141"/>
      <c r="GL58" s="141"/>
      <c r="GM58" s="141"/>
      <c r="GN58" s="141"/>
      <c r="GO58" s="141"/>
      <c r="GP58" s="151"/>
      <c r="GQ58" s="152">
        <v>44428</v>
      </c>
      <c r="GR58" s="158" t="s">
        <v>522</v>
      </c>
      <c r="GS58" s="153" t="s">
        <v>599</v>
      </c>
      <c r="GT58" s="153" t="s">
        <v>712</v>
      </c>
      <c r="GU58" s="144">
        <f t="shared" si="1"/>
        <v>20</v>
      </c>
      <c r="GV58" s="147" t="s">
        <v>573</v>
      </c>
    </row>
    <row r="59" spans="1:204">
      <c r="A59" s="139" t="s">
        <v>526</v>
      </c>
      <c r="B59" s="139" t="s">
        <v>517</v>
      </c>
      <c r="C59" s="139" t="s">
        <v>555</v>
      </c>
      <c r="D59" s="139" t="s">
        <v>8</v>
      </c>
      <c r="E59" s="160" t="s">
        <v>602</v>
      </c>
      <c r="F59" s="139" t="s">
        <v>520</v>
      </c>
      <c r="G59" s="139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I59" s="150"/>
      <c r="BJ59" s="150"/>
      <c r="BK59" s="150"/>
      <c r="BL59" s="150"/>
      <c r="BM59" s="150"/>
      <c r="BN59" s="150"/>
      <c r="BO59" s="150"/>
      <c r="BP59" s="150"/>
      <c r="BQ59" s="150"/>
      <c r="BR59" s="150"/>
      <c r="BS59" s="150"/>
      <c r="BT59" s="150"/>
      <c r="BU59" s="150"/>
      <c r="BV59" s="150"/>
      <c r="BW59" s="150"/>
      <c r="BX59" s="150"/>
      <c r="BY59" s="150"/>
      <c r="BZ59" s="150"/>
      <c r="CA59" s="150"/>
      <c r="CB59" s="150"/>
      <c r="CC59" s="150"/>
      <c r="CD59" s="150"/>
      <c r="CE59" s="150"/>
      <c r="CF59" s="150"/>
      <c r="CG59" s="150"/>
      <c r="CH59" s="150"/>
      <c r="CI59" s="150"/>
      <c r="CJ59" s="150"/>
      <c r="CK59" s="150"/>
      <c r="CL59" s="150"/>
      <c r="CM59" s="150"/>
      <c r="CN59" s="150"/>
      <c r="CO59" s="150"/>
      <c r="CP59" s="150"/>
      <c r="CQ59" s="150"/>
      <c r="CR59" s="150"/>
      <c r="CS59" s="150"/>
      <c r="CT59" s="150"/>
      <c r="CU59" s="150"/>
      <c r="CV59" s="150"/>
      <c r="CW59" s="150"/>
      <c r="CX59" s="150"/>
      <c r="CY59" s="150"/>
      <c r="CZ59" s="150"/>
      <c r="DA59" s="150"/>
      <c r="DB59" s="150"/>
      <c r="DC59" s="150"/>
      <c r="DD59" s="150"/>
      <c r="DE59" s="150"/>
      <c r="DF59" s="150"/>
      <c r="DG59" s="150"/>
      <c r="DH59" s="150"/>
      <c r="DI59" s="150"/>
      <c r="DJ59" s="150"/>
      <c r="DK59" s="150"/>
      <c r="DL59" s="150"/>
      <c r="DM59" s="150"/>
      <c r="DN59" s="150"/>
      <c r="DO59" s="150"/>
      <c r="DP59" s="150"/>
      <c r="DQ59" s="150"/>
      <c r="DR59" s="150"/>
      <c r="DS59" s="150"/>
      <c r="DT59" s="150"/>
      <c r="DU59" s="150"/>
      <c r="DV59" s="150"/>
      <c r="DW59" s="150"/>
      <c r="DX59" s="150"/>
      <c r="DY59" s="150"/>
      <c r="DZ59" s="150"/>
      <c r="EA59" s="142">
        <f>390-390</f>
        <v>0</v>
      </c>
      <c r="EB59" s="150"/>
      <c r="EC59" s="150"/>
      <c r="ED59" s="150"/>
      <c r="EE59" s="142">
        <f>200-200+40</f>
        <v>40</v>
      </c>
      <c r="EF59" s="150"/>
      <c r="EG59" s="150"/>
      <c r="EH59" s="150"/>
      <c r="EI59" s="150"/>
      <c r="EJ59" s="150"/>
      <c r="EK59" s="150"/>
      <c r="EL59" s="150"/>
      <c r="EM59" s="150"/>
      <c r="EN59" s="150"/>
      <c r="EO59" s="150"/>
      <c r="EP59" s="150"/>
      <c r="EQ59" s="150"/>
      <c r="ER59" s="150"/>
      <c r="ES59" s="150"/>
      <c r="ET59" s="150"/>
      <c r="EU59" s="150"/>
      <c r="EV59" s="142">
        <f>360-360</f>
        <v>0</v>
      </c>
      <c r="EW59" s="142">
        <f>400-400+20</f>
        <v>20</v>
      </c>
      <c r="EX59" s="150"/>
      <c r="EY59" s="150"/>
      <c r="EZ59" s="142">
        <f>250-250</f>
        <v>0</v>
      </c>
      <c r="FA59" s="202">
        <v>200</v>
      </c>
      <c r="FB59" s="150"/>
      <c r="FC59" s="150"/>
      <c r="FD59" s="150"/>
      <c r="FE59" s="150"/>
      <c r="FF59" s="150"/>
      <c r="FG59" s="150"/>
      <c r="FH59" s="150"/>
      <c r="FI59" s="150"/>
      <c r="FJ59" s="150"/>
      <c r="FK59" s="150"/>
      <c r="FL59" s="150"/>
      <c r="FM59" s="150"/>
      <c r="FN59" s="142">
        <f>500-500</f>
        <v>0</v>
      </c>
      <c r="FO59" s="150"/>
      <c r="FP59" s="142">
        <f>180-180</f>
        <v>0</v>
      </c>
      <c r="FQ59" s="142">
        <f>80-80</f>
        <v>0</v>
      </c>
      <c r="FR59" s="150"/>
      <c r="FS59" s="150"/>
      <c r="FT59" s="142">
        <f>286-286</f>
        <v>0</v>
      </c>
      <c r="FU59" s="142">
        <f>200-200</f>
        <v>0</v>
      </c>
      <c r="FV59" s="150"/>
      <c r="FW59" s="150"/>
      <c r="FX59" s="146">
        <f>220-220+35</f>
        <v>35</v>
      </c>
      <c r="FY59" s="150"/>
      <c r="FZ59" s="150"/>
      <c r="GA59" s="150"/>
      <c r="GB59" s="150"/>
      <c r="GC59" s="150"/>
      <c r="GD59" s="142">
        <f>182-182</f>
        <v>0</v>
      </c>
      <c r="GE59" s="142">
        <f>200-200</f>
        <v>0</v>
      </c>
      <c r="GF59" s="150"/>
      <c r="GG59" s="150"/>
      <c r="GH59" s="150"/>
      <c r="GI59" s="150"/>
      <c r="GJ59" s="150"/>
      <c r="GK59" s="150"/>
      <c r="GL59" s="150"/>
      <c r="GM59" s="150"/>
      <c r="GN59" s="150"/>
      <c r="GO59" s="150"/>
      <c r="GP59" s="161"/>
      <c r="GQ59" s="162">
        <v>44416</v>
      </c>
      <c r="GR59" s="158" t="s">
        <v>522</v>
      </c>
      <c r="GS59" s="159"/>
      <c r="GT59" s="159" t="s">
        <v>579</v>
      </c>
      <c r="GU59" s="144">
        <f t="shared" si="1"/>
        <v>295</v>
      </c>
      <c r="GV59" s="145" t="s">
        <v>580</v>
      </c>
    </row>
    <row r="60" spans="1:204">
      <c r="A60" s="139" t="s">
        <v>526</v>
      </c>
      <c r="B60" s="139" t="s">
        <v>517</v>
      </c>
      <c r="C60" s="139" t="s">
        <v>555</v>
      </c>
      <c r="D60" s="139" t="s">
        <v>4</v>
      </c>
      <c r="E60" s="160" t="s">
        <v>602</v>
      </c>
      <c r="F60" s="139" t="s">
        <v>520</v>
      </c>
      <c r="G60" s="139"/>
      <c r="H60" s="150"/>
      <c r="I60" s="150"/>
      <c r="J60" s="142">
        <f>20-20</f>
        <v>0</v>
      </c>
      <c r="K60" s="142">
        <f>30-30</f>
        <v>0</v>
      </c>
      <c r="L60" s="150"/>
      <c r="M60" s="142">
        <f>40-40</f>
        <v>0</v>
      </c>
      <c r="N60" s="142">
        <f>40-40</f>
        <v>0</v>
      </c>
      <c r="O60" s="142">
        <f>40-40</f>
        <v>0</v>
      </c>
      <c r="P60" s="150"/>
      <c r="Q60" s="150"/>
      <c r="R60" s="142">
        <f>16-16</f>
        <v>0</v>
      </c>
      <c r="S60" s="142">
        <f>44-44</f>
        <v>0</v>
      </c>
      <c r="T60" s="150"/>
      <c r="U60" s="150"/>
      <c r="V60" s="142">
        <f>20-20</f>
        <v>0</v>
      </c>
      <c r="W60" s="142">
        <f>20-20+20</f>
        <v>20</v>
      </c>
      <c r="X60" s="150"/>
      <c r="Y60" s="142">
        <f>50-50</f>
        <v>0</v>
      </c>
      <c r="Z60" s="202">
        <v>20</v>
      </c>
      <c r="AA60" s="142">
        <f>20-20</f>
        <v>0</v>
      </c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42">
        <f>200-200</f>
        <v>0</v>
      </c>
      <c r="AQ60" s="142">
        <f>200-200</f>
        <v>0</v>
      </c>
      <c r="AR60" s="150"/>
      <c r="AS60" s="150"/>
      <c r="AT60" s="150"/>
      <c r="AU60" s="150"/>
      <c r="AV60" s="150"/>
      <c r="AW60" s="142">
        <f>60-60+8</f>
        <v>8</v>
      </c>
      <c r="AX60" s="142">
        <f>56-56+10</f>
        <v>10</v>
      </c>
      <c r="AY60" s="142">
        <f>3-3</f>
        <v>0</v>
      </c>
      <c r="AZ60" s="142">
        <f>85-85</f>
        <v>0</v>
      </c>
      <c r="BA60" s="142">
        <f>85-85</f>
        <v>0</v>
      </c>
      <c r="BB60" s="202">
        <v>20</v>
      </c>
      <c r="BC60" s="142">
        <f>425-425</f>
        <v>0</v>
      </c>
      <c r="BD60" s="142">
        <f>90-90+10</f>
        <v>10</v>
      </c>
      <c r="BE60" s="142">
        <f>100-100</f>
        <v>0</v>
      </c>
      <c r="BF60" s="150"/>
      <c r="BG60" s="150"/>
      <c r="BH60" s="150"/>
      <c r="BI60" s="150"/>
      <c r="BJ60" s="150"/>
      <c r="BK60" s="150"/>
      <c r="BL60" s="150"/>
      <c r="BM60" s="142">
        <f>82-82</f>
        <v>0</v>
      </c>
      <c r="BN60" s="142">
        <f>85-85</f>
        <v>0</v>
      </c>
      <c r="BO60" s="142">
        <f>50-50</f>
        <v>0</v>
      </c>
      <c r="BP60" s="142">
        <f>75-75</f>
        <v>0</v>
      </c>
      <c r="BQ60" s="142">
        <f>40-40+20</f>
        <v>20</v>
      </c>
      <c r="BR60" s="142">
        <f>50-50+20</f>
        <v>20</v>
      </c>
      <c r="BS60" s="142">
        <f>100-100</f>
        <v>0</v>
      </c>
      <c r="BT60" s="202">
        <v>20</v>
      </c>
      <c r="BU60" s="150"/>
      <c r="BV60" s="150"/>
      <c r="BW60" s="150"/>
      <c r="BX60" s="150"/>
      <c r="BY60" s="150"/>
      <c r="BZ60" s="150"/>
      <c r="CA60" s="142">
        <f>464-464+4</f>
        <v>4</v>
      </c>
      <c r="CB60" s="142">
        <f>464-464</f>
        <v>0</v>
      </c>
      <c r="CC60" s="142">
        <f>430-430+10</f>
        <v>10</v>
      </c>
      <c r="CD60" s="142">
        <f>430-430</f>
        <v>0</v>
      </c>
      <c r="CE60" s="142">
        <f>335-335+10</f>
        <v>10</v>
      </c>
      <c r="CF60" s="142">
        <f>335-335</f>
        <v>0</v>
      </c>
      <c r="CG60" s="142">
        <f>514-514</f>
        <v>0</v>
      </c>
      <c r="CH60" s="142">
        <f>514-514</f>
        <v>0</v>
      </c>
      <c r="CI60" s="142">
        <f>430-430</f>
        <v>0</v>
      </c>
      <c r="CJ60" s="142">
        <f>10-10+10</f>
        <v>10</v>
      </c>
      <c r="CK60" s="142">
        <f>410-410</f>
        <v>0</v>
      </c>
      <c r="CL60" s="142">
        <f>490-490</f>
        <v>0</v>
      </c>
      <c r="CM60" s="142">
        <f>470-470</f>
        <v>0</v>
      </c>
      <c r="CN60" s="142">
        <f>470-470</f>
        <v>0</v>
      </c>
      <c r="CO60" s="142">
        <f>372-372</f>
        <v>0</v>
      </c>
      <c r="CP60" s="142">
        <f>141-141+10</f>
        <v>10</v>
      </c>
      <c r="CQ60" s="142">
        <f>360-360+10</f>
        <v>10</v>
      </c>
      <c r="CR60" s="142">
        <f>478-478</f>
        <v>0</v>
      </c>
      <c r="CS60" s="142">
        <f>500-500</f>
        <v>0</v>
      </c>
      <c r="CT60" s="142">
        <f>440-440</f>
        <v>0</v>
      </c>
      <c r="CU60" s="142">
        <f>100-100+10</f>
        <v>10</v>
      </c>
      <c r="CV60" s="142">
        <f>240-240+20</f>
        <v>20</v>
      </c>
      <c r="CW60" s="142">
        <f>375-375</f>
        <v>0</v>
      </c>
      <c r="CX60" s="142">
        <f>420-420</f>
        <v>0</v>
      </c>
      <c r="CY60" s="142">
        <f>525-525</f>
        <v>0</v>
      </c>
      <c r="CZ60" s="150"/>
      <c r="DA60" s="142">
        <f>491-491</f>
        <v>0</v>
      </c>
      <c r="DB60" s="142">
        <f>314-314+20</f>
        <v>20</v>
      </c>
      <c r="DC60" s="202">
        <v>20</v>
      </c>
      <c r="DD60" s="150"/>
      <c r="DE60" s="142">
        <f>200-200+20</f>
        <v>20</v>
      </c>
      <c r="DF60" s="142">
        <f>288-288+20</f>
        <v>20</v>
      </c>
      <c r="DG60" s="202">
        <v>40</v>
      </c>
      <c r="DH60" s="150"/>
      <c r="DI60" s="142">
        <f>500-500</f>
        <v>0</v>
      </c>
      <c r="DJ60" s="142">
        <f>500-500</f>
        <v>0</v>
      </c>
      <c r="DK60" s="150"/>
      <c r="DL60" s="150"/>
      <c r="DM60" s="142">
        <f>498-498+20</f>
        <v>20</v>
      </c>
      <c r="DN60" s="142">
        <f>498-498</f>
        <v>0</v>
      </c>
      <c r="DO60" s="150"/>
      <c r="DP60" s="142">
        <f>240-240+20</f>
        <v>20</v>
      </c>
      <c r="DQ60" s="142">
        <f>200-200+100</f>
        <v>100</v>
      </c>
      <c r="DR60" s="142">
        <f>425-425</f>
        <v>0</v>
      </c>
      <c r="DS60" s="142">
        <f>90-90+40</f>
        <v>40</v>
      </c>
      <c r="DT60" s="142">
        <f>90-90</f>
        <v>0</v>
      </c>
      <c r="DU60" s="142">
        <f>480-480</f>
        <v>0</v>
      </c>
      <c r="DV60" s="142">
        <f>480-480</f>
        <v>0</v>
      </c>
      <c r="DW60" s="150"/>
      <c r="DX60" s="150"/>
      <c r="DY60" s="150"/>
      <c r="DZ60" s="150"/>
      <c r="EA60" s="150"/>
      <c r="EB60" s="150"/>
      <c r="EC60" s="142">
        <f>200-200</f>
        <v>0</v>
      </c>
      <c r="ED60" s="142">
        <f>200-200</f>
        <v>0</v>
      </c>
      <c r="EE60" s="150"/>
      <c r="EF60" s="150"/>
      <c r="EG60" s="150"/>
      <c r="EH60" s="150"/>
      <c r="EI60" s="150"/>
      <c r="EJ60" s="150"/>
      <c r="EK60" s="150"/>
      <c r="EL60" s="142">
        <f>440-440</f>
        <v>0</v>
      </c>
      <c r="EM60" s="150"/>
      <c r="EN60" s="150"/>
      <c r="EO60" s="142">
        <f>430-430</f>
        <v>0</v>
      </c>
      <c r="EP60" s="150"/>
      <c r="EQ60" s="150"/>
      <c r="ER60" s="142">
        <f>200-200</f>
        <v>0</v>
      </c>
      <c r="ES60" s="142">
        <f>100-100</f>
        <v>0</v>
      </c>
      <c r="ET60" s="150"/>
      <c r="EU60" s="142">
        <f>480-480</f>
        <v>0</v>
      </c>
      <c r="EV60" s="150"/>
      <c r="EW60" s="150"/>
      <c r="EX60" s="142">
        <f>490-490</f>
        <v>0</v>
      </c>
      <c r="EY60" s="150"/>
      <c r="EZ60" s="150"/>
      <c r="FA60" s="142">
        <f>300-300</f>
        <v>0</v>
      </c>
      <c r="FB60" s="142">
        <f>300-300</f>
        <v>0</v>
      </c>
      <c r="FC60" s="142">
        <f>320-320</f>
        <v>0</v>
      </c>
      <c r="FD60" s="150"/>
      <c r="FE60" s="142">
        <f>500-500</f>
        <v>0</v>
      </c>
      <c r="FF60" s="142">
        <f>500-500</f>
        <v>0</v>
      </c>
      <c r="FG60" s="142">
        <f>430-430+40</f>
        <v>40</v>
      </c>
      <c r="FH60" s="142">
        <f>430-430</f>
        <v>0</v>
      </c>
      <c r="FI60" s="150"/>
      <c r="FJ60" s="142">
        <f>390-390</f>
        <v>0</v>
      </c>
      <c r="FK60" s="142">
        <f>400-400+40</f>
        <v>40</v>
      </c>
      <c r="FL60" s="142">
        <f>460-460</f>
        <v>0</v>
      </c>
      <c r="FM60" s="142">
        <f>500-500</f>
        <v>0</v>
      </c>
      <c r="FN60" s="150"/>
      <c r="FO60" s="142">
        <f>450-450</f>
        <v>0</v>
      </c>
      <c r="FP60" s="150"/>
      <c r="FQ60" s="202">
        <v>60</v>
      </c>
      <c r="FR60" s="142">
        <f>400-400</f>
        <v>0</v>
      </c>
      <c r="FS60" s="150"/>
      <c r="FT60" s="150"/>
      <c r="FU60" s="150"/>
      <c r="FV60" s="150"/>
      <c r="FW60" s="150"/>
      <c r="FX60" s="150"/>
      <c r="FY60" s="150"/>
      <c r="FZ60" s="150"/>
      <c r="GA60" s="142">
        <f>485-485</f>
        <v>0</v>
      </c>
      <c r="GB60" s="150"/>
      <c r="GC60" s="150"/>
      <c r="GD60" s="150"/>
      <c r="GE60" s="150"/>
      <c r="GF60" s="150"/>
      <c r="GG60" s="150"/>
      <c r="GH60" s="150"/>
      <c r="GI60" s="150"/>
      <c r="GJ60" s="150"/>
      <c r="GK60" s="150"/>
      <c r="GL60" s="150"/>
      <c r="GM60" s="150"/>
      <c r="GN60" s="150"/>
      <c r="GO60" s="150"/>
      <c r="GP60" s="161"/>
      <c r="GQ60" s="162">
        <v>44416</v>
      </c>
      <c r="GR60" s="158" t="s">
        <v>522</v>
      </c>
      <c r="GS60" s="159"/>
      <c r="GT60" s="159" t="s">
        <v>579</v>
      </c>
      <c r="GU60" s="144">
        <f t="shared" si="1"/>
        <v>672</v>
      </c>
      <c r="GV60" s="145" t="s">
        <v>580</v>
      </c>
    </row>
    <row r="61" spans="1:204">
      <c r="A61" s="139" t="s">
        <v>526</v>
      </c>
      <c r="B61" s="139" t="s">
        <v>517</v>
      </c>
      <c r="C61" s="139" t="s">
        <v>555</v>
      </c>
      <c r="D61" s="139" t="s">
        <v>3</v>
      </c>
      <c r="E61" s="160" t="s">
        <v>602</v>
      </c>
      <c r="F61" s="139" t="s">
        <v>520</v>
      </c>
      <c r="G61" s="139"/>
      <c r="H61" s="142">
        <f>30-30</f>
        <v>0</v>
      </c>
      <c r="I61" s="150"/>
      <c r="J61" s="150"/>
      <c r="K61" s="150"/>
      <c r="L61" s="142">
        <f>60-60</f>
        <v>0</v>
      </c>
      <c r="M61" s="150"/>
      <c r="N61" s="150"/>
      <c r="O61" s="150"/>
      <c r="P61" s="150"/>
      <c r="Q61" s="142">
        <f>60-60</f>
        <v>0</v>
      </c>
      <c r="R61" s="150"/>
      <c r="S61" s="150"/>
      <c r="T61" s="150"/>
      <c r="U61" s="142">
        <f>40-40</f>
        <v>0</v>
      </c>
      <c r="V61" s="150"/>
      <c r="W61" s="150"/>
      <c r="X61" s="150"/>
      <c r="Y61" s="150"/>
      <c r="Z61" s="142">
        <f>50-50</f>
        <v>0</v>
      </c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I61" s="150"/>
      <c r="BJ61" s="150"/>
      <c r="BK61" s="150"/>
      <c r="BL61" s="150"/>
      <c r="BM61" s="150"/>
      <c r="BN61" s="150"/>
      <c r="BO61" s="150"/>
      <c r="BP61" s="150"/>
      <c r="BQ61" s="150"/>
      <c r="BR61" s="150"/>
      <c r="BS61" s="150"/>
      <c r="BT61" s="150"/>
      <c r="BU61" s="150"/>
      <c r="BV61" s="150"/>
      <c r="BW61" s="150"/>
      <c r="BX61" s="150"/>
      <c r="BY61" s="150"/>
      <c r="BZ61" s="150"/>
      <c r="CA61" s="150"/>
      <c r="CB61" s="150"/>
      <c r="CC61" s="150"/>
      <c r="CD61" s="150"/>
      <c r="CE61" s="150"/>
      <c r="CF61" s="150"/>
      <c r="CG61" s="150"/>
      <c r="CH61" s="150"/>
      <c r="CI61" s="150"/>
      <c r="CJ61" s="150"/>
      <c r="CK61" s="150"/>
      <c r="CL61" s="150"/>
      <c r="CM61" s="150"/>
      <c r="CN61" s="150"/>
      <c r="CO61" s="150"/>
      <c r="CP61" s="150"/>
      <c r="CQ61" s="150"/>
      <c r="CR61" s="150"/>
      <c r="CS61" s="150"/>
      <c r="CT61" s="150"/>
      <c r="CU61" s="150"/>
      <c r="CV61" s="150"/>
      <c r="CW61" s="150"/>
      <c r="CX61" s="150"/>
      <c r="CY61" s="150"/>
      <c r="CZ61" s="150"/>
      <c r="DA61" s="150"/>
      <c r="DB61" s="150"/>
      <c r="DC61" s="142">
        <f>277-277</f>
        <v>0</v>
      </c>
      <c r="DD61" s="142">
        <f>277-277</f>
        <v>0</v>
      </c>
      <c r="DE61" s="150"/>
      <c r="DF61" s="150"/>
      <c r="DG61" s="142">
        <f>100-100</f>
        <v>0</v>
      </c>
      <c r="DH61" s="150"/>
      <c r="DI61" s="150"/>
      <c r="DJ61" s="150"/>
      <c r="DK61" s="150"/>
      <c r="DL61" s="150"/>
      <c r="DM61" s="150"/>
      <c r="DN61" s="150"/>
      <c r="DO61" s="150"/>
      <c r="DP61" s="150"/>
      <c r="DQ61" s="150"/>
      <c r="DR61" s="150"/>
      <c r="DS61" s="150"/>
      <c r="DT61" s="150"/>
      <c r="DU61" s="150"/>
      <c r="DV61" s="150"/>
      <c r="DW61" s="150"/>
      <c r="DX61" s="150"/>
      <c r="DY61" s="150"/>
      <c r="DZ61" s="150"/>
      <c r="EA61" s="150"/>
      <c r="EB61" s="150"/>
      <c r="EC61" s="150"/>
      <c r="ED61" s="150"/>
      <c r="EE61" s="150"/>
      <c r="EF61" s="150"/>
      <c r="EG61" s="150"/>
      <c r="EH61" s="150"/>
      <c r="EI61" s="150"/>
      <c r="EJ61" s="150"/>
      <c r="EK61" s="150"/>
      <c r="EL61" s="150"/>
      <c r="EM61" s="150"/>
      <c r="EN61" s="150"/>
      <c r="EO61" s="150"/>
      <c r="EP61" s="150"/>
      <c r="EQ61" s="150"/>
      <c r="ER61" s="150"/>
      <c r="ES61" s="150"/>
      <c r="ET61" s="150"/>
      <c r="EU61" s="150"/>
      <c r="EV61" s="150"/>
      <c r="EW61" s="150"/>
      <c r="EX61" s="150"/>
      <c r="EY61" s="150"/>
      <c r="EZ61" s="150"/>
      <c r="FA61" s="150"/>
      <c r="FB61" s="150"/>
      <c r="FC61" s="150"/>
      <c r="FD61" s="150"/>
      <c r="FE61" s="150"/>
      <c r="FF61" s="150"/>
      <c r="FG61" s="150"/>
      <c r="FH61" s="150"/>
      <c r="FI61" s="150"/>
      <c r="FJ61" s="150"/>
      <c r="FK61" s="150"/>
      <c r="FL61" s="150"/>
      <c r="FM61" s="150"/>
      <c r="FN61" s="150"/>
      <c r="FO61" s="150"/>
      <c r="FP61" s="150"/>
      <c r="FQ61" s="150"/>
      <c r="FR61" s="150"/>
      <c r="FS61" s="150"/>
      <c r="FT61" s="150"/>
      <c r="FU61" s="150"/>
      <c r="FV61" s="142">
        <f>375-375</f>
        <v>0</v>
      </c>
      <c r="FW61" s="150"/>
      <c r="FX61" s="150"/>
      <c r="FY61" s="150"/>
      <c r="FZ61" s="150"/>
      <c r="GA61" s="150"/>
      <c r="GB61" s="150"/>
      <c r="GC61" s="150"/>
      <c r="GD61" s="150"/>
      <c r="GE61" s="150"/>
      <c r="GF61" s="150"/>
      <c r="GG61" s="150"/>
      <c r="GH61" s="150"/>
      <c r="GI61" s="150"/>
      <c r="GJ61" s="150"/>
      <c r="GK61" s="150"/>
      <c r="GL61" s="150"/>
      <c r="GM61" s="150"/>
      <c r="GN61" s="150"/>
      <c r="GO61" s="150"/>
      <c r="GP61" s="161"/>
      <c r="GQ61" s="162">
        <v>44416</v>
      </c>
      <c r="GR61" s="158" t="s">
        <v>522</v>
      </c>
      <c r="GS61" s="159"/>
      <c r="GT61" s="159" t="s">
        <v>579</v>
      </c>
      <c r="GU61" s="144">
        <f t="shared" si="1"/>
        <v>0</v>
      </c>
      <c r="GV61" s="145" t="s">
        <v>580</v>
      </c>
    </row>
    <row r="62" spans="1:204">
      <c r="A62" s="138"/>
      <c r="B62" s="138" t="s">
        <v>517</v>
      </c>
      <c r="C62" s="138" t="s">
        <v>555</v>
      </c>
      <c r="D62" s="138" t="s">
        <v>4</v>
      </c>
      <c r="E62" s="140" t="s">
        <v>726</v>
      </c>
      <c r="F62" s="138" t="s">
        <v>520</v>
      </c>
      <c r="G62" s="138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2">
        <f>10-10</f>
        <v>0</v>
      </c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  <c r="BA62" s="141"/>
      <c r="BB62" s="141"/>
      <c r="BC62" s="141"/>
      <c r="BD62" s="141"/>
      <c r="BE62" s="141"/>
      <c r="BF62" s="141"/>
      <c r="BG62" s="141"/>
      <c r="BH62" s="141"/>
      <c r="BI62" s="141"/>
      <c r="BJ62" s="141"/>
      <c r="BK62" s="141"/>
      <c r="BL62" s="141"/>
      <c r="BM62" s="141"/>
      <c r="BN62" s="141"/>
      <c r="BO62" s="141"/>
      <c r="BP62" s="141"/>
      <c r="BQ62" s="141"/>
      <c r="BR62" s="141"/>
      <c r="BS62" s="141"/>
      <c r="BT62" s="141"/>
      <c r="BU62" s="141"/>
      <c r="BV62" s="141"/>
      <c r="BW62" s="141"/>
      <c r="BX62" s="141"/>
      <c r="BY62" s="141"/>
      <c r="BZ62" s="141"/>
      <c r="CA62" s="141"/>
      <c r="CB62" s="141"/>
      <c r="CC62" s="141"/>
      <c r="CD62" s="141"/>
      <c r="CE62" s="141"/>
      <c r="CF62" s="141"/>
      <c r="CG62" s="141"/>
      <c r="CH62" s="141"/>
      <c r="CI62" s="141"/>
      <c r="CJ62" s="141"/>
      <c r="CK62" s="141"/>
      <c r="CL62" s="141"/>
      <c r="CM62" s="141"/>
      <c r="CN62" s="141"/>
      <c r="CO62" s="141"/>
      <c r="CP62" s="141"/>
      <c r="CQ62" s="141"/>
      <c r="CR62" s="141"/>
      <c r="CS62" s="141"/>
      <c r="CT62" s="141"/>
      <c r="CU62" s="141"/>
      <c r="CV62" s="141"/>
      <c r="CW62" s="141"/>
      <c r="CX62" s="141"/>
      <c r="CY62" s="141"/>
      <c r="CZ62" s="141"/>
      <c r="DA62" s="141"/>
      <c r="DB62" s="141"/>
      <c r="DC62" s="141"/>
      <c r="DD62" s="141"/>
      <c r="DE62" s="141"/>
      <c r="DF62" s="141"/>
      <c r="DG62" s="141"/>
      <c r="DH62" s="141"/>
      <c r="DI62" s="141"/>
      <c r="DJ62" s="141"/>
      <c r="DK62" s="141"/>
      <c r="DL62" s="141"/>
      <c r="DM62" s="142">
        <f>10-10+10</f>
        <v>10</v>
      </c>
      <c r="DN62" s="142">
        <f>10-10</f>
        <v>0</v>
      </c>
      <c r="DO62" s="141"/>
      <c r="DP62" s="141"/>
      <c r="DQ62" s="141"/>
      <c r="DR62" s="141"/>
      <c r="DS62" s="141"/>
      <c r="DT62" s="141"/>
      <c r="DU62" s="142">
        <f>40-40+10</f>
        <v>10</v>
      </c>
      <c r="DV62" s="142">
        <f>40-40</f>
        <v>0</v>
      </c>
      <c r="DW62" s="141"/>
      <c r="DX62" s="141"/>
      <c r="DY62" s="141"/>
      <c r="DZ62" s="141"/>
      <c r="EA62" s="141"/>
      <c r="EB62" s="141"/>
      <c r="EC62" s="141"/>
      <c r="ED62" s="141"/>
      <c r="EE62" s="141"/>
      <c r="EF62" s="141"/>
      <c r="EG62" s="141"/>
      <c r="EH62" s="141"/>
      <c r="EI62" s="141"/>
      <c r="EJ62" s="141"/>
      <c r="EK62" s="141"/>
      <c r="EL62" s="141"/>
      <c r="EM62" s="141"/>
      <c r="EN62" s="141"/>
      <c r="EO62" s="141"/>
      <c r="EP62" s="141"/>
      <c r="EQ62" s="150"/>
      <c r="ER62" s="141"/>
      <c r="ES62" s="141"/>
      <c r="ET62" s="141"/>
      <c r="EU62" s="142">
        <f>40-40</f>
        <v>0</v>
      </c>
      <c r="EV62" s="141"/>
      <c r="EW62" s="141"/>
      <c r="EX62" s="141"/>
      <c r="EY62" s="141"/>
      <c r="EZ62" s="141"/>
      <c r="FA62" s="141"/>
      <c r="FB62" s="141"/>
      <c r="FC62" s="141"/>
      <c r="FD62" s="141"/>
      <c r="FE62" s="141"/>
      <c r="FF62" s="141"/>
      <c r="FG62" s="141"/>
      <c r="FH62" s="141"/>
      <c r="FI62" s="141"/>
      <c r="FJ62" s="142">
        <f>60-60</f>
        <v>0</v>
      </c>
      <c r="FK62" s="141"/>
      <c r="FL62" s="141"/>
      <c r="FM62" s="141"/>
      <c r="FN62" s="141"/>
      <c r="FO62" s="141"/>
      <c r="FP62" s="141"/>
      <c r="FQ62" s="141"/>
      <c r="FR62" s="141"/>
      <c r="FS62" s="141"/>
      <c r="FT62" s="141"/>
      <c r="FU62" s="141"/>
      <c r="FV62" s="141"/>
      <c r="FW62" s="141"/>
      <c r="FX62" s="141"/>
      <c r="FY62" s="141"/>
      <c r="FZ62" s="141"/>
      <c r="GA62" s="141"/>
      <c r="GB62" s="141"/>
      <c r="GC62" s="141"/>
      <c r="GD62" s="141"/>
      <c r="GE62" s="141"/>
      <c r="GF62" s="141"/>
      <c r="GG62" s="141"/>
      <c r="GH62" s="141"/>
      <c r="GI62" s="141"/>
      <c r="GJ62" s="141"/>
      <c r="GK62" s="141"/>
      <c r="GL62" s="141"/>
      <c r="GM62" s="141"/>
      <c r="GN62" s="141"/>
      <c r="GO62" s="141"/>
      <c r="GP62" s="151"/>
      <c r="GQ62" s="152"/>
      <c r="GR62" s="153" t="s">
        <v>522</v>
      </c>
      <c r="GS62" s="153"/>
      <c r="GT62" s="153"/>
      <c r="GU62" s="144">
        <f t="shared" si="1"/>
        <v>20</v>
      </c>
      <c r="GV62" s="147" t="s">
        <v>563</v>
      </c>
    </row>
    <row r="63" spans="1:204">
      <c r="A63" s="138" t="s">
        <v>526</v>
      </c>
      <c r="B63" s="138" t="s">
        <v>517</v>
      </c>
      <c r="C63" s="138" t="s">
        <v>555</v>
      </c>
      <c r="D63" s="138" t="s">
        <v>8</v>
      </c>
      <c r="E63" s="140" t="s">
        <v>604</v>
      </c>
      <c r="F63" s="138" t="s">
        <v>520</v>
      </c>
      <c r="G63" s="138" t="s">
        <v>727</v>
      </c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  <c r="BD63" s="141"/>
      <c r="BE63" s="141"/>
      <c r="BF63" s="141"/>
      <c r="BG63" s="141"/>
      <c r="BH63" s="141"/>
      <c r="BI63" s="141"/>
      <c r="BJ63" s="141"/>
      <c r="BK63" s="141"/>
      <c r="BL63" s="141"/>
      <c r="BM63" s="141"/>
      <c r="BN63" s="141"/>
      <c r="BO63" s="141"/>
      <c r="BP63" s="141"/>
      <c r="BQ63" s="141"/>
      <c r="BR63" s="141"/>
      <c r="BS63" s="141"/>
      <c r="BT63" s="141"/>
      <c r="BU63" s="141"/>
      <c r="BV63" s="141"/>
      <c r="BW63" s="141"/>
      <c r="BX63" s="141"/>
      <c r="BY63" s="141"/>
      <c r="BZ63" s="141"/>
      <c r="CA63" s="141"/>
      <c r="CB63" s="141"/>
      <c r="CC63" s="141"/>
      <c r="CD63" s="141"/>
      <c r="CE63" s="141"/>
      <c r="CF63" s="141"/>
      <c r="CG63" s="141"/>
      <c r="CH63" s="141"/>
      <c r="CI63" s="141"/>
      <c r="CJ63" s="141"/>
      <c r="CK63" s="141"/>
      <c r="CL63" s="141"/>
      <c r="CM63" s="141"/>
      <c r="CN63" s="141"/>
      <c r="CO63" s="141"/>
      <c r="CP63" s="141"/>
      <c r="CQ63" s="141"/>
      <c r="CR63" s="141"/>
      <c r="CS63" s="141"/>
      <c r="CT63" s="141"/>
      <c r="CU63" s="141"/>
      <c r="CV63" s="141"/>
      <c r="CW63" s="141"/>
      <c r="CX63" s="141"/>
      <c r="CY63" s="141"/>
      <c r="CZ63" s="141"/>
      <c r="DA63" s="141"/>
      <c r="DB63" s="141"/>
      <c r="DC63" s="141"/>
      <c r="DD63" s="141"/>
      <c r="DE63" s="141"/>
      <c r="DF63" s="141"/>
      <c r="DG63" s="141"/>
      <c r="DH63" s="141"/>
      <c r="DI63" s="141"/>
      <c r="DJ63" s="141"/>
      <c r="DK63" s="141"/>
      <c r="DL63" s="141"/>
      <c r="DM63" s="141"/>
      <c r="DN63" s="141"/>
      <c r="DO63" s="141"/>
      <c r="DP63" s="141"/>
      <c r="DQ63" s="141"/>
      <c r="DR63" s="141"/>
      <c r="DS63" s="141"/>
      <c r="DT63" s="141"/>
      <c r="DU63" s="141"/>
      <c r="DV63" s="141"/>
      <c r="DW63" s="141"/>
      <c r="DX63" s="141"/>
      <c r="DY63" s="141"/>
      <c r="DZ63" s="141"/>
      <c r="EA63" s="141"/>
      <c r="EB63" s="141"/>
      <c r="EC63" s="141"/>
      <c r="ED63" s="141"/>
      <c r="EE63" s="141"/>
      <c r="EF63" s="141"/>
      <c r="EG63" s="141"/>
      <c r="EH63" s="141"/>
      <c r="EI63" s="141"/>
      <c r="EJ63" s="141"/>
      <c r="EK63" s="141"/>
      <c r="EL63" s="141"/>
      <c r="EM63" s="141"/>
      <c r="EN63" s="141"/>
      <c r="EO63" s="141"/>
      <c r="EP63" s="141"/>
      <c r="EQ63" s="150"/>
      <c r="ER63" s="141"/>
      <c r="ES63" s="141"/>
      <c r="ET63" s="141"/>
      <c r="EU63" s="141"/>
      <c r="EV63" s="141"/>
      <c r="EW63" s="141"/>
      <c r="EX63" s="141"/>
      <c r="EY63" s="141"/>
      <c r="EZ63" s="141"/>
      <c r="FA63" s="141"/>
      <c r="FB63" s="141"/>
      <c r="FC63" s="141"/>
      <c r="FD63" s="141"/>
      <c r="FE63" s="141"/>
      <c r="FF63" s="141"/>
      <c r="FG63" s="141"/>
      <c r="FH63" s="141"/>
      <c r="FI63" s="141"/>
      <c r="FJ63" s="141"/>
      <c r="FK63" s="141"/>
      <c r="FL63" s="141"/>
      <c r="FM63" s="141"/>
      <c r="FN63" s="141"/>
      <c r="FO63" s="141"/>
      <c r="FP63" s="141"/>
      <c r="FQ63" s="141"/>
      <c r="FR63" s="141"/>
      <c r="FS63" s="141"/>
      <c r="FT63" s="141"/>
      <c r="FU63" s="141"/>
      <c r="FV63" s="141"/>
      <c r="FW63" s="141"/>
      <c r="FX63" s="141"/>
      <c r="FY63" s="141"/>
      <c r="FZ63" s="141"/>
      <c r="GA63" s="141"/>
      <c r="GB63" s="141"/>
      <c r="GC63" s="141"/>
      <c r="GD63" s="141"/>
      <c r="GE63" s="141"/>
      <c r="GF63" s="141"/>
      <c r="GG63" s="141"/>
      <c r="GH63" s="141"/>
      <c r="GI63" s="141"/>
      <c r="GJ63" s="141"/>
      <c r="GK63" s="141"/>
      <c r="GL63" s="141"/>
      <c r="GM63" s="141"/>
      <c r="GN63" s="141"/>
      <c r="GO63" s="141"/>
      <c r="GP63" s="151"/>
      <c r="GQ63" s="152">
        <v>44428</v>
      </c>
      <c r="GR63" s="153" t="s">
        <v>522</v>
      </c>
      <c r="GS63" s="153" t="s">
        <v>606</v>
      </c>
      <c r="GT63" s="153" t="s">
        <v>607</v>
      </c>
      <c r="GU63" s="144">
        <f t="shared" si="1"/>
        <v>0</v>
      </c>
      <c r="GV63" s="147" t="s">
        <v>560</v>
      </c>
    </row>
    <row r="64" spans="1:204">
      <c r="A64" s="138" t="s">
        <v>526</v>
      </c>
      <c r="B64" s="138" t="s">
        <v>517</v>
      </c>
      <c r="C64" s="138" t="s">
        <v>555</v>
      </c>
      <c r="D64" s="138" t="s">
        <v>4</v>
      </c>
      <c r="E64" s="140" t="s">
        <v>604</v>
      </c>
      <c r="F64" s="138" t="s">
        <v>520</v>
      </c>
      <c r="G64" s="138" t="s">
        <v>727</v>
      </c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  <c r="BJ64" s="141"/>
      <c r="BK64" s="141"/>
      <c r="BL64" s="141"/>
      <c r="BM64" s="141"/>
      <c r="BN64" s="141"/>
      <c r="BO64" s="141"/>
      <c r="BP64" s="141"/>
      <c r="BQ64" s="141"/>
      <c r="BR64" s="141"/>
      <c r="BS64" s="141"/>
      <c r="BT64" s="141"/>
      <c r="BU64" s="141"/>
      <c r="BV64" s="141"/>
      <c r="BW64" s="141"/>
      <c r="BX64" s="141"/>
      <c r="BY64" s="141"/>
      <c r="BZ64" s="141"/>
      <c r="CA64" s="141"/>
      <c r="CB64" s="141"/>
      <c r="CC64" s="141"/>
      <c r="CD64" s="141"/>
      <c r="CE64" s="141"/>
      <c r="CF64" s="141"/>
      <c r="CG64" s="141"/>
      <c r="CH64" s="141"/>
      <c r="CI64" s="141"/>
      <c r="CJ64" s="141"/>
      <c r="CK64" s="141"/>
      <c r="CL64" s="141"/>
      <c r="CM64" s="141"/>
      <c r="CN64" s="141"/>
      <c r="CO64" s="141"/>
      <c r="CP64" s="141"/>
      <c r="CQ64" s="142">
        <f>20-20+2</f>
        <v>2</v>
      </c>
      <c r="CR64" s="141"/>
      <c r="CS64" s="141"/>
      <c r="CT64" s="141"/>
      <c r="CU64" s="141"/>
      <c r="CV64" s="141"/>
      <c r="CW64" s="141"/>
      <c r="CX64" s="141"/>
      <c r="CY64" s="141"/>
      <c r="CZ64" s="141"/>
      <c r="DA64" s="141"/>
      <c r="DB64" s="141"/>
      <c r="DC64" s="141"/>
      <c r="DD64" s="141"/>
      <c r="DE64" s="141"/>
      <c r="DF64" s="141"/>
      <c r="DG64" s="141"/>
      <c r="DH64" s="141"/>
      <c r="DI64" s="141"/>
      <c r="DJ64" s="141"/>
      <c r="DK64" s="141"/>
      <c r="DL64" s="141"/>
      <c r="DM64" s="141"/>
      <c r="DN64" s="141"/>
      <c r="DO64" s="141"/>
      <c r="DP64" s="142">
        <f>20-20+5</f>
        <v>5</v>
      </c>
      <c r="DQ64" s="142">
        <f>50-50+10</f>
        <v>10</v>
      </c>
      <c r="DR64" s="141"/>
      <c r="DS64" s="141"/>
      <c r="DT64" s="141"/>
      <c r="DU64" s="141"/>
      <c r="DV64" s="141"/>
      <c r="DW64" s="141"/>
      <c r="DX64" s="141"/>
      <c r="DY64" s="141"/>
      <c r="DZ64" s="141"/>
      <c r="EA64" s="141"/>
      <c r="EB64" s="141"/>
      <c r="EC64" s="141"/>
      <c r="ED64" s="141"/>
      <c r="EE64" s="141"/>
      <c r="EF64" s="141"/>
      <c r="EG64" s="141"/>
      <c r="EH64" s="141"/>
      <c r="EI64" s="141"/>
      <c r="EJ64" s="141"/>
      <c r="EK64" s="141"/>
      <c r="EL64" s="142">
        <f>50-50</f>
        <v>0</v>
      </c>
      <c r="EM64" s="141"/>
      <c r="EN64" s="141"/>
      <c r="EO64" s="141"/>
      <c r="EP64" s="141"/>
      <c r="EQ64" s="150"/>
      <c r="ER64" s="141"/>
      <c r="ES64" s="141"/>
      <c r="ET64" s="141"/>
      <c r="EU64" s="141"/>
      <c r="EV64" s="142">
        <f>50-50</f>
        <v>0</v>
      </c>
      <c r="EW64" s="141"/>
      <c r="EX64" s="141"/>
      <c r="EY64" s="141"/>
      <c r="EZ64" s="141"/>
      <c r="FA64" s="141"/>
      <c r="FB64" s="141"/>
      <c r="FC64" s="141"/>
      <c r="FD64" s="141"/>
      <c r="FE64" s="141"/>
      <c r="FF64" s="141"/>
      <c r="FG64" s="141"/>
      <c r="FH64" s="141"/>
      <c r="FI64" s="141"/>
      <c r="FJ64" s="141"/>
      <c r="FK64" s="141"/>
      <c r="FL64" s="141"/>
      <c r="FM64" s="141"/>
      <c r="FN64" s="141"/>
      <c r="FO64" s="141"/>
      <c r="FP64" s="141"/>
      <c r="FQ64" s="141"/>
      <c r="FR64" s="141"/>
      <c r="FS64" s="141"/>
      <c r="FT64" s="141"/>
      <c r="FU64" s="141"/>
      <c r="FV64" s="141"/>
      <c r="FW64" s="141"/>
      <c r="FX64" s="141"/>
      <c r="FY64" s="141"/>
      <c r="FZ64" s="141"/>
      <c r="GA64" s="141"/>
      <c r="GB64" s="141"/>
      <c r="GC64" s="141"/>
      <c r="GD64" s="141"/>
      <c r="GE64" s="141"/>
      <c r="GF64" s="141"/>
      <c r="GG64" s="141"/>
      <c r="GH64" s="141"/>
      <c r="GI64" s="141"/>
      <c r="GJ64" s="141"/>
      <c r="GK64" s="141"/>
      <c r="GL64" s="141"/>
      <c r="GM64" s="141"/>
      <c r="GN64" s="141"/>
      <c r="GO64" s="141"/>
      <c r="GP64" s="151"/>
      <c r="GQ64" s="152">
        <v>44428</v>
      </c>
      <c r="GR64" s="153" t="s">
        <v>522</v>
      </c>
      <c r="GS64" s="153" t="s">
        <v>606</v>
      </c>
      <c r="GT64" s="153" t="s">
        <v>607</v>
      </c>
      <c r="GU64" s="144">
        <f t="shared" si="1"/>
        <v>17</v>
      </c>
      <c r="GV64" s="147" t="s">
        <v>560</v>
      </c>
    </row>
    <row r="65" spans="1:204">
      <c r="A65" s="138"/>
      <c r="B65" s="138" t="s">
        <v>517</v>
      </c>
      <c r="C65" s="138" t="s">
        <v>555</v>
      </c>
      <c r="D65" s="138" t="s">
        <v>8</v>
      </c>
      <c r="E65" s="140" t="s">
        <v>728</v>
      </c>
      <c r="F65" s="138" t="s">
        <v>520</v>
      </c>
      <c r="G65" s="138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141"/>
      <c r="BN65" s="141"/>
      <c r="BO65" s="141"/>
      <c r="BP65" s="141"/>
      <c r="BQ65" s="141"/>
      <c r="BR65" s="141"/>
      <c r="BS65" s="141"/>
      <c r="BT65" s="141"/>
      <c r="BU65" s="141"/>
      <c r="BV65" s="141"/>
      <c r="BW65" s="141"/>
      <c r="BX65" s="141"/>
      <c r="BY65" s="141"/>
      <c r="BZ65" s="141"/>
      <c r="CA65" s="141"/>
      <c r="CB65" s="141"/>
      <c r="CC65" s="141"/>
      <c r="CD65" s="141"/>
      <c r="CE65" s="141"/>
      <c r="CF65" s="141"/>
      <c r="CG65" s="141"/>
      <c r="CH65" s="141"/>
      <c r="CI65" s="141"/>
      <c r="CJ65" s="141"/>
      <c r="CK65" s="141"/>
      <c r="CL65" s="141"/>
      <c r="CM65" s="141"/>
      <c r="CN65" s="141"/>
      <c r="CO65" s="141"/>
      <c r="CP65" s="141"/>
      <c r="CQ65" s="141"/>
      <c r="CR65" s="141"/>
      <c r="CS65" s="141"/>
      <c r="CT65" s="141"/>
      <c r="CU65" s="141"/>
      <c r="CV65" s="141"/>
      <c r="CW65" s="141"/>
      <c r="CX65" s="141"/>
      <c r="CY65" s="141"/>
      <c r="CZ65" s="141"/>
      <c r="DA65" s="141"/>
      <c r="DB65" s="141"/>
      <c r="DC65" s="141"/>
      <c r="DD65" s="141"/>
      <c r="DE65" s="141"/>
      <c r="DF65" s="141"/>
      <c r="DG65" s="141"/>
      <c r="DH65" s="141"/>
      <c r="DI65" s="141"/>
      <c r="DJ65" s="141"/>
      <c r="DK65" s="141"/>
      <c r="DL65" s="141"/>
      <c r="DM65" s="141"/>
      <c r="DN65" s="141"/>
      <c r="DO65" s="141"/>
      <c r="DP65" s="141"/>
      <c r="DQ65" s="141"/>
      <c r="DR65" s="141"/>
      <c r="DS65" s="141"/>
      <c r="DT65" s="141"/>
      <c r="DU65" s="141"/>
      <c r="DV65" s="141"/>
      <c r="DW65" s="141"/>
      <c r="DX65" s="141"/>
      <c r="DY65" s="141"/>
      <c r="DZ65" s="141"/>
      <c r="EA65" s="142">
        <f>60-60</f>
        <v>0</v>
      </c>
      <c r="EB65" s="141"/>
      <c r="EC65" s="141"/>
      <c r="ED65" s="141"/>
      <c r="EE65" s="142">
        <f>60-60+20</f>
        <v>20</v>
      </c>
      <c r="EF65" s="141"/>
      <c r="EG65" s="141"/>
      <c r="EH65" s="141"/>
      <c r="EI65" s="141"/>
      <c r="EJ65" s="141"/>
      <c r="EK65" s="141"/>
      <c r="EL65" s="141"/>
      <c r="EM65" s="141"/>
      <c r="EN65" s="141"/>
      <c r="EO65" s="141"/>
      <c r="EP65" s="141"/>
      <c r="EQ65" s="150"/>
      <c r="ER65" s="141"/>
      <c r="ES65" s="141"/>
      <c r="ET65" s="141"/>
      <c r="EU65" s="141"/>
      <c r="EV65" s="142">
        <f>100-100</f>
        <v>0</v>
      </c>
      <c r="EW65" s="142">
        <f>100-100+10</f>
        <v>10</v>
      </c>
      <c r="EX65" s="202">
        <v>10</v>
      </c>
      <c r="EY65" s="141"/>
      <c r="EZ65" s="141"/>
      <c r="FA65" s="202">
        <v>50</v>
      </c>
      <c r="FB65" s="141"/>
      <c r="FC65" s="141"/>
      <c r="FD65" s="141"/>
      <c r="FE65" s="141"/>
      <c r="FF65" s="141"/>
      <c r="FG65" s="141"/>
      <c r="FH65" s="202">
        <v>2</v>
      </c>
      <c r="FI65" s="142">
        <f>20-20</f>
        <v>0</v>
      </c>
      <c r="FJ65" s="141"/>
      <c r="FK65" s="141"/>
      <c r="FL65" s="141"/>
      <c r="FM65" s="141"/>
      <c r="FN65" s="141"/>
      <c r="FO65" s="141"/>
      <c r="FP65" s="142">
        <f>60-60</f>
        <v>0</v>
      </c>
      <c r="FQ65" s="142">
        <f>40-40</f>
        <v>0</v>
      </c>
      <c r="FR65" s="141"/>
      <c r="FS65" s="141"/>
      <c r="FT65" s="141"/>
      <c r="FU65" s="141"/>
      <c r="FV65" s="141"/>
      <c r="FW65" s="141"/>
      <c r="FX65" s="141"/>
      <c r="FY65" s="141"/>
      <c r="FZ65" s="141"/>
      <c r="GA65" s="141"/>
      <c r="GB65" s="141"/>
      <c r="GC65" s="141"/>
      <c r="GD65" s="141"/>
      <c r="GE65" s="141"/>
      <c r="GF65" s="141"/>
      <c r="GG65" s="141"/>
      <c r="GH65" s="141"/>
      <c r="GI65" s="141"/>
      <c r="GJ65" s="141"/>
      <c r="GK65" s="141"/>
      <c r="GL65" s="141"/>
      <c r="GM65" s="141"/>
      <c r="GN65" s="141"/>
      <c r="GO65" s="141"/>
      <c r="GP65" s="151"/>
      <c r="GQ65" s="152"/>
      <c r="GR65" s="153" t="s">
        <v>522</v>
      </c>
      <c r="GS65" s="153"/>
      <c r="GT65" s="153"/>
      <c r="GU65" s="144">
        <f t="shared" si="1"/>
        <v>92</v>
      </c>
      <c r="GV65" s="147" t="s">
        <v>563</v>
      </c>
    </row>
    <row r="66" spans="1:204">
      <c r="A66" s="138"/>
      <c r="B66" s="138" t="s">
        <v>517</v>
      </c>
      <c r="C66" s="138" t="s">
        <v>555</v>
      </c>
      <c r="D66" s="138" t="s">
        <v>4</v>
      </c>
      <c r="E66" s="140" t="s">
        <v>728</v>
      </c>
      <c r="F66" s="138" t="s">
        <v>520</v>
      </c>
      <c r="G66" s="138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  <c r="BJ66" s="141"/>
      <c r="BK66" s="141"/>
      <c r="BL66" s="141"/>
      <c r="BM66" s="142">
        <f>2-2</f>
        <v>0</v>
      </c>
      <c r="BN66" s="141"/>
      <c r="BO66" s="142">
        <f>5-5+2</f>
        <v>2</v>
      </c>
      <c r="BP66" s="142">
        <f>5-5</f>
        <v>0</v>
      </c>
      <c r="BQ66" s="142">
        <f>10-10+5</f>
        <v>5</v>
      </c>
      <c r="BR66" s="142">
        <f>5-5+5</f>
        <v>5</v>
      </c>
      <c r="BS66" s="142">
        <f>5-5</f>
        <v>0</v>
      </c>
      <c r="BT66" s="142">
        <f>5-5+5</f>
        <v>5</v>
      </c>
      <c r="BU66" s="141"/>
      <c r="BV66" s="141"/>
      <c r="BW66" s="141"/>
      <c r="BX66" s="141"/>
      <c r="BY66" s="141"/>
      <c r="BZ66" s="141"/>
      <c r="CA66" s="142">
        <f>1-1+1</f>
        <v>1</v>
      </c>
      <c r="CB66" s="142">
        <f>1-1</f>
        <v>0</v>
      </c>
      <c r="CC66" s="141"/>
      <c r="CD66" s="141"/>
      <c r="CE66" s="141"/>
      <c r="CF66" s="141"/>
      <c r="CG66" s="141"/>
      <c r="CH66" s="141"/>
      <c r="CI66" s="141"/>
      <c r="CJ66" s="142">
        <f>10-10+6</f>
        <v>6</v>
      </c>
      <c r="CK66" s="141"/>
      <c r="CL66" s="142">
        <f>5-5</f>
        <v>0</v>
      </c>
      <c r="CM66" s="142">
        <f>5-5</f>
        <v>0</v>
      </c>
      <c r="CN66" s="142">
        <f>5-5</f>
        <v>0</v>
      </c>
      <c r="CO66" s="142">
        <f>2-2+2</f>
        <v>2</v>
      </c>
      <c r="CP66" s="142">
        <f>30-30+5</f>
        <v>5</v>
      </c>
      <c r="CQ66" s="142">
        <f>30-30+2</f>
        <v>2</v>
      </c>
      <c r="CR66" s="142">
        <f>10-10</f>
        <v>0</v>
      </c>
      <c r="CS66" s="142">
        <f>20-20</f>
        <v>0</v>
      </c>
      <c r="CT66" s="142">
        <f>20-20</f>
        <v>0</v>
      </c>
      <c r="CU66" s="142">
        <f>10-10+5</f>
        <v>5</v>
      </c>
      <c r="CV66" s="142">
        <f>30-30+4</f>
        <v>4</v>
      </c>
      <c r="CW66" s="142">
        <f>10-10</f>
        <v>0</v>
      </c>
      <c r="CX66" s="142">
        <f>30-30</f>
        <v>0</v>
      </c>
      <c r="CY66" s="142">
        <f>30-30+1</f>
        <v>1</v>
      </c>
      <c r="CZ66" s="141"/>
      <c r="DA66" s="142">
        <f>30-30</f>
        <v>0</v>
      </c>
      <c r="DB66" s="142">
        <f>30-30+20</f>
        <v>20</v>
      </c>
      <c r="DC66" s="142">
        <f>20-20</f>
        <v>0</v>
      </c>
      <c r="DD66" s="142">
        <f>20-20</f>
        <v>0</v>
      </c>
      <c r="DE66" s="142">
        <f>30-30+20</f>
        <v>20</v>
      </c>
      <c r="DF66" s="142">
        <f>30-30+10</f>
        <v>10</v>
      </c>
      <c r="DG66" s="141"/>
      <c r="DH66" s="142">
        <f>30-30</f>
        <v>0</v>
      </c>
      <c r="DI66" s="142">
        <f>20-20</f>
        <v>0</v>
      </c>
      <c r="DJ66" s="142">
        <f>20-20</f>
        <v>0</v>
      </c>
      <c r="DK66" s="142">
        <f>30-30</f>
        <v>0</v>
      </c>
      <c r="DL66" s="141"/>
      <c r="DM66" s="142">
        <f>30-30+20</f>
        <v>20</v>
      </c>
      <c r="DN66" s="142">
        <f>30-30</f>
        <v>0</v>
      </c>
      <c r="DO66" s="141"/>
      <c r="DP66" s="142">
        <f>30-30+5</f>
        <v>5</v>
      </c>
      <c r="DQ66" s="141"/>
      <c r="DR66" s="142">
        <f>30-30</f>
        <v>0</v>
      </c>
      <c r="DS66" s="142">
        <f>40-40+20</f>
        <v>20</v>
      </c>
      <c r="DT66" s="142">
        <f>40-40</f>
        <v>0</v>
      </c>
      <c r="DU66" s="141"/>
      <c r="DV66" s="141"/>
      <c r="DW66" s="142">
        <f>40-40</f>
        <v>0</v>
      </c>
      <c r="DX66" s="141"/>
      <c r="DY66" s="141"/>
      <c r="DZ66" s="141"/>
      <c r="EA66" s="141"/>
      <c r="EB66" s="141"/>
      <c r="EC66" s="142">
        <f>100-100</f>
        <v>0</v>
      </c>
      <c r="ED66" s="142">
        <f>100-100</f>
        <v>0</v>
      </c>
      <c r="EE66" s="141"/>
      <c r="EF66" s="141"/>
      <c r="EG66" s="141"/>
      <c r="EH66" s="141"/>
      <c r="EI66" s="141"/>
      <c r="EJ66" s="141"/>
      <c r="EK66" s="141"/>
      <c r="EL66" s="142">
        <f>500-500</f>
        <v>0</v>
      </c>
      <c r="EM66" s="142">
        <f>500-500</f>
        <v>0</v>
      </c>
      <c r="EN66" s="142">
        <f>100-100</f>
        <v>0</v>
      </c>
      <c r="EO66" s="142">
        <f>500-500+5</f>
        <v>5</v>
      </c>
      <c r="EP66" s="141"/>
      <c r="EQ66" s="150"/>
      <c r="ER66" s="142">
        <f>500-500</f>
        <v>0</v>
      </c>
      <c r="ES66" s="142">
        <f>200-200</f>
        <v>0</v>
      </c>
      <c r="ET66" s="141"/>
      <c r="EU66" s="142">
        <f>100-100</f>
        <v>0</v>
      </c>
      <c r="EV66" s="141"/>
      <c r="EW66" s="141"/>
      <c r="EX66" s="142">
        <f>100-100</f>
        <v>0</v>
      </c>
      <c r="EY66" s="141"/>
      <c r="EZ66" s="142">
        <f>20-20</f>
        <v>0</v>
      </c>
      <c r="FA66" s="142">
        <f>50-50</f>
        <v>0</v>
      </c>
      <c r="FB66" s="142">
        <f>50-50</f>
        <v>0</v>
      </c>
      <c r="FC66" s="142">
        <f>50-50</f>
        <v>0</v>
      </c>
      <c r="FD66" s="142">
        <f>20-20</f>
        <v>0</v>
      </c>
      <c r="FE66" s="141"/>
      <c r="FF66" s="142">
        <f>30-30</f>
        <v>0</v>
      </c>
      <c r="FG66" s="142">
        <f>30-30+10</f>
        <v>10</v>
      </c>
      <c r="FH66" s="142">
        <f>30-30</f>
        <v>0</v>
      </c>
      <c r="FI66" s="141"/>
      <c r="FJ66" s="142">
        <f>20-20</f>
        <v>0</v>
      </c>
      <c r="FK66" s="142">
        <f>20-20+20</f>
        <v>20</v>
      </c>
      <c r="FL66" s="141"/>
      <c r="FM66" s="142">
        <f>20-20</f>
        <v>0</v>
      </c>
      <c r="FN66" s="141"/>
      <c r="FO66" s="141"/>
      <c r="FP66" s="141"/>
      <c r="FQ66" s="141"/>
      <c r="FR66" s="142">
        <f>40-40</f>
        <v>0</v>
      </c>
      <c r="FS66" s="141"/>
      <c r="FT66" s="141"/>
      <c r="FU66" s="141"/>
      <c r="FV66" s="141"/>
      <c r="FW66" s="141"/>
      <c r="FX66" s="141"/>
      <c r="FY66" s="141"/>
      <c r="FZ66" s="141"/>
      <c r="GA66" s="141"/>
      <c r="GB66" s="141"/>
      <c r="GC66" s="141"/>
      <c r="GD66" s="141"/>
      <c r="GE66" s="141"/>
      <c r="GF66" s="141"/>
      <c r="GG66" s="141"/>
      <c r="GH66" s="141"/>
      <c r="GI66" s="141"/>
      <c r="GJ66" s="141"/>
      <c r="GK66" s="141"/>
      <c r="GL66" s="141"/>
      <c r="GM66" s="141"/>
      <c r="GN66" s="141"/>
      <c r="GO66" s="141"/>
      <c r="GP66" s="151"/>
      <c r="GQ66" s="152"/>
      <c r="GR66" s="153" t="s">
        <v>522</v>
      </c>
      <c r="GS66" s="153"/>
      <c r="GT66" s="153"/>
      <c r="GU66" s="144">
        <f t="shared" si="1"/>
        <v>173</v>
      </c>
      <c r="GV66" s="147" t="s">
        <v>563</v>
      </c>
    </row>
    <row r="67" spans="1:204">
      <c r="A67" s="138" t="s">
        <v>526</v>
      </c>
      <c r="B67" s="138" t="s">
        <v>517</v>
      </c>
      <c r="C67" s="138" t="s">
        <v>555</v>
      </c>
      <c r="D67" s="138" t="s">
        <v>8</v>
      </c>
      <c r="E67" s="140" t="s">
        <v>609</v>
      </c>
      <c r="F67" s="138" t="s">
        <v>520</v>
      </c>
      <c r="G67" s="138" t="s">
        <v>729</v>
      </c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  <c r="BJ67" s="141"/>
      <c r="BK67" s="141"/>
      <c r="BL67" s="141"/>
      <c r="BM67" s="141"/>
      <c r="BN67" s="141"/>
      <c r="BO67" s="141"/>
      <c r="BP67" s="141"/>
      <c r="BQ67" s="141"/>
      <c r="BR67" s="141"/>
      <c r="BS67" s="141"/>
      <c r="BT67" s="141"/>
      <c r="BU67" s="141"/>
      <c r="BV67" s="141"/>
      <c r="BW67" s="141"/>
      <c r="BX67" s="141"/>
      <c r="BY67" s="141"/>
      <c r="BZ67" s="141"/>
      <c r="CA67" s="141"/>
      <c r="CB67" s="141"/>
      <c r="CC67" s="141"/>
      <c r="CD67" s="141"/>
      <c r="CE67" s="141"/>
      <c r="CF67" s="141"/>
      <c r="CG67" s="141"/>
      <c r="CH67" s="141"/>
      <c r="CI67" s="141"/>
      <c r="CJ67" s="141"/>
      <c r="CK67" s="141"/>
      <c r="CL67" s="141"/>
      <c r="CM67" s="141"/>
      <c r="CN67" s="141"/>
      <c r="CO67" s="141"/>
      <c r="CP67" s="141"/>
      <c r="CQ67" s="141"/>
      <c r="CR67" s="141"/>
      <c r="CS67" s="141"/>
      <c r="CT67" s="141"/>
      <c r="CU67" s="141"/>
      <c r="CV67" s="141"/>
      <c r="CW67" s="141"/>
      <c r="CX67" s="141"/>
      <c r="CY67" s="141"/>
      <c r="CZ67" s="141"/>
      <c r="DA67" s="141"/>
      <c r="DB67" s="141"/>
      <c r="DC67" s="141"/>
      <c r="DD67" s="141"/>
      <c r="DE67" s="141"/>
      <c r="DF67" s="141"/>
      <c r="DG67" s="141"/>
      <c r="DH67" s="141"/>
      <c r="DI67" s="141"/>
      <c r="DJ67" s="141"/>
      <c r="DK67" s="141"/>
      <c r="DL67" s="141"/>
      <c r="DM67" s="141"/>
      <c r="DN67" s="141"/>
      <c r="DO67" s="141"/>
      <c r="DP67" s="141"/>
      <c r="DQ67" s="141"/>
      <c r="DR67" s="141"/>
      <c r="DS67" s="141"/>
      <c r="DT67" s="141"/>
      <c r="DU67" s="141"/>
      <c r="DV67" s="141"/>
      <c r="DW67" s="141"/>
      <c r="DX67" s="141"/>
      <c r="DY67" s="141"/>
      <c r="DZ67" s="141"/>
      <c r="EA67" s="141"/>
      <c r="EB67" s="141"/>
      <c r="EC67" s="141"/>
      <c r="ED67" s="141"/>
      <c r="EE67" s="141"/>
      <c r="EF67" s="141"/>
      <c r="EG67" s="141"/>
      <c r="EH67" s="141"/>
      <c r="EI67" s="141"/>
      <c r="EJ67" s="141"/>
      <c r="EK67" s="141"/>
      <c r="EL67" s="141"/>
      <c r="EM67" s="141"/>
      <c r="EN67" s="141"/>
      <c r="EO67" s="141"/>
      <c r="EP67" s="141"/>
      <c r="EQ67" s="150"/>
      <c r="ER67" s="141"/>
      <c r="ES67" s="141"/>
      <c r="ET67" s="141"/>
      <c r="EU67" s="141"/>
      <c r="EV67" s="142">
        <f>1000-1000</f>
        <v>0</v>
      </c>
      <c r="EW67" s="202">
        <v>20</v>
      </c>
      <c r="EX67" s="141"/>
      <c r="EY67" s="141"/>
      <c r="EZ67" s="142">
        <f>500-500</f>
        <v>0</v>
      </c>
      <c r="FA67" s="202">
        <v>240</v>
      </c>
      <c r="FB67" s="141"/>
      <c r="FC67" s="141"/>
      <c r="FD67" s="141"/>
      <c r="FE67" s="141"/>
      <c r="FF67" s="141"/>
      <c r="FG67" s="141"/>
      <c r="FH67" s="141"/>
      <c r="FI67" s="141"/>
      <c r="FJ67" s="141"/>
      <c r="FK67" s="141"/>
      <c r="FL67" s="141"/>
      <c r="FM67" s="141"/>
      <c r="FN67" s="141"/>
      <c r="FO67" s="141"/>
      <c r="FP67" s="142">
        <f>500-500</f>
        <v>0</v>
      </c>
      <c r="FQ67" s="142">
        <f>500-500</f>
        <v>0</v>
      </c>
      <c r="FR67" s="141"/>
      <c r="FS67" s="141"/>
      <c r="FT67" s="141"/>
      <c r="FU67" s="141"/>
      <c r="FV67" s="141"/>
      <c r="FW67" s="141"/>
      <c r="FX67" s="141"/>
      <c r="FY67" s="141"/>
      <c r="FZ67" s="141"/>
      <c r="GA67" s="141"/>
      <c r="GB67" s="141"/>
      <c r="GC67" s="141"/>
      <c r="GD67" s="141"/>
      <c r="GE67" s="141"/>
      <c r="GF67" s="141"/>
      <c r="GG67" s="141"/>
      <c r="GH67" s="141"/>
      <c r="GI67" s="141"/>
      <c r="GJ67" s="141"/>
      <c r="GK67" s="141"/>
      <c r="GL67" s="141"/>
      <c r="GM67" s="141"/>
      <c r="GN67" s="141"/>
      <c r="GO67" s="141"/>
      <c r="GP67" s="151"/>
      <c r="GQ67" s="152">
        <v>44428</v>
      </c>
      <c r="GR67" s="158" t="s">
        <v>522</v>
      </c>
      <c r="GS67" s="159"/>
      <c r="GT67" s="159" t="s">
        <v>579</v>
      </c>
      <c r="GU67" s="144">
        <f t="shared" si="1"/>
        <v>260</v>
      </c>
      <c r="GV67" s="145" t="s">
        <v>588</v>
      </c>
    </row>
    <row r="68" spans="1:204">
      <c r="A68" s="138" t="s">
        <v>526</v>
      </c>
      <c r="B68" s="138" t="s">
        <v>517</v>
      </c>
      <c r="C68" s="138" t="s">
        <v>555</v>
      </c>
      <c r="D68" s="138" t="s">
        <v>4</v>
      </c>
      <c r="E68" s="140" t="s">
        <v>609</v>
      </c>
      <c r="F68" s="138" t="s">
        <v>520</v>
      </c>
      <c r="G68" s="138" t="s">
        <v>729</v>
      </c>
      <c r="H68" s="141"/>
      <c r="I68" s="141"/>
      <c r="J68" s="141"/>
      <c r="K68" s="141"/>
      <c r="L68" s="141"/>
      <c r="M68" s="142">
        <f>200-200</f>
        <v>0</v>
      </c>
      <c r="N68" s="142">
        <f>200-200</f>
        <v>0</v>
      </c>
      <c r="O68" s="142">
        <f>100-100</f>
        <v>0</v>
      </c>
      <c r="P68" s="141"/>
      <c r="Q68" s="141"/>
      <c r="R68" s="142">
        <f>200-200</f>
        <v>0</v>
      </c>
      <c r="S68" s="142">
        <f>200-200</f>
        <v>0</v>
      </c>
      <c r="T68" s="141"/>
      <c r="U68" s="141"/>
      <c r="V68" s="141"/>
      <c r="W68" s="142">
        <f>300-300+160</f>
        <v>160</v>
      </c>
      <c r="X68" s="141"/>
      <c r="Y68" s="142">
        <f>100-100</f>
        <v>0</v>
      </c>
      <c r="Z68" s="202">
        <v>20</v>
      </c>
      <c r="AA68" s="142">
        <f>200-200</f>
        <v>0</v>
      </c>
      <c r="AB68" s="142">
        <f>300-300+20</f>
        <v>20</v>
      </c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202">
        <v>38</v>
      </c>
      <c r="BC68" s="141"/>
      <c r="BD68" s="141"/>
      <c r="BE68" s="141"/>
      <c r="BF68" s="202">
        <v>90</v>
      </c>
      <c r="BG68" s="141"/>
      <c r="BH68" s="141"/>
      <c r="BI68" s="141"/>
      <c r="BJ68" s="141"/>
      <c r="BK68" s="141"/>
      <c r="BL68" s="141"/>
      <c r="BM68" s="141"/>
      <c r="BN68" s="141"/>
      <c r="BO68" s="141"/>
      <c r="BP68" s="141"/>
      <c r="BQ68" s="202">
        <v>13</v>
      </c>
      <c r="BR68" s="142">
        <f>100-100+30</f>
        <v>30</v>
      </c>
      <c r="BS68" s="142">
        <f>100-100</f>
        <v>0</v>
      </c>
      <c r="BT68" s="202">
        <v>80</v>
      </c>
      <c r="BU68" s="141"/>
      <c r="BV68" s="141"/>
      <c r="BW68" s="141"/>
      <c r="BX68" s="141"/>
      <c r="BY68" s="141"/>
      <c r="BZ68" s="141"/>
      <c r="CA68" s="141"/>
      <c r="CB68" s="141"/>
      <c r="CC68" s="141"/>
      <c r="CD68" s="141"/>
      <c r="CE68" s="202">
        <v>10</v>
      </c>
      <c r="CF68" s="202">
        <v>9</v>
      </c>
      <c r="CG68" s="202">
        <v>1</v>
      </c>
      <c r="CH68" s="141"/>
      <c r="CI68" s="141"/>
      <c r="CJ68" s="142">
        <f>100-100+25</f>
        <v>25</v>
      </c>
      <c r="CK68" s="142">
        <f>100-100</f>
        <v>0</v>
      </c>
      <c r="CL68" s="141"/>
      <c r="CM68" s="141"/>
      <c r="CN68" s="141"/>
      <c r="CO68" s="142">
        <f>200-200+4</f>
        <v>4</v>
      </c>
      <c r="CP68" s="142">
        <f>100-100+10</f>
        <v>10</v>
      </c>
      <c r="CQ68" s="142">
        <f>200-200+10</f>
        <v>10</v>
      </c>
      <c r="CR68" s="141"/>
      <c r="CS68" s="142">
        <f>100-100</f>
        <v>0</v>
      </c>
      <c r="CT68" s="142">
        <f>100-100</f>
        <v>0</v>
      </c>
      <c r="CU68" s="142">
        <f>100-100+10</f>
        <v>10</v>
      </c>
      <c r="CV68" s="142">
        <f>100-100+18</f>
        <v>18</v>
      </c>
      <c r="CW68" s="141"/>
      <c r="CX68" s="141"/>
      <c r="CY68" s="142">
        <f>100-100</f>
        <v>0</v>
      </c>
      <c r="CZ68" s="141"/>
      <c r="DA68" s="141"/>
      <c r="DB68" s="142">
        <f>150-150+20</f>
        <v>20</v>
      </c>
      <c r="DC68" s="202">
        <v>20</v>
      </c>
      <c r="DD68" s="141"/>
      <c r="DE68" s="142">
        <f>200-200+20</f>
        <v>20</v>
      </c>
      <c r="DF68" s="142">
        <f>100-100+30</f>
        <v>30</v>
      </c>
      <c r="DG68" s="141"/>
      <c r="DH68" s="141"/>
      <c r="DI68" s="141"/>
      <c r="DJ68" s="141"/>
      <c r="DK68" s="141"/>
      <c r="DL68" s="141"/>
      <c r="DM68" s="141"/>
      <c r="DN68" s="141"/>
      <c r="DO68" s="141"/>
      <c r="DP68" s="142">
        <f>300-300+30</f>
        <v>30</v>
      </c>
      <c r="DQ68" s="142">
        <f>500-500+100</f>
        <v>100</v>
      </c>
      <c r="DR68" s="142">
        <f>200-200</f>
        <v>0</v>
      </c>
      <c r="DS68" s="142">
        <f>260-260+50</f>
        <v>50</v>
      </c>
      <c r="DT68" s="142">
        <f>260-260</f>
        <v>0</v>
      </c>
      <c r="DU68" s="141"/>
      <c r="DV68" s="141"/>
      <c r="DW68" s="141"/>
      <c r="DX68" s="141"/>
      <c r="DY68" s="141"/>
      <c r="DZ68" s="141"/>
      <c r="EA68" s="141"/>
      <c r="EB68" s="141"/>
      <c r="EC68" s="141"/>
      <c r="ED68" s="141"/>
      <c r="EE68" s="141"/>
      <c r="EF68" s="141"/>
      <c r="EG68" s="141"/>
      <c r="EH68" s="141"/>
      <c r="EI68" s="141"/>
      <c r="EJ68" s="141"/>
      <c r="EK68" s="141"/>
      <c r="EL68" s="142">
        <f>300-300</f>
        <v>0</v>
      </c>
      <c r="EM68" s="141"/>
      <c r="EN68" s="141"/>
      <c r="EO68" s="141"/>
      <c r="EP68" s="141"/>
      <c r="EQ68" s="150"/>
      <c r="ER68" s="141"/>
      <c r="ES68" s="141"/>
      <c r="ET68" s="141"/>
      <c r="EU68" s="141"/>
      <c r="EV68" s="141"/>
      <c r="EW68" s="141"/>
      <c r="EX68" s="141"/>
      <c r="EY68" s="141"/>
      <c r="EZ68" s="141"/>
      <c r="FA68" s="142">
        <f>500-500</f>
        <v>0</v>
      </c>
      <c r="FB68" s="142">
        <f>500-500</f>
        <v>0</v>
      </c>
      <c r="FC68" s="141"/>
      <c r="FD68" s="141"/>
      <c r="FE68" s="141"/>
      <c r="FF68" s="141"/>
      <c r="FG68" s="202">
        <v>40</v>
      </c>
      <c r="FH68" s="141"/>
      <c r="FI68" s="141"/>
      <c r="FJ68" s="141"/>
      <c r="FK68" s="202">
        <v>60</v>
      </c>
      <c r="FL68" s="141"/>
      <c r="FM68" s="141"/>
      <c r="FN68" s="141"/>
      <c r="FO68" s="141"/>
      <c r="FP68" s="141"/>
      <c r="FQ68" s="202">
        <v>120</v>
      </c>
      <c r="FR68" s="142">
        <f>500-500</f>
        <v>0</v>
      </c>
      <c r="FS68" s="141"/>
      <c r="FT68" s="141"/>
      <c r="FU68" s="141"/>
      <c r="FV68" s="141"/>
      <c r="FW68" s="141"/>
      <c r="FX68" s="141"/>
      <c r="FY68" s="141"/>
      <c r="FZ68" s="141"/>
      <c r="GA68" s="141"/>
      <c r="GB68" s="141"/>
      <c r="GC68" s="141"/>
      <c r="GD68" s="141"/>
      <c r="GE68" s="141"/>
      <c r="GF68" s="141"/>
      <c r="GG68" s="141"/>
      <c r="GH68" s="141"/>
      <c r="GI68" s="141"/>
      <c r="GJ68" s="141"/>
      <c r="GK68" s="141"/>
      <c r="GL68" s="141"/>
      <c r="GM68" s="141"/>
      <c r="GN68" s="141"/>
      <c r="GO68" s="141"/>
      <c r="GP68" s="151"/>
      <c r="GQ68" s="152">
        <v>44428</v>
      </c>
      <c r="GR68" s="158" t="s">
        <v>522</v>
      </c>
      <c r="GS68" s="159"/>
      <c r="GT68" s="159" t="s">
        <v>579</v>
      </c>
      <c r="GU68" s="144">
        <f t="shared" si="1"/>
        <v>1038</v>
      </c>
      <c r="GV68" s="145" t="s">
        <v>588</v>
      </c>
    </row>
    <row r="69" spans="1:204">
      <c r="A69" s="138" t="s">
        <v>526</v>
      </c>
      <c r="B69" s="138" t="s">
        <v>517</v>
      </c>
      <c r="C69" s="138" t="s">
        <v>555</v>
      </c>
      <c r="D69" s="138" t="s">
        <v>3</v>
      </c>
      <c r="E69" s="140" t="s">
        <v>609</v>
      </c>
      <c r="F69" s="138" t="s">
        <v>520</v>
      </c>
      <c r="G69" s="138" t="s">
        <v>730</v>
      </c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2">
        <f>200-200</f>
        <v>0</v>
      </c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  <c r="BD69" s="141"/>
      <c r="BE69" s="141"/>
      <c r="BF69" s="141"/>
      <c r="BG69" s="141"/>
      <c r="BH69" s="141"/>
      <c r="BI69" s="141"/>
      <c r="BJ69" s="141"/>
      <c r="BK69" s="141"/>
      <c r="BL69" s="141"/>
      <c r="BM69" s="141"/>
      <c r="BN69" s="141"/>
      <c r="BO69" s="141"/>
      <c r="BP69" s="141"/>
      <c r="BQ69" s="141"/>
      <c r="BR69" s="141"/>
      <c r="BS69" s="141"/>
      <c r="BT69" s="141"/>
      <c r="BU69" s="141"/>
      <c r="BV69" s="141"/>
      <c r="BW69" s="141"/>
      <c r="BX69" s="141"/>
      <c r="BY69" s="141"/>
      <c r="BZ69" s="141"/>
      <c r="CA69" s="141"/>
      <c r="CB69" s="141"/>
      <c r="CC69" s="141"/>
      <c r="CD69" s="141"/>
      <c r="CE69" s="141"/>
      <c r="CF69" s="141"/>
      <c r="CG69" s="141"/>
      <c r="CH69" s="141"/>
      <c r="CI69" s="141"/>
      <c r="CJ69" s="141"/>
      <c r="CK69" s="141"/>
      <c r="CL69" s="141"/>
      <c r="CM69" s="141"/>
      <c r="CN69" s="141"/>
      <c r="CO69" s="141"/>
      <c r="CP69" s="141"/>
      <c r="CQ69" s="141"/>
      <c r="CR69" s="141"/>
      <c r="CS69" s="141"/>
      <c r="CT69" s="141"/>
      <c r="CU69" s="141"/>
      <c r="CV69" s="141"/>
      <c r="CW69" s="141"/>
      <c r="CX69" s="141"/>
      <c r="CY69" s="141"/>
      <c r="CZ69" s="141"/>
      <c r="DA69" s="141"/>
      <c r="DB69" s="141"/>
      <c r="DC69" s="142">
        <f>200-200</f>
        <v>0</v>
      </c>
      <c r="DD69" s="142">
        <f>200-200</f>
        <v>0</v>
      </c>
      <c r="DE69" s="141"/>
      <c r="DF69" s="141"/>
      <c r="DG69" s="141"/>
      <c r="DH69" s="141"/>
      <c r="DI69" s="141"/>
      <c r="DJ69" s="141"/>
      <c r="DK69" s="141"/>
      <c r="DL69" s="141"/>
      <c r="DM69" s="141"/>
      <c r="DN69" s="141"/>
      <c r="DO69" s="141"/>
      <c r="DP69" s="141"/>
      <c r="DQ69" s="141"/>
      <c r="DR69" s="141"/>
      <c r="DS69" s="141"/>
      <c r="DT69" s="141"/>
      <c r="DU69" s="141"/>
      <c r="DV69" s="141"/>
      <c r="DW69" s="141"/>
      <c r="DX69" s="141"/>
      <c r="DY69" s="141"/>
      <c r="DZ69" s="141"/>
      <c r="EA69" s="141"/>
      <c r="EB69" s="141"/>
      <c r="EC69" s="141"/>
      <c r="ED69" s="141"/>
      <c r="EE69" s="141"/>
      <c r="EF69" s="141"/>
      <c r="EG69" s="141"/>
      <c r="EH69" s="141"/>
      <c r="EI69" s="141"/>
      <c r="EJ69" s="141"/>
      <c r="EK69" s="141"/>
      <c r="EL69" s="141"/>
      <c r="EM69" s="141"/>
      <c r="EN69" s="141"/>
      <c r="EO69" s="141"/>
      <c r="EP69" s="141"/>
      <c r="EQ69" s="150"/>
      <c r="ER69" s="141"/>
      <c r="ES69" s="141"/>
      <c r="ET69" s="141"/>
      <c r="EU69" s="141"/>
      <c r="EV69" s="141"/>
      <c r="EW69" s="141"/>
      <c r="EX69" s="141"/>
      <c r="EY69" s="141"/>
      <c r="EZ69" s="141"/>
      <c r="FA69" s="141"/>
      <c r="FB69" s="141"/>
      <c r="FC69" s="141"/>
      <c r="FD69" s="141"/>
      <c r="FE69" s="141"/>
      <c r="FF69" s="141"/>
      <c r="FG69" s="141"/>
      <c r="FH69" s="141"/>
      <c r="FI69" s="141"/>
      <c r="FJ69" s="141"/>
      <c r="FK69" s="141"/>
      <c r="FL69" s="141"/>
      <c r="FM69" s="141"/>
      <c r="FN69" s="141"/>
      <c r="FO69" s="141"/>
      <c r="FP69" s="141"/>
      <c r="FQ69" s="141"/>
      <c r="FR69" s="141"/>
      <c r="FS69" s="141"/>
      <c r="FT69" s="141"/>
      <c r="FU69" s="141"/>
      <c r="FV69" s="141"/>
      <c r="FW69" s="141"/>
      <c r="FX69" s="141"/>
      <c r="FY69" s="141"/>
      <c r="FZ69" s="141"/>
      <c r="GA69" s="141"/>
      <c r="GB69" s="141"/>
      <c r="GC69" s="141"/>
      <c r="GD69" s="141"/>
      <c r="GE69" s="141"/>
      <c r="GF69" s="141"/>
      <c r="GG69" s="141"/>
      <c r="GH69" s="141"/>
      <c r="GI69" s="141"/>
      <c r="GJ69" s="141"/>
      <c r="GK69" s="141"/>
      <c r="GL69" s="141"/>
      <c r="GM69" s="141"/>
      <c r="GN69" s="141"/>
      <c r="GO69" s="141"/>
      <c r="GP69" s="151"/>
      <c r="GQ69" s="152">
        <v>44428</v>
      </c>
      <c r="GR69" s="158" t="s">
        <v>522</v>
      </c>
      <c r="GS69" s="159"/>
      <c r="GT69" s="159" t="s">
        <v>579</v>
      </c>
      <c r="GU69" s="144">
        <f t="shared" si="1"/>
        <v>0</v>
      </c>
      <c r="GV69" s="145" t="s">
        <v>588</v>
      </c>
    </row>
    <row r="70" spans="1:204" s="201" customFormat="1">
      <c r="A70" s="138"/>
      <c r="B70" s="206" t="s">
        <v>517</v>
      </c>
      <c r="C70" s="206" t="s">
        <v>555</v>
      </c>
      <c r="D70" s="206" t="s">
        <v>8</v>
      </c>
      <c r="E70" s="207" t="s">
        <v>731</v>
      </c>
      <c r="F70" s="206" t="s">
        <v>520</v>
      </c>
      <c r="G70" s="138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1"/>
      <c r="BD70" s="141"/>
      <c r="BE70" s="141"/>
      <c r="BF70" s="141"/>
      <c r="BG70" s="141"/>
      <c r="BH70" s="141"/>
      <c r="BI70" s="141"/>
      <c r="BJ70" s="141"/>
      <c r="BK70" s="141"/>
      <c r="BL70" s="141"/>
      <c r="BM70" s="141"/>
      <c r="BN70" s="141"/>
      <c r="BO70" s="141"/>
      <c r="BP70" s="141"/>
      <c r="BQ70" s="141"/>
      <c r="BR70" s="141"/>
      <c r="BS70" s="141"/>
      <c r="BT70" s="141"/>
      <c r="BU70" s="141"/>
      <c r="BV70" s="141"/>
      <c r="BW70" s="141"/>
      <c r="BX70" s="141"/>
      <c r="BY70" s="141"/>
      <c r="BZ70" s="141"/>
      <c r="CA70" s="141"/>
      <c r="CB70" s="141"/>
      <c r="CC70" s="141"/>
      <c r="CD70" s="141"/>
      <c r="CE70" s="141"/>
      <c r="CF70" s="141"/>
      <c r="CG70" s="141"/>
      <c r="CH70" s="141"/>
      <c r="CI70" s="141"/>
      <c r="CJ70" s="141"/>
      <c r="CK70" s="141"/>
      <c r="CL70" s="141"/>
      <c r="CM70" s="141"/>
      <c r="CN70" s="141"/>
      <c r="CO70" s="141"/>
      <c r="CP70" s="141"/>
      <c r="CQ70" s="141"/>
      <c r="CR70" s="141"/>
      <c r="CS70" s="141"/>
      <c r="CT70" s="141"/>
      <c r="CU70" s="141"/>
      <c r="CV70" s="141"/>
      <c r="CW70" s="141"/>
      <c r="CX70" s="141"/>
      <c r="CY70" s="141"/>
      <c r="CZ70" s="141"/>
      <c r="DA70" s="141"/>
      <c r="DB70" s="141"/>
      <c r="DC70" s="141"/>
      <c r="DD70" s="141"/>
      <c r="DE70" s="141"/>
      <c r="DF70" s="141"/>
      <c r="DG70" s="141"/>
      <c r="DH70" s="141"/>
      <c r="DI70" s="141"/>
      <c r="DJ70" s="141"/>
      <c r="DK70" s="141"/>
      <c r="DL70" s="141"/>
      <c r="DM70" s="141"/>
      <c r="DN70" s="141"/>
      <c r="DO70" s="141"/>
      <c r="DP70" s="141"/>
      <c r="DQ70" s="141"/>
      <c r="DR70" s="141"/>
      <c r="DS70" s="141"/>
      <c r="DT70" s="141"/>
      <c r="DU70" s="141"/>
      <c r="DV70" s="141"/>
      <c r="DW70" s="141"/>
      <c r="DX70" s="141"/>
      <c r="DY70" s="141"/>
      <c r="DZ70" s="141"/>
      <c r="EA70" s="141"/>
      <c r="EB70" s="141"/>
      <c r="EC70" s="141"/>
      <c r="ED70" s="141"/>
      <c r="EE70" s="141"/>
      <c r="EF70" s="141"/>
      <c r="EG70" s="141"/>
      <c r="EH70" s="141"/>
      <c r="EI70" s="141"/>
      <c r="EJ70" s="141"/>
      <c r="EK70" s="141"/>
      <c r="EL70" s="141"/>
      <c r="EM70" s="141"/>
      <c r="EN70" s="141"/>
      <c r="EO70" s="141"/>
      <c r="EP70" s="141"/>
      <c r="EQ70" s="141"/>
      <c r="ER70" s="141"/>
      <c r="ES70" s="141"/>
      <c r="ET70" s="141"/>
      <c r="EU70" s="141"/>
      <c r="EV70" s="141"/>
      <c r="EW70" s="141"/>
      <c r="EX70" s="141"/>
      <c r="EY70" s="141"/>
      <c r="EZ70" s="141"/>
      <c r="FA70" s="202">
        <v>20</v>
      </c>
      <c r="FB70" s="141"/>
      <c r="FC70" s="141"/>
      <c r="FD70" s="141"/>
      <c r="FE70" s="141"/>
      <c r="FF70" s="141"/>
      <c r="FG70" s="141"/>
      <c r="FH70" s="141"/>
      <c r="FI70" s="141"/>
      <c r="FJ70" s="141"/>
      <c r="FK70" s="141"/>
      <c r="FL70" s="141"/>
      <c r="FM70" s="141"/>
      <c r="FN70" s="141"/>
      <c r="FO70" s="141"/>
      <c r="FP70" s="141"/>
      <c r="FQ70" s="141"/>
      <c r="FR70" s="141"/>
      <c r="FS70" s="141"/>
      <c r="FT70" s="141"/>
      <c r="FU70" s="141"/>
      <c r="FV70" s="141"/>
      <c r="FW70" s="141"/>
      <c r="FX70" s="141"/>
      <c r="FY70" s="141"/>
      <c r="FZ70" s="141"/>
      <c r="GA70" s="141"/>
      <c r="GB70" s="141"/>
      <c r="GC70" s="141"/>
      <c r="GD70" s="141"/>
      <c r="GE70" s="141"/>
      <c r="GF70" s="141"/>
      <c r="GG70" s="141"/>
      <c r="GH70" s="141"/>
      <c r="GI70" s="141"/>
      <c r="GJ70" s="141"/>
      <c r="GK70" s="141"/>
      <c r="GL70" s="141"/>
      <c r="GM70" s="141"/>
      <c r="GN70" s="141"/>
      <c r="GO70" s="141"/>
      <c r="GP70" s="151"/>
      <c r="GQ70" s="152"/>
      <c r="GR70" s="204"/>
      <c r="GS70" s="153"/>
      <c r="GT70" s="153"/>
      <c r="GU70" s="144"/>
      <c r="GV70" s="205"/>
    </row>
    <row r="71" spans="1:204">
      <c r="A71" s="138"/>
      <c r="B71" s="138" t="s">
        <v>517</v>
      </c>
      <c r="C71" s="138" t="s">
        <v>555</v>
      </c>
      <c r="D71" s="138" t="s">
        <v>4</v>
      </c>
      <c r="E71" s="140" t="s">
        <v>731</v>
      </c>
      <c r="F71" s="138" t="s">
        <v>520</v>
      </c>
      <c r="G71" s="138" t="s">
        <v>732</v>
      </c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2">
        <f>5-5</f>
        <v>0</v>
      </c>
      <c r="T71" s="141"/>
      <c r="U71" s="141"/>
      <c r="V71" s="141"/>
      <c r="W71" s="141"/>
      <c r="X71" s="141"/>
      <c r="Y71" s="146">
        <f>5-5+1</f>
        <v>1</v>
      </c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2">
        <f>5-5+5</f>
        <v>5</v>
      </c>
      <c r="BC71" s="141"/>
      <c r="BD71" s="141"/>
      <c r="BE71" s="141"/>
      <c r="BF71" s="141"/>
      <c r="BG71" s="141"/>
      <c r="BH71" s="141"/>
      <c r="BI71" s="141"/>
      <c r="BJ71" s="141"/>
      <c r="BK71" s="141"/>
      <c r="BL71" s="141"/>
      <c r="BM71" s="141"/>
      <c r="BN71" s="141"/>
      <c r="BO71" s="141"/>
      <c r="BP71" s="141"/>
      <c r="BQ71" s="142">
        <f>5-5+5</f>
        <v>5</v>
      </c>
      <c r="BR71" s="141"/>
      <c r="BS71" s="141"/>
      <c r="BT71" s="141"/>
      <c r="BU71" s="141"/>
      <c r="BV71" s="141"/>
      <c r="BW71" s="141"/>
      <c r="BX71" s="141"/>
      <c r="BY71" s="141"/>
      <c r="BZ71" s="141"/>
      <c r="CA71" s="141"/>
      <c r="CB71" s="141"/>
      <c r="CC71" s="141"/>
      <c r="CD71" s="141"/>
      <c r="CE71" s="141"/>
      <c r="CF71" s="141"/>
      <c r="CG71" s="141"/>
      <c r="CH71" s="141"/>
      <c r="CI71" s="141"/>
      <c r="CJ71" s="142">
        <f>10-10+10</f>
        <v>10</v>
      </c>
      <c r="CK71" s="141"/>
      <c r="CL71" s="141"/>
      <c r="CM71" s="141"/>
      <c r="CN71" s="141"/>
      <c r="CO71" s="141"/>
      <c r="CP71" s="141"/>
      <c r="CQ71" s="142">
        <f>5-5+2</f>
        <v>2</v>
      </c>
      <c r="CR71" s="141"/>
      <c r="CS71" s="141"/>
      <c r="CT71" s="141"/>
      <c r="CU71" s="141"/>
      <c r="CV71" s="142">
        <f>30-30+4</f>
        <v>4</v>
      </c>
      <c r="CW71" s="141"/>
      <c r="CX71" s="141"/>
      <c r="CY71" s="141"/>
      <c r="CZ71" s="141"/>
      <c r="DA71" s="141"/>
      <c r="DB71" s="141"/>
      <c r="DC71" s="141"/>
      <c r="DD71" s="141"/>
      <c r="DE71" s="141"/>
      <c r="DF71" s="141"/>
      <c r="DG71" s="142">
        <f>40-40+80</f>
        <v>80</v>
      </c>
      <c r="DH71" s="141"/>
      <c r="DI71" s="141"/>
      <c r="DJ71" s="141"/>
      <c r="DK71" s="141"/>
      <c r="DL71" s="141"/>
      <c r="DM71" s="141"/>
      <c r="DN71" s="141"/>
      <c r="DO71" s="141"/>
      <c r="DP71" s="141"/>
      <c r="DQ71" s="141"/>
      <c r="DR71" s="141"/>
      <c r="DS71" s="141"/>
      <c r="DT71" s="141"/>
      <c r="DU71" s="141"/>
      <c r="DV71" s="141"/>
      <c r="DW71" s="141"/>
      <c r="DX71" s="141"/>
      <c r="DY71" s="141"/>
      <c r="DZ71" s="141"/>
      <c r="EA71" s="142">
        <f>30-30</f>
        <v>0</v>
      </c>
      <c r="EB71" s="141"/>
      <c r="EC71" s="141"/>
      <c r="ED71" s="141"/>
      <c r="EE71" s="141"/>
      <c r="EF71" s="141"/>
      <c r="EG71" s="141"/>
      <c r="EH71" s="141"/>
      <c r="EI71" s="141"/>
      <c r="EJ71" s="141"/>
      <c r="EK71" s="141"/>
      <c r="EL71" s="142">
        <f>10-10</f>
        <v>0</v>
      </c>
      <c r="EM71" s="141"/>
      <c r="EN71" s="141"/>
      <c r="EO71" s="141"/>
      <c r="EP71" s="141"/>
      <c r="EQ71" s="150"/>
      <c r="ER71" s="141"/>
      <c r="ES71" s="142">
        <f>10-10</f>
        <v>0</v>
      </c>
      <c r="ET71" s="141"/>
      <c r="EU71" s="141"/>
      <c r="EV71" s="142">
        <f>10-10</f>
        <v>0</v>
      </c>
      <c r="EW71" s="141"/>
      <c r="EX71" s="141"/>
      <c r="EY71" s="141"/>
      <c r="EZ71" s="141"/>
      <c r="FA71" s="142">
        <f>20-20</f>
        <v>0</v>
      </c>
      <c r="FB71" s="142">
        <f>20-20</f>
        <v>0</v>
      </c>
      <c r="FC71" s="141"/>
      <c r="FD71" s="141"/>
      <c r="FE71" s="141"/>
      <c r="FF71" s="141"/>
      <c r="FG71" s="141"/>
      <c r="FH71" s="141"/>
      <c r="FI71" s="141"/>
      <c r="FJ71" s="141"/>
      <c r="FK71" s="141"/>
      <c r="FL71" s="141"/>
      <c r="FM71" s="141"/>
      <c r="FN71" s="141"/>
      <c r="FO71" s="141"/>
      <c r="FP71" s="141"/>
      <c r="FQ71" s="141"/>
      <c r="FR71" s="141"/>
      <c r="FS71" s="141"/>
      <c r="FT71" s="141"/>
      <c r="FU71" s="141"/>
      <c r="FV71" s="141"/>
      <c r="FW71" s="141"/>
      <c r="FX71" s="141"/>
      <c r="FY71" s="141"/>
      <c r="FZ71" s="141"/>
      <c r="GA71" s="141"/>
      <c r="GB71" s="141"/>
      <c r="GC71" s="141"/>
      <c r="GD71" s="141"/>
      <c r="GE71" s="141"/>
      <c r="GF71" s="141"/>
      <c r="GG71" s="141"/>
      <c r="GH71" s="141"/>
      <c r="GI71" s="141"/>
      <c r="GJ71" s="141"/>
      <c r="GK71" s="141"/>
      <c r="GL71" s="141"/>
      <c r="GM71" s="141"/>
      <c r="GN71" s="141"/>
      <c r="GO71" s="141"/>
      <c r="GP71" s="151"/>
      <c r="GQ71" s="152">
        <v>44428</v>
      </c>
      <c r="GR71" s="158" t="s">
        <v>522</v>
      </c>
      <c r="GS71" s="153" t="s">
        <v>733</v>
      </c>
      <c r="GT71" s="153" t="s">
        <v>734</v>
      </c>
      <c r="GU71" s="144">
        <f t="shared" si="1"/>
        <v>107</v>
      </c>
      <c r="GV71" s="145" t="s">
        <v>560</v>
      </c>
    </row>
    <row r="72" spans="1:204">
      <c r="A72" s="138" t="s">
        <v>517</v>
      </c>
      <c r="B72" s="138" t="s">
        <v>517</v>
      </c>
      <c r="C72" s="138" t="s">
        <v>555</v>
      </c>
      <c r="D72" s="138" t="s">
        <v>8</v>
      </c>
      <c r="E72" s="140" t="s">
        <v>611</v>
      </c>
      <c r="F72" s="138" t="s">
        <v>520</v>
      </c>
      <c r="G72" s="138" t="s">
        <v>735</v>
      </c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1"/>
      <c r="BD72" s="141"/>
      <c r="BE72" s="141"/>
      <c r="BF72" s="141"/>
      <c r="BG72" s="141"/>
      <c r="BH72" s="141"/>
      <c r="BI72" s="141"/>
      <c r="BJ72" s="141"/>
      <c r="BK72" s="141"/>
      <c r="BL72" s="141"/>
      <c r="BM72" s="141"/>
      <c r="BN72" s="141"/>
      <c r="BO72" s="141"/>
      <c r="BP72" s="141"/>
      <c r="BQ72" s="142">
        <f>10-10+5</f>
        <v>5</v>
      </c>
      <c r="BR72" s="141"/>
      <c r="BS72" s="141"/>
      <c r="BT72" s="141"/>
      <c r="BU72" s="141"/>
      <c r="BV72" s="141"/>
      <c r="BW72" s="141"/>
      <c r="BX72" s="141"/>
      <c r="BY72" s="141"/>
      <c r="BZ72" s="141"/>
      <c r="CA72" s="141"/>
      <c r="CB72" s="141"/>
      <c r="CC72" s="141"/>
      <c r="CD72" s="141"/>
      <c r="CE72" s="141"/>
      <c r="CF72" s="141"/>
      <c r="CG72" s="141"/>
      <c r="CH72" s="141"/>
      <c r="CI72" s="141"/>
      <c r="CJ72" s="141"/>
      <c r="CK72" s="141"/>
      <c r="CL72" s="141"/>
      <c r="CM72" s="141"/>
      <c r="CN72" s="141"/>
      <c r="CO72" s="141"/>
      <c r="CP72" s="141"/>
      <c r="CQ72" s="141"/>
      <c r="CR72" s="141"/>
      <c r="CS72" s="141"/>
      <c r="CT72" s="141"/>
      <c r="CU72" s="141"/>
      <c r="CV72" s="141"/>
      <c r="CW72" s="141"/>
      <c r="CX72" s="141"/>
      <c r="CY72" s="141"/>
      <c r="CZ72" s="141"/>
      <c r="DA72" s="141"/>
      <c r="DB72" s="141"/>
      <c r="DC72" s="141"/>
      <c r="DD72" s="141"/>
      <c r="DE72" s="141"/>
      <c r="DF72" s="141"/>
      <c r="DG72" s="141"/>
      <c r="DH72" s="141"/>
      <c r="DI72" s="141"/>
      <c r="DJ72" s="141"/>
      <c r="DK72" s="141"/>
      <c r="DL72" s="141"/>
      <c r="DM72" s="141"/>
      <c r="DN72" s="141"/>
      <c r="DO72" s="141"/>
      <c r="DP72" s="141"/>
      <c r="DQ72" s="141"/>
      <c r="DR72" s="141"/>
      <c r="DS72" s="141"/>
      <c r="DT72" s="141"/>
      <c r="DU72" s="141"/>
      <c r="DV72" s="141"/>
      <c r="DW72" s="141"/>
      <c r="DX72" s="141"/>
      <c r="DY72" s="141"/>
      <c r="DZ72" s="141"/>
      <c r="EA72" s="142">
        <f>30-30</f>
        <v>0</v>
      </c>
      <c r="EB72" s="141"/>
      <c r="EC72" s="141"/>
      <c r="ED72" s="141"/>
      <c r="EE72" s="141"/>
      <c r="EF72" s="141"/>
      <c r="EG72" s="141"/>
      <c r="EH72" s="141"/>
      <c r="EI72" s="141"/>
      <c r="EJ72" s="141"/>
      <c r="EK72" s="141"/>
      <c r="EL72" s="141"/>
      <c r="EM72" s="141"/>
      <c r="EN72" s="141"/>
      <c r="EO72" s="141"/>
      <c r="EP72" s="141"/>
      <c r="EQ72" s="150"/>
      <c r="ER72" s="141"/>
      <c r="ES72" s="141"/>
      <c r="ET72" s="141"/>
      <c r="EU72" s="141"/>
      <c r="EV72" s="141"/>
      <c r="EW72" s="142">
        <f>200-200+5</f>
        <v>5</v>
      </c>
      <c r="EX72" s="141"/>
      <c r="EY72" s="141"/>
      <c r="EZ72" s="141"/>
      <c r="FA72" s="141"/>
      <c r="FB72" s="141"/>
      <c r="FC72" s="141"/>
      <c r="FD72" s="141"/>
      <c r="FE72" s="141"/>
      <c r="FF72" s="141"/>
      <c r="FG72" s="141"/>
      <c r="FH72" s="141"/>
      <c r="FI72" s="141"/>
      <c r="FJ72" s="141"/>
      <c r="FK72" s="141"/>
      <c r="FL72" s="141"/>
      <c r="FM72" s="141"/>
      <c r="FN72" s="141"/>
      <c r="FO72" s="141"/>
      <c r="FP72" s="141"/>
      <c r="FQ72" s="141"/>
      <c r="FR72" s="141"/>
      <c r="FS72" s="141"/>
      <c r="FT72" s="141"/>
      <c r="FU72" s="141"/>
      <c r="FV72" s="141"/>
      <c r="FW72" s="141"/>
      <c r="FX72" s="141"/>
      <c r="FY72" s="141"/>
      <c r="FZ72" s="141"/>
      <c r="GA72" s="141"/>
      <c r="GB72" s="141"/>
      <c r="GC72" s="141"/>
      <c r="GD72" s="141"/>
      <c r="GE72" s="141"/>
      <c r="GF72" s="141"/>
      <c r="GG72" s="141"/>
      <c r="GH72" s="141"/>
      <c r="GI72" s="141"/>
      <c r="GJ72" s="141"/>
      <c r="GK72" s="141"/>
      <c r="GL72" s="141"/>
      <c r="GM72" s="141"/>
      <c r="GN72" s="141"/>
      <c r="GO72" s="141"/>
      <c r="GP72" s="151"/>
      <c r="GQ72" s="152">
        <v>44428</v>
      </c>
      <c r="GR72" s="153" t="s">
        <v>522</v>
      </c>
      <c r="GS72" s="153" t="s">
        <v>613</v>
      </c>
      <c r="GT72" s="153" t="s">
        <v>592</v>
      </c>
      <c r="GU72" s="144">
        <f t="shared" ref="GU72:GU82" si="2">SUM(H72:GO72)</f>
        <v>10</v>
      </c>
      <c r="GV72" s="147" t="s">
        <v>560</v>
      </c>
    </row>
    <row r="73" spans="1:204">
      <c r="A73" s="138" t="s">
        <v>517</v>
      </c>
      <c r="B73" s="138" t="s">
        <v>517</v>
      </c>
      <c r="C73" s="138" t="s">
        <v>555</v>
      </c>
      <c r="D73" s="138" t="s">
        <v>4</v>
      </c>
      <c r="E73" s="140" t="s">
        <v>611</v>
      </c>
      <c r="F73" s="138" t="s">
        <v>520</v>
      </c>
      <c r="G73" s="138" t="s">
        <v>735</v>
      </c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2">
        <f>10-10</f>
        <v>0</v>
      </c>
      <c r="AB73" s="142">
        <f>10-10+10</f>
        <v>10</v>
      </c>
      <c r="AC73" s="141"/>
      <c r="AD73" s="141"/>
      <c r="AE73" s="141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  <c r="BA73" s="141"/>
      <c r="BB73" s="142">
        <f>5-5+3</f>
        <v>3</v>
      </c>
      <c r="BC73" s="141"/>
      <c r="BD73" s="141"/>
      <c r="BE73" s="141"/>
      <c r="BF73" s="141"/>
      <c r="BG73" s="141"/>
      <c r="BH73" s="141"/>
      <c r="BI73" s="141"/>
      <c r="BJ73" s="141"/>
      <c r="BK73" s="141"/>
      <c r="BL73" s="141"/>
      <c r="BM73" s="141"/>
      <c r="BN73" s="141"/>
      <c r="BO73" s="141"/>
      <c r="BP73" s="141"/>
      <c r="BQ73" s="141"/>
      <c r="BR73" s="141"/>
      <c r="BS73" s="141"/>
      <c r="BT73" s="141"/>
      <c r="BU73" s="141"/>
      <c r="BV73" s="141"/>
      <c r="BW73" s="141"/>
      <c r="BX73" s="141"/>
      <c r="BY73" s="141"/>
      <c r="BZ73" s="141"/>
      <c r="CA73" s="141"/>
      <c r="CB73" s="141"/>
      <c r="CC73" s="141"/>
      <c r="CD73" s="141"/>
      <c r="CE73" s="141"/>
      <c r="CF73" s="141"/>
      <c r="CG73" s="141"/>
      <c r="CH73" s="141"/>
      <c r="CI73" s="141"/>
      <c r="CJ73" s="142">
        <f>20-20+10</f>
        <v>10</v>
      </c>
      <c r="CK73" s="142">
        <f>20-20+1</f>
        <v>1</v>
      </c>
      <c r="CL73" s="142">
        <f>20-20</f>
        <v>0</v>
      </c>
      <c r="CM73" s="141" t="s">
        <v>11</v>
      </c>
      <c r="CN73" s="141" t="s">
        <v>11</v>
      </c>
      <c r="CO73" s="141"/>
      <c r="CP73" s="141"/>
      <c r="CQ73" s="142">
        <f>50-50+4</f>
        <v>4</v>
      </c>
      <c r="CR73" s="141"/>
      <c r="CS73" s="141"/>
      <c r="CT73" s="141"/>
      <c r="CU73" s="142">
        <f>5-5+3</f>
        <v>3</v>
      </c>
      <c r="CV73" s="142">
        <f>50-50+2</f>
        <v>2</v>
      </c>
      <c r="CW73" s="141"/>
      <c r="CX73" s="142">
        <f>50-50</f>
        <v>0</v>
      </c>
      <c r="CY73" s="141"/>
      <c r="CZ73" s="141"/>
      <c r="DA73" s="141"/>
      <c r="DB73" s="141"/>
      <c r="DC73" s="141"/>
      <c r="DD73" s="141"/>
      <c r="DE73" s="142">
        <f>50-50+20</f>
        <v>20</v>
      </c>
      <c r="DF73" s="141"/>
      <c r="DG73" s="202">
        <v>20</v>
      </c>
      <c r="DH73" s="141"/>
      <c r="DI73" s="141"/>
      <c r="DJ73" s="141"/>
      <c r="DK73" s="141"/>
      <c r="DL73" s="141"/>
      <c r="DM73" s="141"/>
      <c r="DN73" s="141"/>
      <c r="DO73" s="141"/>
      <c r="DP73" s="141"/>
      <c r="DQ73" s="142">
        <f>100-100+20</f>
        <v>20</v>
      </c>
      <c r="DR73" s="141"/>
      <c r="DS73" s="142">
        <f>50-50+20</f>
        <v>20</v>
      </c>
      <c r="DT73" s="142">
        <f>50-50</f>
        <v>0</v>
      </c>
      <c r="DU73" s="141"/>
      <c r="DV73" s="141"/>
      <c r="DW73" s="141"/>
      <c r="DX73" s="141"/>
      <c r="DY73" s="141"/>
      <c r="DZ73" s="141"/>
      <c r="EA73" s="141"/>
      <c r="EB73" s="141"/>
      <c r="EC73" s="142">
        <f>0-0</f>
        <v>0</v>
      </c>
      <c r="ED73" s="142">
        <f>0-0</f>
        <v>0</v>
      </c>
      <c r="EE73" s="141"/>
      <c r="EF73" s="141"/>
      <c r="EG73" s="141"/>
      <c r="EH73" s="142">
        <f>0-0</f>
        <v>0</v>
      </c>
      <c r="EI73" s="141"/>
      <c r="EJ73" s="141"/>
      <c r="EK73" s="141"/>
      <c r="EL73" s="142">
        <f>200-200</f>
        <v>0</v>
      </c>
      <c r="EM73" s="141"/>
      <c r="EN73" s="141"/>
      <c r="EO73" s="141"/>
      <c r="EP73" s="141"/>
      <c r="EQ73" s="150"/>
      <c r="ER73" s="141"/>
      <c r="ES73" s="142">
        <f>100-100</f>
        <v>0</v>
      </c>
      <c r="ET73" s="141"/>
      <c r="EU73" s="142">
        <f>0-0</f>
        <v>0</v>
      </c>
      <c r="EV73" s="141"/>
      <c r="EW73" s="141"/>
      <c r="EX73" s="142">
        <f>0-0</f>
        <v>0</v>
      </c>
      <c r="EY73" s="141"/>
      <c r="EZ73" s="141"/>
      <c r="FA73" s="142">
        <f>0-0</f>
        <v>0</v>
      </c>
      <c r="FB73" s="142">
        <f>0-0</f>
        <v>0</v>
      </c>
      <c r="FC73" s="141"/>
      <c r="FD73" s="141"/>
      <c r="FE73" s="141"/>
      <c r="FF73" s="141"/>
      <c r="FG73" s="142">
        <f>0-0</f>
        <v>0</v>
      </c>
      <c r="FH73" s="142">
        <f>0-0</f>
        <v>0</v>
      </c>
      <c r="FI73" s="141"/>
      <c r="FJ73" s="142">
        <f>0-0</f>
        <v>0</v>
      </c>
      <c r="FK73" s="141"/>
      <c r="FL73" s="141"/>
      <c r="FM73" s="141"/>
      <c r="FN73" s="141"/>
      <c r="FO73" s="141"/>
      <c r="FP73" s="141"/>
      <c r="FQ73" s="141"/>
      <c r="FR73" s="141"/>
      <c r="FS73" s="141"/>
      <c r="FT73" s="141"/>
      <c r="FU73" s="141"/>
      <c r="FV73" s="141"/>
      <c r="FW73" s="141"/>
      <c r="FX73" s="141"/>
      <c r="FY73" s="141"/>
      <c r="FZ73" s="141"/>
      <c r="GA73" s="141"/>
      <c r="GB73" s="141"/>
      <c r="GC73" s="141"/>
      <c r="GD73" s="141"/>
      <c r="GE73" s="141"/>
      <c r="GF73" s="141"/>
      <c r="GG73" s="141"/>
      <c r="GH73" s="141"/>
      <c r="GI73" s="141"/>
      <c r="GJ73" s="141"/>
      <c r="GK73" s="141"/>
      <c r="GL73" s="141"/>
      <c r="GM73" s="141"/>
      <c r="GN73" s="141"/>
      <c r="GO73" s="141"/>
      <c r="GP73" s="151"/>
      <c r="GQ73" s="152">
        <v>44428</v>
      </c>
      <c r="GR73" s="153" t="s">
        <v>522</v>
      </c>
      <c r="GS73" s="153" t="s">
        <v>613</v>
      </c>
      <c r="GT73" s="153" t="s">
        <v>592</v>
      </c>
      <c r="GU73" s="144">
        <f t="shared" si="2"/>
        <v>113</v>
      </c>
      <c r="GV73" s="147" t="s">
        <v>560</v>
      </c>
    </row>
    <row r="74" spans="1:204">
      <c r="A74" s="138" t="s">
        <v>517</v>
      </c>
      <c r="B74" s="138" t="s">
        <v>517</v>
      </c>
      <c r="C74" s="138" t="s">
        <v>555</v>
      </c>
      <c r="D74" s="138" t="s">
        <v>3</v>
      </c>
      <c r="E74" s="140" t="s">
        <v>611</v>
      </c>
      <c r="F74" s="138" t="s">
        <v>520</v>
      </c>
      <c r="G74" s="138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  <c r="AL74" s="141"/>
      <c r="AM74" s="141"/>
      <c r="AN74" s="141"/>
      <c r="AO74" s="141"/>
      <c r="AP74" s="141"/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  <c r="BA74" s="141"/>
      <c r="BB74" s="141"/>
      <c r="BC74" s="141"/>
      <c r="BD74" s="141"/>
      <c r="BE74" s="141"/>
      <c r="BF74" s="141"/>
      <c r="BG74" s="141"/>
      <c r="BH74" s="141"/>
      <c r="BI74" s="141"/>
      <c r="BJ74" s="141"/>
      <c r="BK74" s="141"/>
      <c r="BL74" s="141"/>
      <c r="BM74" s="141"/>
      <c r="BN74" s="141"/>
      <c r="BO74" s="141"/>
      <c r="BP74" s="141"/>
      <c r="BQ74" s="141"/>
      <c r="BR74" s="141"/>
      <c r="BS74" s="141"/>
      <c r="BT74" s="141"/>
      <c r="BU74" s="141"/>
      <c r="BV74" s="141"/>
      <c r="BW74" s="141"/>
      <c r="BX74" s="141"/>
      <c r="BY74" s="141"/>
      <c r="BZ74" s="141"/>
      <c r="CA74" s="141"/>
      <c r="CB74" s="141"/>
      <c r="CC74" s="141"/>
      <c r="CD74" s="141"/>
      <c r="CE74" s="141"/>
      <c r="CF74" s="141"/>
      <c r="CG74" s="141"/>
      <c r="CH74" s="141"/>
      <c r="CI74" s="141"/>
      <c r="CJ74" s="141"/>
      <c r="CK74" s="141"/>
      <c r="CL74" s="141"/>
      <c r="CM74" s="141"/>
      <c r="CN74" s="141"/>
      <c r="CO74" s="141"/>
      <c r="CP74" s="141"/>
      <c r="CQ74" s="141"/>
      <c r="CR74" s="141"/>
      <c r="CS74" s="141"/>
      <c r="CT74" s="141"/>
      <c r="CU74" s="141"/>
      <c r="CV74" s="141"/>
      <c r="CW74" s="141"/>
      <c r="CX74" s="141"/>
      <c r="CY74" s="141"/>
      <c r="CZ74" s="141"/>
      <c r="DA74" s="141"/>
      <c r="DB74" s="141"/>
      <c r="DC74" s="141"/>
      <c r="DD74" s="141"/>
      <c r="DE74" s="141"/>
      <c r="DF74" s="141"/>
      <c r="DG74" s="142">
        <f>50-50</f>
        <v>0</v>
      </c>
      <c r="DH74" s="141"/>
      <c r="DI74" s="141"/>
      <c r="DJ74" s="141"/>
      <c r="DK74" s="141"/>
      <c r="DL74" s="141"/>
      <c r="DM74" s="141"/>
      <c r="DN74" s="141"/>
      <c r="DO74" s="141"/>
      <c r="DP74" s="141"/>
      <c r="DQ74" s="141"/>
      <c r="DR74" s="141"/>
      <c r="DS74" s="141"/>
      <c r="DT74" s="141"/>
      <c r="DU74" s="141"/>
      <c r="DV74" s="141"/>
      <c r="DW74" s="141"/>
      <c r="DX74" s="141"/>
      <c r="DY74" s="141"/>
      <c r="DZ74" s="141"/>
      <c r="EA74" s="141"/>
      <c r="EB74" s="141"/>
      <c r="EC74" s="141"/>
      <c r="ED74" s="141"/>
      <c r="EE74" s="141"/>
      <c r="EF74" s="141"/>
      <c r="EG74" s="141"/>
      <c r="EH74" s="141"/>
      <c r="EI74" s="141"/>
      <c r="EJ74" s="141"/>
      <c r="EK74" s="141"/>
      <c r="EL74" s="141"/>
      <c r="EM74" s="141"/>
      <c r="EN74" s="141"/>
      <c r="EO74" s="141"/>
      <c r="EP74" s="141"/>
      <c r="EQ74" s="150"/>
      <c r="ER74" s="141"/>
      <c r="ES74" s="141"/>
      <c r="ET74" s="141"/>
      <c r="EU74" s="141"/>
      <c r="EV74" s="141"/>
      <c r="EW74" s="141"/>
      <c r="EX74" s="141"/>
      <c r="EY74" s="141"/>
      <c r="EZ74" s="141"/>
      <c r="FA74" s="141"/>
      <c r="FB74" s="141"/>
      <c r="FC74" s="141"/>
      <c r="FD74" s="141"/>
      <c r="FE74" s="141"/>
      <c r="FF74" s="141"/>
      <c r="FG74" s="141"/>
      <c r="FH74" s="141"/>
      <c r="FI74" s="141"/>
      <c r="FJ74" s="141"/>
      <c r="FK74" s="141"/>
      <c r="FL74" s="141"/>
      <c r="FM74" s="141"/>
      <c r="FN74" s="141"/>
      <c r="FO74" s="141"/>
      <c r="FP74" s="141"/>
      <c r="FQ74" s="141"/>
      <c r="FR74" s="141"/>
      <c r="FS74" s="141"/>
      <c r="FT74" s="141"/>
      <c r="FU74" s="141"/>
      <c r="FV74" s="141"/>
      <c r="FW74" s="141"/>
      <c r="FX74" s="141"/>
      <c r="FY74" s="141"/>
      <c r="FZ74" s="141"/>
      <c r="GA74" s="141"/>
      <c r="GB74" s="141"/>
      <c r="GC74" s="141"/>
      <c r="GD74" s="141"/>
      <c r="GE74" s="141"/>
      <c r="GF74" s="141"/>
      <c r="GG74" s="141"/>
      <c r="GH74" s="141"/>
      <c r="GI74" s="141"/>
      <c r="GJ74" s="141"/>
      <c r="GK74" s="141"/>
      <c r="GL74" s="141"/>
      <c r="GM74" s="141"/>
      <c r="GN74" s="141"/>
      <c r="GO74" s="141"/>
      <c r="GP74" s="151"/>
      <c r="GQ74" s="152">
        <v>44428</v>
      </c>
      <c r="GR74" s="153" t="s">
        <v>522</v>
      </c>
      <c r="GS74" s="153" t="s">
        <v>613</v>
      </c>
      <c r="GT74" s="153" t="s">
        <v>592</v>
      </c>
      <c r="GU74" s="144">
        <f t="shared" si="2"/>
        <v>0</v>
      </c>
      <c r="GV74" s="147" t="s">
        <v>560</v>
      </c>
    </row>
    <row r="75" spans="1:204">
      <c r="A75" s="138"/>
      <c r="B75" s="138" t="s">
        <v>517</v>
      </c>
      <c r="C75" s="138" t="s">
        <v>555</v>
      </c>
      <c r="D75" s="138" t="s">
        <v>4</v>
      </c>
      <c r="E75" s="140" t="s">
        <v>736</v>
      </c>
      <c r="F75" s="138" t="s">
        <v>520</v>
      </c>
      <c r="G75" s="138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2">
        <f>20-20</f>
        <v>0</v>
      </c>
      <c r="AX75" s="141"/>
      <c r="AY75" s="141"/>
      <c r="AZ75" s="141"/>
      <c r="BA75" s="141"/>
      <c r="BB75" s="142">
        <f>20-20+5</f>
        <v>5</v>
      </c>
      <c r="BC75" s="142">
        <f>20-20</f>
        <v>0</v>
      </c>
      <c r="BD75" s="142">
        <f>20-20+2</f>
        <v>2</v>
      </c>
      <c r="BE75" s="141"/>
      <c r="BF75" s="141"/>
      <c r="BG75" s="141"/>
      <c r="BH75" s="141"/>
      <c r="BI75" s="141"/>
      <c r="BJ75" s="141"/>
      <c r="BK75" s="141"/>
      <c r="BL75" s="141"/>
      <c r="BM75" s="142">
        <f>30-30</f>
        <v>0</v>
      </c>
      <c r="BN75" s="141"/>
      <c r="BO75" s="142">
        <f>30-30+2</f>
        <v>2</v>
      </c>
      <c r="BP75" s="141"/>
      <c r="BQ75" s="142">
        <f>20-20+2</f>
        <v>2</v>
      </c>
      <c r="BR75" s="141"/>
      <c r="BS75" s="142">
        <f>20-20</f>
        <v>0</v>
      </c>
      <c r="BT75" s="141"/>
      <c r="BU75" s="141"/>
      <c r="BV75" s="141"/>
      <c r="BW75" s="141"/>
      <c r="BX75" s="141"/>
      <c r="BY75" s="141"/>
      <c r="BZ75" s="141"/>
      <c r="CA75" s="141"/>
      <c r="CB75" s="141"/>
      <c r="CC75" s="141"/>
      <c r="CD75" s="141"/>
      <c r="CE75" s="141"/>
      <c r="CF75" s="141"/>
      <c r="CG75" s="141"/>
      <c r="CH75" s="141"/>
      <c r="CI75" s="141"/>
      <c r="CJ75" s="141"/>
      <c r="CK75" s="141"/>
      <c r="CL75" s="141"/>
      <c r="CM75" s="141"/>
      <c r="CN75" s="141"/>
      <c r="CO75" s="141"/>
      <c r="CP75" s="142">
        <f>20-20+2</f>
        <v>2</v>
      </c>
      <c r="CQ75" s="142">
        <f>20-20+2</f>
        <v>2</v>
      </c>
      <c r="CR75" s="141"/>
      <c r="CS75" s="142">
        <f>20-20</f>
        <v>0</v>
      </c>
      <c r="CT75" s="141"/>
      <c r="CU75" s="141"/>
      <c r="CV75" s="141"/>
      <c r="CW75" s="141"/>
      <c r="CX75" s="141"/>
      <c r="CY75" s="141"/>
      <c r="CZ75" s="141"/>
      <c r="DA75" s="141"/>
      <c r="DB75" s="141"/>
      <c r="DC75" s="141"/>
      <c r="DD75" s="141"/>
      <c r="DE75" s="141"/>
      <c r="DF75" s="141"/>
      <c r="DG75" s="141"/>
      <c r="DH75" s="141"/>
      <c r="DI75" s="141"/>
      <c r="DJ75" s="141"/>
      <c r="DK75" s="141"/>
      <c r="DL75" s="141"/>
      <c r="DM75" s="141"/>
      <c r="DN75" s="141"/>
      <c r="DO75" s="141"/>
      <c r="DP75" s="141"/>
      <c r="DQ75" s="141"/>
      <c r="DR75" s="141"/>
      <c r="DS75" s="141"/>
      <c r="DT75" s="141"/>
      <c r="DU75" s="141"/>
      <c r="DV75" s="141"/>
      <c r="DW75" s="141"/>
      <c r="DX75" s="141"/>
      <c r="DY75" s="141"/>
      <c r="DZ75" s="141"/>
      <c r="EA75" s="141"/>
      <c r="EB75" s="141"/>
      <c r="EC75" s="141"/>
      <c r="ED75" s="141"/>
      <c r="EE75" s="141"/>
      <c r="EF75" s="141"/>
      <c r="EG75" s="141"/>
      <c r="EH75" s="141"/>
      <c r="EI75" s="141"/>
      <c r="EJ75" s="141"/>
      <c r="EK75" s="141"/>
      <c r="EL75" s="141"/>
      <c r="EM75" s="141"/>
      <c r="EN75" s="141"/>
      <c r="EO75" s="141"/>
      <c r="EP75" s="141"/>
      <c r="EQ75" s="150"/>
      <c r="ER75" s="141"/>
      <c r="ES75" s="141"/>
      <c r="ET75" s="141"/>
      <c r="EU75" s="141"/>
      <c r="EV75" s="141"/>
      <c r="EW75" s="141"/>
      <c r="EX75" s="141"/>
      <c r="EY75" s="141"/>
      <c r="EZ75" s="141"/>
      <c r="FA75" s="141"/>
      <c r="FB75" s="141"/>
      <c r="FC75" s="141"/>
      <c r="FD75" s="141"/>
      <c r="FE75" s="142">
        <f>40-40</f>
        <v>0</v>
      </c>
      <c r="FF75" s="141"/>
      <c r="FG75" s="141"/>
      <c r="FH75" s="141"/>
      <c r="FI75" s="141"/>
      <c r="FJ75" s="141"/>
      <c r="FK75" s="141"/>
      <c r="FL75" s="141"/>
      <c r="FM75" s="141"/>
      <c r="FN75" s="141"/>
      <c r="FO75" s="141"/>
      <c r="FP75" s="141"/>
      <c r="FQ75" s="141"/>
      <c r="FR75" s="141"/>
      <c r="FS75" s="141"/>
      <c r="FT75" s="141"/>
      <c r="FU75" s="141"/>
      <c r="FV75" s="141"/>
      <c r="FW75" s="141"/>
      <c r="FX75" s="141"/>
      <c r="FY75" s="141"/>
      <c r="FZ75" s="141"/>
      <c r="GA75" s="141"/>
      <c r="GB75" s="141"/>
      <c r="GC75" s="141"/>
      <c r="GD75" s="141"/>
      <c r="GE75" s="141"/>
      <c r="GF75" s="141"/>
      <c r="GG75" s="141"/>
      <c r="GH75" s="141"/>
      <c r="GI75" s="141"/>
      <c r="GJ75" s="141"/>
      <c r="GK75" s="141"/>
      <c r="GL75" s="141"/>
      <c r="GM75" s="141"/>
      <c r="GN75" s="141"/>
      <c r="GO75" s="141"/>
      <c r="GP75" s="151"/>
      <c r="GQ75" s="152"/>
      <c r="GR75" s="153" t="s">
        <v>522</v>
      </c>
      <c r="GS75" s="153"/>
      <c r="GT75" s="153"/>
      <c r="GU75" s="144">
        <f t="shared" si="2"/>
        <v>15</v>
      </c>
      <c r="GV75" s="147" t="s">
        <v>737</v>
      </c>
    </row>
    <row r="76" spans="1:204">
      <c r="A76" s="139" t="s">
        <v>526</v>
      </c>
      <c r="B76" s="139" t="s">
        <v>517</v>
      </c>
      <c r="C76" s="139" t="s">
        <v>555</v>
      </c>
      <c r="D76" s="139" t="s">
        <v>8</v>
      </c>
      <c r="E76" s="160" t="s">
        <v>614</v>
      </c>
      <c r="F76" s="139" t="s">
        <v>520</v>
      </c>
      <c r="G76" s="139" t="s">
        <v>738</v>
      </c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  <c r="AK76" s="150"/>
      <c r="AL76" s="150"/>
      <c r="AM76" s="150"/>
      <c r="AN76" s="150"/>
      <c r="AO76" s="150"/>
      <c r="AP76" s="150"/>
      <c r="AQ76" s="150"/>
      <c r="AR76" s="150"/>
      <c r="AS76" s="150"/>
      <c r="AT76" s="150"/>
      <c r="AU76" s="150"/>
      <c r="AV76" s="150"/>
      <c r="AW76" s="150"/>
      <c r="AX76" s="150"/>
      <c r="AY76" s="150"/>
      <c r="AZ76" s="150"/>
      <c r="BA76" s="150"/>
      <c r="BB76" s="150"/>
      <c r="BC76" s="150"/>
      <c r="BD76" s="150"/>
      <c r="BE76" s="150"/>
      <c r="BF76" s="150"/>
      <c r="BG76" s="150"/>
      <c r="BH76" s="150"/>
      <c r="BI76" s="150"/>
      <c r="BJ76" s="150"/>
      <c r="BK76" s="150"/>
      <c r="BL76" s="150"/>
      <c r="BM76" s="150"/>
      <c r="BN76" s="150"/>
      <c r="BO76" s="150"/>
      <c r="BP76" s="150"/>
      <c r="BQ76" s="150"/>
      <c r="BR76" s="150"/>
      <c r="BS76" s="150"/>
      <c r="BT76" s="150"/>
      <c r="BU76" s="150"/>
      <c r="BV76" s="150"/>
      <c r="BW76" s="150"/>
      <c r="BX76" s="150"/>
      <c r="BY76" s="150"/>
      <c r="BZ76" s="150"/>
      <c r="CA76" s="150"/>
      <c r="CB76" s="150"/>
      <c r="CC76" s="150"/>
      <c r="CD76" s="150"/>
      <c r="CE76" s="150"/>
      <c r="CF76" s="150"/>
      <c r="CG76" s="150"/>
      <c r="CH76" s="150"/>
      <c r="CI76" s="150"/>
      <c r="CJ76" s="150"/>
      <c r="CK76" s="150"/>
      <c r="CL76" s="150"/>
      <c r="CM76" s="150"/>
      <c r="CN76" s="150"/>
      <c r="CO76" s="150"/>
      <c r="CP76" s="150"/>
      <c r="CQ76" s="150"/>
      <c r="CR76" s="150"/>
      <c r="CS76" s="150"/>
      <c r="CT76" s="150"/>
      <c r="CU76" s="150"/>
      <c r="CV76" s="150"/>
      <c r="CW76" s="150"/>
      <c r="CX76" s="150"/>
      <c r="CY76" s="150"/>
      <c r="CZ76" s="150"/>
      <c r="DA76" s="150"/>
      <c r="DB76" s="150"/>
      <c r="DC76" s="150"/>
      <c r="DD76" s="150"/>
      <c r="DE76" s="150"/>
      <c r="DF76" s="150"/>
      <c r="DG76" s="150"/>
      <c r="DH76" s="150"/>
      <c r="DI76" s="150"/>
      <c r="DJ76" s="150"/>
      <c r="DK76" s="150"/>
      <c r="DL76" s="150"/>
      <c r="DM76" s="150"/>
      <c r="DN76" s="150"/>
      <c r="DO76" s="150"/>
      <c r="DP76" s="150"/>
      <c r="DQ76" s="150"/>
      <c r="DR76" s="150"/>
      <c r="DS76" s="150"/>
      <c r="DT76" s="150"/>
      <c r="DU76" s="150"/>
      <c r="DV76" s="150"/>
      <c r="DW76" s="150"/>
      <c r="DX76" s="150"/>
      <c r="DY76" s="150"/>
      <c r="DZ76" s="150"/>
      <c r="EA76" s="150"/>
      <c r="EB76" s="150"/>
      <c r="EC76" s="150"/>
      <c r="ED76" s="150"/>
      <c r="EE76" s="150"/>
      <c r="EF76" s="150"/>
      <c r="EG76" s="150"/>
      <c r="EH76" s="150"/>
      <c r="EI76" s="150"/>
      <c r="EJ76" s="150"/>
      <c r="EK76" s="150"/>
      <c r="EL76" s="150"/>
      <c r="EM76" s="150"/>
      <c r="EN76" s="150"/>
      <c r="EO76" s="150"/>
      <c r="EP76" s="150"/>
      <c r="EQ76" s="150"/>
      <c r="ER76" s="150"/>
      <c r="ES76" s="150"/>
      <c r="ET76" s="150"/>
      <c r="EU76" s="150"/>
      <c r="EV76" s="150"/>
      <c r="EW76" s="150"/>
      <c r="EX76" s="150"/>
      <c r="EY76" s="150"/>
      <c r="EZ76" s="150"/>
      <c r="FA76" s="150"/>
      <c r="FB76" s="150"/>
      <c r="FC76" s="150"/>
      <c r="FD76" s="150"/>
      <c r="FE76" s="150"/>
      <c r="FF76" s="150"/>
      <c r="FG76" s="150"/>
      <c r="FH76" s="150"/>
      <c r="FI76" s="150"/>
      <c r="FJ76" s="150"/>
      <c r="FK76" s="150"/>
      <c r="FL76" s="150"/>
      <c r="FM76" s="150"/>
      <c r="FN76" s="150"/>
      <c r="FO76" s="150"/>
      <c r="FP76" s="150"/>
      <c r="FQ76" s="150"/>
      <c r="FR76" s="150"/>
      <c r="FS76" s="150"/>
      <c r="FT76" s="150"/>
      <c r="FU76" s="150"/>
      <c r="FV76" s="150"/>
      <c r="FW76" s="150"/>
      <c r="FX76" s="150"/>
      <c r="FY76" s="150"/>
      <c r="FZ76" s="150"/>
      <c r="GA76" s="150"/>
      <c r="GB76" s="150"/>
      <c r="GC76" s="150"/>
      <c r="GD76" s="150"/>
      <c r="GE76" s="150"/>
      <c r="GF76" s="150"/>
      <c r="GG76" s="150"/>
      <c r="GH76" s="150"/>
      <c r="GI76" s="150"/>
      <c r="GJ76" s="150"/>
      <c r="GK76" s="150"/>
      <c r="GL76" s="150"/>
      <c r="GM76" s="150"/>
      <c r="GN76" s="150"/>
      <c r="GO76" s="150"/>
      <c r="GP76" s="161"/>
      <c r="GQ76" s="152">
        <v>44428</v>
      </c>
      <c r="GR76" s="159" t="s">
        <v>522</v>
      </c>
      <c r="GS76" s="159" t="s">
        <v>616</v>
      </c>
      <c r="GT76" s="159" t="s">
        <v>617</v>
      </c>
      <c r="GU76" s="144">
        <f t="shared" si="2"/>
        <v>0</v>
      </c>
      <c r="GV76" s="136" t="s">
        <v>560</v>
      </c>
    </row>
    <row r="77" spans="1:204">
      <c r="A77" s="139" t="s">
        <v>526</v>
      </c>
      <c r="B77" s="139" t="s">
        <v>517</v>
      </c>
      <c r="C77" s="139" t="s">
        <v>555</v>
      </c>
      <c r="D77" s="139" t="s">
        <v>4</v>
      </c>
      <c r="E77" s="160" t="s">
        <v>614</v>
      </c>
      <c r="F77" s="139" t="s">
        <v>520</v>
      </c>
      <c r="G77" s="139" t="s">
        <v>738</v>
      </c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0"/>
      <c r="AR77" s="150"/>
      <c r="AS77" s="150"/>
      <c r="AT77" s="150"/>
      <c r="AU77" s="150"/>
      <c r="AV77" s="150"/>
      <c r="AW77" s="150"/>
      <c r="AX77" s="150"/>
      <c r="AY77" s="150"/>
      <c r="AZ77" s="150"/>
      <c r="BA77" s="150"/>
      <c r="BB77" s="150"/>
      <c r="BC77" s="150"/>
      <c r="BD77" s="150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150"/>
      <c r="CE77" s="150"/>
      <c r="CF77" s="150"/>
      <c r="CG77" s="150"/>
      <c r="CH77" s="150"/>
      <c r="CI77" s="150"/>
      <c r="CJ77" s="150"/>
      <c r="CK77" s="150"/>
      <c r="CL77" s="150"/>
      <c r="CM77" s="150"/>
      <c r="CN77" s="150"/>
      <c r="CO77" s="150"/>
      <c r="CP77" s="150"/>
      <c r="CQ77" s="150"/>
      <c r="CR77" s="150"/>
      <c r="CS77" s="142">
        <f>10-10</f>
        <v>0</v>
      </c>
      <c r="CT77" s="150"/>
      <c r="CU77" s="150"/>
      <c r="CV77" s="150"/>
      <c r="CW77" s="150"/>
      <c r="CX77" s="150"/>
      <c r="CY77" s="142">
        <f>10-10+2</f>
        <v>2</v>
      </c>
      <c r="CZ77" s="150"/>
      <c r="DA77" s="150"/>
      <c r="DB77" s="150"/>
      <c r="DC77" s="150"/>
      <c r="DD77" s="150"/>
      <c r="DE77" s="150"/>
      <c r="DF77" s="150"/>
      <c r="DG77" s="150"/>
      <c r="DH77" s="150"/>
      <c r="DI77" s="150"/>
      <c r="DJ77" s="150"/>
      <c r="DK77" s="150"/>
      <c r="DL77" s="150"/>
      <c r="DM77" s="150"/>
      <c r="DN77" s="150"/>
      <c r="DO77" s="150"/>
      <c r="DP77" s="150"/>
      <c r="DQ77" s="150"/>
      <c r="DR77" s="150"/>
      <c r="DS77" s="150"/>
      <c r="DT77" s="150"/>
      <c r="DU77" s="142">
        <f>50-50+20</f>
        <v>20</v>
      </c>
      <c r="DV77" s="142">
        <f>50-50</f>
        <v>0</v>
      </c>
      <c r="DW77" s="150"/>
      <c r="DX77" s="150"/>
      <c r="DY77" s="150"/>
      <c r="DZ77" s="150"/>
      <c r="EA77" s="150"/>
      <c r="EB77" s="150"/>
      <c r="EC77" s="150"/>
      <c r="ED77" s="150"/>
      <c r="EE77" s="150"/>
      <c r="EF77" s="150"/>
      <c r="EG77" s="150"/>
      <c r="EH77" s="150"/>
      <c r="EI77" s="150"/>
      <c r="EJ77" s="150"/>
      <c r="EK77" s="150"/>
      <c r="EL77" s="150"/>
      <c r="EM77" s="150"/>
      <c r="EN77" s="150"/>
      <c r="EO77" s="150"/>
      <c r="EP77" s="150"/>
      <c r="EQ77" s="150"/>
      <c r="ER77" s="150"/>
      <c r="ES77" s="150"/>
      <c r="ET77" s="150"/>
      <c r="EU77" s="150"/>
      <c r="EV77" s="142">
        <f>200-200</f>
        <v>0</v>
      </c>
      <c r="EW77" s="150"/>
      <c r="EX77" s="150"/>
      <c r="EY77" s="150"/>
      <c r="EZ77" s="150"/>
      <c r="FA77" s="150"/>
      <c r="FB77" s="150"/>
      <c r="FC77" s="150"/>
      <c r="FD77" s="150"/>
      <c r="FE77" s="150"/>
      <c r="FF77" s="150"/>
      <c r="FG77" s="150"/>
      <c r="FH77" s="150"/>
      <c r="FI77" s="150"/>
      <c r="FJ77" s="150"/>
      <c r="FK77" s="150"/>
      <c r="FL77" s="150"/>
      <c r="FM77" s="150"/>
      <c r="FN77" s="150"/>
      <c r="FO77" s="150"/>
      <c r="FP77" s="150"/>
      <c r="FQ77" s="150"/>
      <c r="FR77" s="150"/>
      <c r="FS77" s="150"/>
      <c r="FT77" s="150"/>
      <c r="FU77" s="150"/>
      <c r="FV77" s="150"/>
      <c r="FW77" s="150"/>
      <c r="FX77" s="150"/>
      <c r="FY77" s="150"/>
      <c r="FZ77" s="150"/>
      <c r="GA77" s="150"/>
      <c r="GB77" s="150"/>
      <c r="GC77" s="150"/>
      <c r="GD77" s="150"/>
      <c r="GE77" s="150"/>
      <c r="GF77" s="150"/>
      <c r="GG77" s="150"/>
      <c r="GH77" s="150"/>
      <c r="GI77" s="150"/>
      <c r="GJ77" s="150"/>
      <c r="GK77" s="150"/>
      <c r="GL77" s="150"/>
      <c r="GM77" s="150"/>
      <c r="GN77" s="150"/>
      <c r="GO77" s="150"/>
      <c r="GP77" s="161"/>
      <c r="GQ77" s="152">
        <v>44428</v>
      </c>
      <c r="GR77" s="159" t="s">
        <v>522</v>
      </c>
      <c r="GS77" s="159" t="s">
        <v>616</v>
      </c>
      <c r="GT77" s="159" t="s">
        <v>617</v>
      </c>
      <c r="GU77" s="144">
        <f t="shared" si="2"/>
        <v>22</v>
      </c>
      <c r="GV77" s="136" t="s">
        <v>560</v>
      </c>
    </row>
    <row r="78" spans="1:204">
      <c r="A78" s="138" t="s">
        <v>540</v>
      </c>
      <c r="B78" s="138" t="s">
        <v>517</v>
      </c>
      <c r="C78" s="138" t="s">
        <v>555</v>
      </c>
      <c r="D78" s="138" t="s">
        <v>8</v>
      </c>
      <c r="E78" s="140" t="s">
        <v>618</v>
      </c>
      <c r="F78" s="138" t="s">
        <v>520</v>
      </c>
      <c r="G78" s="138" t="s">
        <v>739</v>
      </c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41"/>
      <c r="BC78" s="141"/>
      <c r="BD78" s="141"/>
      <c r="BE78" s="141"/>
      <c r="BF78" s="141"/>
      <c r="BG78" s="141"/>
      <c r="BH78" s="141"/>
      <c r="BI78" s="141"/>
      <c r="BJ78" s="141"/>
      <c r="BK78" s="141"/>
      <c r="BL78" s="141"/>
      <c r="BM78" s="141"/>
      <c r="BN78" s="141"/>
      <c r="BO78" s="141"/>
      <c r="BP78" s="141"/>
      <c r="BQ78" s="141"/>
      <c r="BR78" s="141"/>
      <c r="BS78" s="141"/>
      <c r="BT78" s="141"/>
      <c r="BU78" s="141"/>
      <c r="BV78" s="141"/>
      <c r="BW78" s="141"/>
      <c r="BX78" s="141"/>
      <c r="BY78" s="141"/>
      <c r="BZ78" s="141"/>
      <c r="CA78" s="141"/>
      <c r="CB78" s="141"/>
      <c r="CC78" s="141"/>
      <c r="CD78" s="141"/>
      <c r="CE78" s="141"/>
      <c r="CF78" s="141"/>
      <c r="CG78" s="141"/>
      <c r="CH78" s="141"/>
      <c r="CI78" s="141"/>
      <c r="CJ78" s="141"/>
      <c r="CK78" s="141"/>
      <c r="CL78" s="141"/>
      <c r="CM78" s="141"/>
      <c r="CN78" s="141"/>
      <c r="CO78" s="141"/>
      <c r="CP78" s="141"/>
      <c r="CQ78" s="141"/>
      <c r="CR78" s="141"/>
      <c r="CS78" s="141"/>
      <c r="CT78" s="141"/>
      <c r="CU78" s="141"/>
      <c r="CV78" s="141"/>
      <c r="CW78" s="141"/>
      <c r="CX78" s="141"/>
      <c r="CY78" s="141"/>
      <c r="CZ78" s="141"/>
      <c r="DA78" s="141"/>
      <c r="DB78" s="141"/>
      <c r="DC78" s="141"/>
      <c r="DD78" s="141"/>
      <c r="DE78" s="141"/>
      <c r="DF78" s="141"/>
      <c r="DG78" s="141"/>
      <c r="DH78" s="141"/>
      <c r="DI78" s="141"/>
      <c r="DJ78" s="141"/>
      <c r="DK78" s="141"/>
      <c r="DL78" s="141"/>
      <c r="DM78" s="141"/>
      <c r="DN78" s="141"/>
      <c r="DO78" s="141"/>
      <c r="DP78" s="141"/>
      <c r="DQ78" s="141"/>
      <c r="DR78" s="141"/>
      <c r="DS78" s="141"/>
      <c r="DT78" s="141"/>
      <c r="DU78" s="141"/>
      <c r="DV78" s="141"/>
      <c r="DW78" s="141"/>
      <c r="DX78" s="141"/>
      <c r="DY78" s="141"/>
      <c r="DZ78" s="141"/>
      <c r="EA78" s="142">
        <f>50-50</f>
        <v>0</v>
      </c>
      <c r="EB78" s="141"/>
      <c r="EC78" s="141"/>
      <c r="ED78" s="141"/>
      <c r="EE78" s="141"/>
      <c r="EF78" s="141"/>
      <c r="EG78" s="141"/>
      <c r="EH78" s="141"/>
      <c r="EI78" s="141"/>
      <c r="EJ78" s="141"/>
      <c r="EK78" s="141"/>
      <c r="EL78" s="141"/>
      <c r="EM78" s="141"/>
      <c r="EN78" s="141"/>
      <c r="EO78" s="141"/>
      <c r="EP78" s="141"/>
      <c r="EQ78" s="150"/>
      <c r="ER78" s="141"/>
      <c r="ES78" s="141"/>
      <c r="ET78" s="141"/>
      <c r="EU78" s="141"/>
      <c r="EV78" s="141"/>
      <c r="EW78" s="142">
        <f>200-200+5</f>
        <v>5</v>
      </c>
      <c r="EX78" s="141"/>
      <c r="EY78" s="141"/>
      <c r="EZ78" s="141"/>
      <c r="FA78" s="141"/>
      <c r="FB78" s="141"/>
      <c r="FC78" s="141"/>
      <c r="FD78" s="141"/>
      <c r="FE78" s="141"/>
      <c r="FF78" s="141"/>
      <c r="FG78" s="141"/>
      <c r="FH78" s="141"/>
      <c r="FI78" s="141"/>
      <c r="FJ78" s="141"/>
      <c r="FK78" s="141"/>
      <c r="FL78" s="141"/>
      <c r="FM78" s="141"/>
      <c r="FN78" s="141"/>
      <c r="FO78" s="141"/>
      <c r="FP78" s="141"/>
      <c r="FQ78" s="141"/>
      <c r="FR78" s="141"/>
      <c r="FS78" s="141"/>
      <c r="FT78" s="141"/>
      <c r="FU78" s="141"/>
      <c r="FV78" s="141"/>
      <c r="FW78" s="141"/>
      <c r="FX78" s="141"/>
      <c r="FY78" s="141"/>
      <c r="FZ78" s="141"/>
      <c r="GA78" s="141"/>
      <c r="GB78" s="141"/>
      <c r="GC78" s="141"/>
      <c r="GD78" s="141"/>
      <c r="GE78" s="141"/>
      <c r="GF78" s="141"/>
      <c r="GG78" s="141"/>
      <c r="GH78" s="141"/>
      <c r="GI78" s="141"/>
      <c r="GJ78" s="141"/>
      <c r="GK78" s="141"/>
      <c r="GL78" s="141"/>
      <c r="GM78" s="141"/>
      <c r="GN78" s="141"/>
      <c r="GO78" s="141"/>
      <c r="GP78" s="151"/>
      <c r="GQ78" s="152">
        <v>44428</v>
      </c>
      <c r="GR78" s="153" t="s">
        <v>522</v>
      </c>
      <c r="GS78" s="153" t="s">
        <v>620</v>
      </c>
      <c r="GT78" s="153" t="s">
        <v>592</v>
      </c>
      <c r="GU78" s="144">
        <f t="shared" si="2"/>
        <v>5</v>
      </c>
      <c r="GV78" s="147" t="s">
        <v>560</v>
      </c>
    </row>
    <row r="79" spans="1:204" ht="10.5" thickBot="1">
      <c r="A79" s="191" t="s">
        <v>540</v>
      </c>
      <c r="B79" s="191" t="s">
        <v>517</v>
      </c>
      <c r="C79" s="191" t="s">
        <v>555</v>
      </c>
      <c r="D79" s="191" t="s">
        <v>4</v>
      </c>
      <c r="E79" s="192" t="s">
        <v>618</v>
      </c>
      <c r="F79" s="191" t="s">
        <v>520</v>
      </c>
      <c r="G79" s="191" t="s">
        <v>739</v>
      </c>
      <c r="H79" s="193"/>
      <c r="I79" s="193"/>
      <c r="J79" s="193"/>
      <c r="K79" s="193"/>
      <c r="L79" s="193"/>
      <c r="M79" s="193"/>
      <c r="N79" s="193"/>
      <c r="O79" s="194">
        <f>5-5</f>
        <v>0</v>
      </c>
      <c r="P79" s="193"/>
      <c r="Q79" s="193"/>
      <c r="R79" s="193"/>
      <c r="S79" s="193"/>
      <c r="T79" s="193"/>
      <c r="U79" s="193"/>
      <c r="V79" s="193"/>
      <c r="W79" s="194">
        <f>20-20+20</f>
        <v>20</v>
      </c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  <c r="AV79" s="193"/>
      <c r="AW79" s="193"/>
      <c r="AX79" s="193"/>
      <c r="AY79" s="193"/>
      <c r="AZ79" s="193"/>
      <c r="BA79" s="193"/>
      <c r="BB79" s="194">
        <f>5-5+2</f>
        <v>2</v>
      </c>
      <c r="BC79" s="193"/>
      <c r="BD79" s="193"/>
      <c r="BE79" s="193"/>
      <c r="BF79" s="193"/>
      <c r="BG79" s="193"/>
      <c r="BH79" s="193"/>
      <c r="BI79" s="193"/>
      <c r="BJ79" s="193"/>
      <c r="BK79" s="193"/>
      <c r="BL79" s="193"/>
      <c r="BM79" s="193"/>
      <c r="BN79" s="193"/>
      <c r="BO79" s="193"/>
      <c r="BP79" s="193"/>
      <c r="BQ79" s="193"/>
      <c r="BR79" s="193"/>
      <c r="BS79" s="193"/>
      <c r="BT79" s="193"/>
      <c r="BU79" s="193"/>
      <c r="BV79" s="193"/>
      <c r="BW79" s="193"/>
      <c r="BX79" s="193"/>
      <c r="BY79" s="193"/>
      <c r="BZ79" s="193"/>
      <c r="CA79" s="193"/>
      <c r="CB79" s="193"/>
      <c r="CC79" s="193"/>
      <c r="CD79" s="193"/>
      <c r="CE79" s="193"/>
      <c r="CF79" s="193"/>
      <c r="CG79" s="193"/>
      <c r="CH79" s="193"/>
      <c r="CI79" s="193"/>
      <c r="CJ79" s="194">
        <f>10-10+5</f>
        <v>5</v>
      </c>
      <c r="CK79" s="193"/>
      <c r="CL79" s="193"/>
      <c r="CM79" s="193"/>
      <c r="CN79" s="193"/>
      <c r="CO79" s="193"/>
      <c r="CP79" s="193"/>
      <c r="CQ79" s="193"/>
      <c r="CR79" s="193"/>
      <c r="CS79" s="194">
        <f>50-50</f>
        <v>0</v>
      </c>
      <c r="CT79" s="193"/>
      <c r="CU79" s="193"/>
      <c r="CV79" s="194">
        <f>50-50+2</f>
        <v>2</v>
      </c>
      <c r="CW79" s="193"/>
      <c r="CX79" s="193"/>
      <c r="CY79" s="193"/>
      <c r="CZ79" s="193"/>
      <c r="DA79" s="193"/>
      <c r="DB79" s="193"/>
      <c r="DC79" s="193"/>
      <c r="DD79" s="193"/>
      <c r="DE79" s="194">
        <f>50-50+10</f>
        <v>10</v>
      </c>
      <c r="DF79" s="193"/>
      <c r="DG79" s="194">
        <f>50-50+30</f>
        <v>30</v>
      </c>
      <c r="DH79" s="193"/>
      <c r="DI79" s="193"/>
      <c r="DJ79" s="193"/>
      <c r="DK79" s="193"/>
      <c r="DL79" s="193"/>
      <c r="DM79" s="193"/>
      <c r="DN79" s="193"/>
      <c r="DO79" s="193"/>
      <c r="DP79" s="193"/>
      <c r="DQ79" s="194">
        <f>100-100+20</f>
        <v>20</v>
      </c>
      <c r="DR79" s="193"/>
      <c r="DS79" s="193"/>
      <c r="DT79" s="193"/>
      <c r="DU79" s="193"/>
      <c r="DV79" s="193"/>
      <c r="DW79" s="193"/>
      <c r="DX79" s="193"/>
      <c r="DY79" s="193"/>
      <c r="DZ79" s="193"/>
      <c r="EA79" s="193"/>
      <c r="EB79" s="193"/>
      <c r="EC79" s="194">
        <f>0-0</f>
        <v>0</v>
      </c>
      <c r="ED79" s="194">
        <f>0-0</f>
        <v>0</v>
      </c>
      <c r="EE79" s="193"/>
      <c r="EF79" s="193"/>
      <c r="EG79" s="193"/>
      <c r="EH79" s="193"/>
      <c r="EI79" s="193"/>
      <c r="EJ79" s="193"/>
      <c r="EK79" s="193"/>
      <c r="EL79" s="194">
        <f>200-200</f>
        <v>0</v>
      </c>
      <c r="EM79" s="193"/>
      <c r="EN79" s="193"/>
      <c r="EO79" s="193"/>
      <c r="EP79" s="193"/>
      <c r="EQ79" s="195"/>
      <c r="ER79" s="193"/>
      <c r="ES79" s="194">
        <f>100-100</f>
        <v>0</v>
      </c>
      <c r="ET79" s="193"/>
      <c r="EU79" s="193"/>
      <c r="EV79" s="193"/>
      <c r="EW79" s="193"/>
      <c r="EX79" s="194">
        <f>0-0</f>
        <v>0</v>
      </c>
      <c r="EY79" s="193"/>
      <c r="EZ79" s="193"/>
      <c r="FA79" s="194">
        <f>0-0</f>
        <v>0</v>
      </c>
      <c r="FB79" s="194">
        <f>0-0</f>
        <v>0</v>
      </c>
      <c r="FC79" s="193"/>
      <c r="FD79" s="193"/>
      <c r="FE79" s="193"/>
      <c r="FF79" s="193"/>
      <c r="FG79" s="194">
        <f>0-0</f>
        <v>0</v>
      </c>
      <c r="FH79" s="194">
        <f>0-0</f>
        <v>0</v>
      </c>
      <c r="FI79" s="193"/>
      <c r="FJ79" s="194">
        <f>0-0</f>
        <v>0</v>
      </c>
      <c r="FK79" s="193"/>
      <c r="FL79" s="193"/>
      <c r="FM79" s="193"/>
      <c r="FN79" s="193"/>
      <c r="FO79" s="193"/>
      <c r="FP79" s="193"/>
      <c r="FQ79" s="193"/>
      <c r="FR79" s="193"/>
      <c r="FS79" s="193"/>
      <c r="FT79" s="193"/>
      <c r="FU79" s="193"/>
      <c r="FV79" s="193"/>
      <c r="FW79" s="193"/>
      <c r="FX79" s="193"/>
      <c r="FY79" s="193"/>
      <c r="FZ79" s="193"/>
      <c r="GA79" s="193"/>
      <c r="GB79" s="193"/>
      <c r="GC79" s="193"/>
      <c r="GD79" s="193"/>
      <c r="GE79" s="193"/>
      <c r="GF79" s="193"/>
      <c r="GG79" s="193"/>
      <c r="GH79" s="193"/>
      <c r="GI79" s="193"/>
      <c r="GJ79" s="193"/>
      <c r="GK79" s="193"/>
      <c r="GL79" s="193"/>
      <c r="GM79" s="193"/>
      <c r="GN79" s="193"/>
      <c r="GO79" s="193"/>
      <c r="GP79" s="196"/>
      <c r="GQ79" s="197">
        <v>44428</v>
      </c>
      <c r="GR79" s="198" t="s">
        <v>522</v>
      </c>
      <c r="GS79" s="198" t="s">
        <v>620</v>
      </c>
      <c r="GT79" s="198" t="s">
        <v>592</v>
      </c>
      <c r="GU79" s="199">
        <f t="shared" si="2"/>
        <v>89</v>
      </c>
      <c r="GV79" s="147" t="s">
        <v>560</v>
      </c>
    </row>
    <row r="80" spans="1:204" s="201" customFormat="1">
      <c r="A80" s="138"/>
      <c r="B80" s="138"/>
      <c r="C80" s="138" t="s">
        <v>555</v>
      </c>
      <c r="D80" s="138" t="s">
        <v>8</v>
      </c>
      <c r="E80" s="140" t="s">
        <v>621</v>
      </c>
      <c r="F80" s="138"/>
      <c r="G80" s="138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1"/>
      <c r="BC80" s="141"/>
      <c r="BD80" s="141"/>
      <c r="BE80" s="141"/>
      <c r="BF80" s="141"/>
      <c r="BG80" s="141"/>
      <c r="BH80" s="141"/>
      <c r="BI80" s="141"/>
      <c r="BJ80" s="141"/>
      <c r="BK80" s="141"/>
      <c r="BL80" s="141"/>
      <c r="BM80" s="141"/>
      <c r="BN80" s="141"/>
      <c r="BO80" s="141"/>
      <c r="BP80" s="141"/>
      <c r="BQ80" s="141"/>
      <c r="BR80" s="141"/>
      <c r="BS80" s="141"/>
      <c r="BT80" s="141"/>
      <c r="BU80" s="141"/>
      <c r="BV80" s="141"/>
      <c r="BW80" s="141"/>
      <c r="BX80" s="141"/>
      <c r="BY80" s="141"/>
      <c r="BZ80" s="141"/>
      <c r="CA80" s="141"/>
      <c r="CB80" s="141"/>
      <c r="CC80" s="141"/>
      <c r="CD80" s="141"/>
      <c r="CE80" s="141"/>
      <c r="CF80" s="141"/>
      <c r="CG80" s="141"/>
      <c r="CH80" s="141"/>
      <c r="CI80" s="141"/>
      <c r="CJ80" s="141"/>
      <c r="CK80" s="141"/>
      <c r="CL80" s="141"/>
      <c r="CM80" s="141"/>
      <c r="CN80" s="141"/>
      <c r="CO80" s="141"/>
      <c r="CP80" s="141"/>
      <c r="CQ80" s="141"/>
      <c r="CR80" s="141"/>
      <c r="CS80" s="141"/>
      <c r="CT80" s="141"/>
      <c r="CU80" s="141"/>
      <c r="CV80" s="141"/>
      <c r="CW80" s="141"/>
      <c r="CX80" s="141"/>
      <c r="CY80" s="141"/>
      <c r="CZ80" s="141"/>
      <c r="DA80" s="141"/>
      <c r="DB80" s="141"/>
      <c r="DC80" s="141"/>
      <c r="DD80" s="141"/>
      <c r="DE80" s="141"/>
      <c r="DF80" s="141"/>
      <c r="DG80" s="141"/>
      <c r="DH80" s="141"/>
      <c r="DI80" s="141"/>
      <c r="DJ80" s="141"/>
      <c r="DK80" s="141"/>
      <c r="DL80" s="141"/>
      <c r="DM80" s="141"/>
      <c r="DN80" s="141"/>
      <c r="DO80" s="141"/>
      <c r="DP80" s="141"/>
      <c r="DQ80" s="141"/>
      <c r="DR80" s="141"/>
      <c r="DS80" s="141"/>
      <c r="DT80" s="141"/>
      <c r="DU80" s="141"/>
      <c r="DV80" s="141"/>
      <c r="DW80" s="141"/>
      <c r="DX80" s="141"/>
      <c r="DY80" s="141"/>
      <c r="DZ80" s="141"/>
      <c r="EA80" s="141"/>
      <c r="EB80" s="141"/>
      <c r="EC80" s="141"/>
      <c r="ED80" s="141"/>
      <c r="EE80" s="141">
        <v>80</v>
      </c>
      <c r="EF80" s="141"/>
      <c r="EG80" s="141">
        <v>2</v>
      </c>
      <c r="EH80" s="141">
        <v>10</v>
      </c>
      <c r="EI80" s="141"/>
      <c r="EJ80" s="141"/>
      <c r="EK80" s="141"/>
      <c r="EL80" s="141"/>
      <c r="EM80" s="141"/>
      <c r="EN80" s="141"/>
      <c r="EO80" s="141"/>
      <c r="EP80" s="141"/>
      <c r="EQ80" s="141"/>
      <c r="ER80" s="141"/>
      <c r="ES80" s="141"/>
      <c r="ET80" s="141"/>
      <c r="EU80" s="141"/>
      <c r="EV80" s="141"/>
      <c r="EW80" s="141">
        <v>220</v>
      </c>
      <c r="EX80" s="141">
        <v>60</v>
      </c>
      <c r="EY80" s="141"/>
      <c r="EZ80" s="141"/>
      <c r="FA80" s="141">
        <v>1000</v>
      </c>
      <c r="FB80" s="141"/>
      <c r="FC80" s="141"/>
      <c r="FD80" s="141"/>
      <c r="FE80" s="141">
        <v>15</v>
      </c>
      <c r="FF80" s="141"/>
      <c r="FG80" s="141"/>
      <c r="FH80" s="141">
        <v>14</v>
      </c>
      <c r="FI80" s="141"/>
      <c r="FJ80" s="141"/>
      <c r="FK80" s="141"/>
      <c r="FL80" s="141"/>
      <c r="FM80" s="141"/>
      <c r="FN80" s="141"/>
      <c r="FO80" s="141"/>
      <c r="FP80" s="141"/>
      <c r="FQ80" s="141"/>
      <c r="FR80" s="141"/>
      <c r="FS80" s="141"/>
      <c r="FT80" s="141"/>
      <c r="FU80" s="141"/>
      <c r="FV80" s="141"/>
      <c r="FW80" s="141"/>
      <c r="FX80" s="141"/>
      <c r="FY80" s="141"/>
      <c r="FZ80" s="141"/>
      <c r="GA80" s="141"/>
      <c r="GB80" s="141"/>
      <c r="GC80" s="141"/>
      <c r="GD80" s="141"/>
      <c r="GE80" s="141"/>
      <c r="GF80" s="141"/>
      <c r="GG80" s="141"/>
      <c r="GH80" s="141"/>
      <c r="GI80" s="141"/>
      <c r="GJ80" s="141"/>
      <c r="GK80" s="141"/>
      <c r="GL80" s="141"/>
      <c r="GM80" s="141"/>
      <c r="GN80" s="141"/>
      <c r="GO80" s="141"/>
      <c r="GP80" s="151"/>
      <c r="GQ80" s="152"/>
      <c r="GR80" s="153"/>
      <c r="GS80" s="153"/>
      <c r="GT80" s="153"/>
      <c r="GU80" s="144">
        <f>SUBTOTAL(9,H80:GO80)</f>
        <v>1401</v>
      </c>
      <c r="GV80" s="147"/>
    </row>
    <row r="81" spans="1:204">
      <c r="A81" s="163"/>
      <c r="B81" s="163"/>
      <c r="C81" s="163" t="s">
        <v>555</v>
      </c>
      <c r="D81" s="163" t="s">
        <v>4</v>
      </c>
      <c r="E81" s="164" t="s">
        <v>621</v>
      </c>
      <c r="F81" s="163"/>
      <c r="G81" s="163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>
        <v>8</v>
      </c>
      <c r="U81" s="146"/>
      <c r="V81" s="146"/>
      <c r="W81" s="146">
        <v>540</v>
      </c>
      <c r="X81" s="146"/>
      <c r="Y81" s="146"/>
      <c r="Z81" s="146">
        <v>80</v>
      </c>
      <c r="AA81" s="146"/>
      <c r="AB81" s="146">
        <v>90</v>
      </c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>
        <v>16</v>
      </c>
      <c r="AX81" s="146">
        <v>15</v>
      </c>
      <c r="AY81" s="146"/>
      <c r="AZ81" s="146"/>
      <c r="BA81" s="146"/>
      <c r="BB81" s="146">
        <v>138</v>
      </c>
      <c r="BC81" s="146"/>
      <c r="BD81" s="146">
        <v>30</v>
      </c>
      <c r="BE81" s="146">
        <v>1</v>
      </c>
      <c r="BF81" s="146">
        <v>90</v>
      </c>
      <c r="BG81" s="146"/>
      <c r="BH81" s="146"/>
      <c r="BI81" s="146"/>
      <c r="BJ81" s="146"/>
      <c r="BK81" s="146"/>
      <c r="BL81" s="146"/>
      <c r="BM81" s="146"/>
      <c r="BN81" s="146"/>
      <c r="BO81" s="146">
        <v>10</v>
      </c>
      <c r="BP81" s="146"/>
      <c r="BQ81" s="146">
        <v>110</v>
      </c>
      <c r="BR81" s="146">
        <v>100</v>
      </c>
      <c r="BS81" s="146"/>
      <c r="BT81" s="146">
        <v>160</v>
      </c>
      <c r="BU81" s="146"/>
      <c r="BV81" s="146"/>
      <c r="BW81" s="146"/>
      <c r="BX81" s="146"/>
      <c r="BY81" s="146"/>
      <c r="BZ81" s="146"/>
      <c r="CA81" s="146">
        <v>12</v>
      </c>
      <c r="CB81" s="146"/>
      <c r="CC81" s="146">
        <v>20</v>
      </c>
      <c r="CD81" s="146"/>
      <c r="CE81" s="146">
        <v>55</v>
      </c>
      <c r="CF81" s="146">
        <v>9</v>
      </c>
      <c r="CG81" s="146">
        <v>1</v>
      </c>
      <c r="CH81" s="146"/>
      <c r="CI81" s="146"/>
      <c r="CJ81" s="146">
        <v>141</v>
      </c>
      <c r="CK81" s="146">
        <v>10</v>
      </c>
      <c r="CL81" s="146"/>
      <c r="CM81" s="146"/>
      <c r="CN81" s="146"/>
      <c r="CO81" s="146">
        <v>6</v>
      </c>
      <c r="CP81" s="146">
        <v>55</v>
      </c>
      <c r="CQ81" s="146">
        <v>60</v>
      </c>
      <c r="CR81" s="146"/>
      <c r="CS81" s="146"/>
      <c r="CT81" s="146"/>
      <c r="CU81" s="146">
        <v>70</v>
      </c>
      <c r="CV81" s="146">
        <v>100</v>
      </c>
      <c r="CW81" s="146"/>
      <c r="CX81" s="146"/>
      <c r="CY81" s="146">
        <v>20</v>
      </c>
      <c r="CZ81" s="146"/>
      <c r="DA81" s="146"/>
      <c r="DB81" s="146">
        <v>250</v>
      </c>
      <c r="DC81" s="146">
        <v>290</v>
      </c>
      <c r="DD81" s="146"/>
      <c r="DE81" s="146">
        <v>400</v>
      </c>
      <c r="DF81" s="146">
        <v>160</v>
      </c>
      <c r="DG81" s="146">
        <v>500</v>
      </c>
      <c r="DH81" s="146"/>
      <c r="DI81" s="146"/>
      <c r="DJ81" s="146"/>
      <c r="DK81" s="146"/>
      <c r="DL81" s="146"/>
      <c r="DM81" s="146">
        <v>510</v>
      </c>
      <c r="DN81" s="146"/>
      <c r="DO81" s="146"/>
      <c r="DP81" s="146">
        <v>150</v>
      </c>
      <c r="DQ81" s="146">
        <v>520</v>
      </c>
      <c r="DR81" s="146"/>
      <c r="DS81" s="146">
        <v>280</v>
      </c>
      <c r="DT81" s="146"/>
      <c r="DU81" s="146">
        <v>290</v>
      </c>
      <c r="DV81" s="146"/>
      <c r="DW81" s="146"/>
      <c r="DX81" s="146"/>
      <c r="DY81" s="146"/>
      <c r="DZ81" s="146"/>
      <c r="EA81" s="146"/>
      <c r="EB81" s="146"/>
      <c r="EC81" s="146"/>
      <c r="ED81" s="146"/>
      <c r="EE81" s="146"/>
      <c r="EF81" s="146"/>
      <c r="EG81" s="146"/>
      <c r="EH81" s="146"/>
      <c r="EI81" s="146"/>
      <c r="EJ81" s="146"/>
      <c r="EK81" s="146"/>
      <c r="EL81" s="146"/>
      <c r="EM81" s="146"/>
      <c r="EN81" s="146"/>
      <c r="EO81" s="146">
        <v>10</v>
      </c>
      <c r="EP81" s="146"/>
      <c r="EQ81" s="146"/>
      <c r="ER81" s="146"/>
      <c r="ES81" s="146"/>
      <c r="ET81" s="146"/>
      <c r="EU81" s="146"/>
      <c r="EV81" s="146"/>
      <c r="EW81" s="146"/>
      <c r="EX81" s="146"/>
      <c r="EY81" s="146"/>
      <c r="EZ81" s="146"/>
      <c r="FA81" s="146"/>
      <c r="FB81" s="146"/>
      <c r="FC81" s="146"/>
      <c r="FD81" s="146"/>
      <c r="FE81" s="146"/>
      <c r="FF81" s="146"/>
      <c r="FG81" s="146">
        <v>200</v>
      </c>
      <c r="FH81" s="146"/>
      <c r="FI81" s="146"/>
      <c r="FJ81" s="146"/>
      <c r="FK81" s="146">
        <v>300</v>
      </c>
      <c r="FL81" s="146"/>
      <c r="FM81" s="146"/>
      <c r="FN81" s="146"/>
      <c r="FO81" s="146"/>
      <c r="FP81" s="146"/>
      <c r="FQ81" s="146">
        <v>380</v>
      </c>
      <c r="FR81" s="146"/>
      <c r="FS81" s="146"/>
      <c r="FT81" s="146"/>
      <c r="FU81" s="146"/>
      <c r="FV81" s="146"/>
      <c r="FW81" s="146"/>
      <c r="FX81" s="146"/>
      <c r="FY81" s="146"/>
      <c r="FZ81" s="146"/>
      <c r="GA81" s="146"/>
      <c r="GB81" s="146"/>
      <c r="GC81" s="146"/>
      <c r="GD81" s="146"/>
      <c r="GE81" s="146"/>
      <c r="GF81" s="146"/>
      <c r="GG81" s="146"/>
      <c r="GH81" s="146"/>
      <c r="GI81" s="146"/>
      <c r="GJ81" s="146"/>
      <c r="GK81" s="146"/>
      <c r="GL81" s="146"/>
      <c r="GM81" s="146"/>
      <c r="GN81" s="146"/>
      <c r="GO81" s="146"/>
      <c r="GP81" s="165"/>
      <c r="GQ81" s="166"/>
      <c r="GR81" s="167"/>
      <c r="GS81" s="167"/>
      <c r="GT81" s="167"/>
      <c r="GU81" s="168">
        <f t="shared" si="2"/>
        <v>6187</v>
      </c>
      <c r="GV81" s="147"/>
    </row>
    <row r="82" spans="1:204" s="188" customFormat="1" ht="10.5">
      <c r="A82" s="179"/>
      <c r="B82" s="179"/>
      <c r="C82" s="179" t="s">
        <v>555</v>
      </c>
      <c r="D82" s="179" t="s">
        <v>3</v>
      </c>
      <c r="E82" s="180" t="s">
        <v>621</v>
      </c>
      <c r="F82" s="179"/>
      <c r="G82" s="179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>
        <v>4</v>
      </c>
      <c r="W82" s="181"/>
      <c r="X82" s="181"/>
      <c r="Y82" s="181"/>
      <c r="Z82" s="181"/>
      <c r="AA82" s="181"/>
      <c r="AB82" s="181"/>
      <c r="AC82" s="181"/>
      <c r="AD82" s="181"/>
      <c r="AE82" s="181"/>
      <c r="AF82" s="181"/>
      <c r="AG82" s="181"/>
      <c r="AH82" s="181"/>
      <c r="AI82" s="181"/>
      <c r="AJ82" s="181"/>
      <c r="AK82" s="181"/>
      <c r="AL82" s="181"/>
      <c r="AM82" s="181"/>
      <c r="AN82" s="181"/>
      <c r="AO82" s="181"/>
      <c r="AP82" s="181"/>
      <c r="AQ82" s="181"/>
      <c r="AR82" s="181"/>
      <c r="AS82" s="181"/>
      <c r="AT82" s="181"/>
      <c r="AU82" s="181"/>
      <c r="AV82" s="181"/>
      <c r="AW82" s="181"/>
      <c r="AX82" s="181"/>
      <c r="AY82" s="181"/>
      <c r="AZ82" s="181"/>
      <c r="BA82" s="181"/>
      <c r="BB82" s="181"/>
      <c r="BC82" s="181"/>
      <c r="BD82" s="181"/>
      <c r="BE82" s="181"/>
      <c r="BF82" s="181"/>
      <c r="BG82" s="181"/>
      <c r="BH82" s="181"/>
      <c r="BI82" s="181"/>
      <c r="BJ82" s="181"/>
      <c r="BK82" s="181"/>
      <c r="BL82" s="181"/>
      <c r="BM82" s="181"/>
      <c r="BN82" s="181"/>
      <c r="BO82" s="181"/>
      <c r="BP82" s="181"/>
      <c r="BQ82" s="181"/>
      <c r="BR82" s="181"/>
      <c r="BS82" s="181"/>
      <c r="BT82" s="181"/>
      <c r="BU82" s="181"/>
      <c r="BV82" s="181"/>
      <c r="BW82" s="181"/>
      <c r="BX82" s="181"/>
      <c r="BY82" s="181"/>
      <c r="BZ82" s="181"/>
      <c r="CA82" s="181"/>
      <c r="CB82" s="181"/>
      <c r="CC82" s="181"/>
      <c r="CD82" s="181"/>
      <c r="CE82" s="181"/>
      <c r="CF82" s="181"/>
      <c r="CG82" s="181"/>
      <c r="CH82" s="181"/>
      <c r="CI82" s="181"/>
      <c r="CJ82" s="181"/>
      <c r="CK82" s="181"/>
      <c r="CL82" s="181"/>
      <c r="CM82" s="181"/>
      <c r="CN82" s="181"/>
      <c r="CO82" s="181"/>
      <c r="CP82" s="181"/>
      <c r="CQ82" s="181"/>
      <c r="CR82" s="181"/>
      <c r="CS82" s="181"/>
      <c r="CT82" s="181"/>
      <c r="CU82" s="181"/>
      <c r="CV82" s="181"/>
      <c r="CW82" s="181"/>
      <c r="CX82" s="181"/>
      <c r="CY82" s="181"/>
      <c r="CZ82" s="181"/>
      <c r="DA82" s="181"/>
      <c r="DB82" s="181"/>
      <c r="DC82" s="181"/>
      <c r="DD82" s="181"/>
      <c r="DE82" s="181"/>
      <c r="DF82" s="181"/>
      <c r="DG82" s="181"/>
      <c r="DH82" s="181"/>
      <c r="DI82" s="181"/>
      <c r="DJ82" s="181"/>
      <c r="DK82" s="181"/>
      <c r="DL82" s="181"/>
      <c r="DM82" s="181"/>
      <c r="DN82" s="181"/>
      <c r="DO82" s="181"/>
      <c r="DP82" s="181"/>
      <c r="DQ82" s="181"/>
      <c r="DR82" s="181">
        <v>50</v>
      </c>
      <c r="DS82" s="181"/>
      <c r="DT82" s="181"/>
      <c r="DU82" s="181"/>
      <c r="DV82" s="181"/>
      <c r="DW82" s="181"/>
      <c r="DX82" s="181"/>
      <c r="DY82" s="181"/>
      <c r="DZ82" s="181"/>
      <c r="EA82" s="181"/>
      <c r="EB82" s="181"/>
      <c r="EC82" s="181"/>
      <c r="ED82" s="181"/>
      <c r="EE82" s="181"/>
      <c r="EF82" s="181"/>
      <c r="EG82" s="181"/>
      <c r="EH82" s="181"/>
      <c r="EI82" s="181"/>
      <c r="EJ82" s="181"/>
      <c r="EK82" s="181"/>
      <c r="EL82" s="181"/>
      <c r="EM82" s="181"/>
      <c r="EN82" s="181"/>
      <c r="EO82" s="181"/>
      <c r="EP82" s="181"/>
      <c r="EQ82" s="182"/>
      <c r="ER82" s="181"/>
      <c r="ES82" s="181"/>
      <c r="ET82" s="181"/>
      <c r="EU82" s="181"/>
      <c r="EV82" s="181"/>
      <c r="EW82" s="181"/>
      <c r="EX82" s="181"/>
      <c r="EY82" s="181"/>
      <c r="EZ82" s="181"/>
      <c r="FA82" s="181"/>
      <c r="FB82" s="181"/>
      <c r="FC82" s="181"/>
      <c r="FD82" s="181"/>
      <c r="FE82" s="181"/>
      <c r="FF82" s="181"/>
      <c r="FG82" s="181"/>
      <c r="FH82" s="181"/>
      <c r="FI82" s="181"/>
      <c r="FJ82" s="181"/>
      <c r="FK82" s="181"/>
      <c r="FL82" s="181"/>
      <c r="FM82" s="181"/>
      <c r="FN82" s="181"/>
      <c r="FO82" s="181"/>
      <c r="FP82" s="181"/>
      <c r="FQ82" s="181"/>
      <c r="FR82" s="181"/>
      <c r="FS82" s="181"/>
      <c r="FT82" s="181"/>
      <c r="FU82" s="181"/>
      <c r="FV82" s="181"/>
      <c r="FW82" s="181"/>
      <c r="FX82" s="181"/>
      <c r="FY82" s="181"/>
      <c r="FZ82" s="181"/>
      <c r="GA82" s="181"/>
      <c r="GB82" s="181"/>
      <c r="GC82" s="181"/>
      <c r="GD82" s="181"/>
      <c r="GE82" s="181"/>
      <c r="GF82" s="181"/>
      <c r="GG82" s="181"/>
      <c r="GH82" s="181"/>
      <c r="GI82" s="181"/>
      <c r="GJ82" s="181"/>
      <c r="GK82" s="181"/>
      <c r="GL82" s="181"/>
      <c r="GM82" s="181"/>
      <c r="GN82" s="181"/>
      <c r="GO82" s="181"/>
      <c r="GP82" s="183"/>
      <c r="GQ82" s="184"/>
      <c r="GR82" s="185"/>
      <c r="GS82" s="185"/>
      <c r="GT82" s="185"/>
      <c r="GU82" s="186">
        <f t="shared" si="2"/>
        <v>54</v>
      </c>
      <c r="GV82" s="187"/>
    </row>
    <row r="83" spans="1:204" ht="10.5">
      <c r="A83" s="169"/>
      <c r="B83" s="170"/>
      <c r="C83" s="170"/>
      <c r="D83" s="170"/>
      <c r="E83" s="171" t="s">
        <v>622</v>
      </c>
      <c r="F83" s="171"/>
      <c r="G83" s="172"/>
      <c r="H83" s="173">
        <f>SUM(H7:H82)</f>
        <v>0</v>
      </c>
      <c r="I83" s="173">
        <f t="shared" ref="I83:BV83" si="3">SUM(I7:I82)</f>
        <v>0</v>
      </c>
      <c r="J83" s="173">
        <f t="shared" si="3"/>
        <v>0</v>
      </c>
      <c r="K83" s="173">
        <f t="shared" si="3"/>
        <v>0</v>
      </c>
      <c r="L83" s="173">
        <f t="shared" si="3"/>
        <v>0</v>
      </c>
      <c r="M83" s="173">
        <f t="shared" si="3"/>
        <v>0</v>
      </c>
      <c r="N83" s="173">
        <f t="shared" si="3"/>
        <v>20</v>
      </c>
      <c r="O83" s="173">
        <f t="shared" si="3"/>
        <v>0</v>
      </c>
      <c r="P83" s="173">
        <f t="shared" si="3"/>
        <v>0</v>
      </c>
      <c r="Q83" s="173">
        <f t="shared" si="3"/>
        <v>0</v>
      </c>
      <c r="R83" s="173">
        <f t="shared" si="3"/>
        <v>0</v>
      </c>
      <c r="S83" s="173">
        <f t="shared" si="3"/>
        <v>0</v>
      </c>
      <c r="T83" s="173">
        <f t="shared" si="3"/>
        <v>16</v>
      </c>
      <c r="U83" s="173">
        <f t="shared" si="3"/>
        <v>0</v>
      </c>
      <c r="V83" s="173">
        <f t="shared" si="3"/>
        <v>8</v>
      </c>
      <c r="W83" s="173">
        <f t="shared" si="3"/>
        <v>1680</v>
      </c>
      <c r="X83" s="173">
        <f t="shared" si="3"/>
        <v>0</v>
      </c>
      <c r="Y83" s="173">
        <f t="shared" si="3"/>
        <v>1</v>
      </c>
      <c r="Z83" s="173">
        <f t="shared" si="3"/>
        <v>460</v>
      </c>
      <c r="AA83" s="173">
        <f t="shared" si="3"/>
        <v>0</v>
      </c>
      <c r="AB83" s="173">
        <f t="shared" si="3"/>
        <v>480</v>
      </c>
      <c r="AC83" s="173">
        <f t="shared" si="3"/>
        <v>0</v>
      </c>
      <c r="AD83" s="173">
        <f t="shared" si="3"/>
        <v>0</v>
      </c>
      <c r="AE83" s="173">
        <f t="shared" si="3"/>
        <v>0</v>
      </c>
      <c r="AF83" s="173">
        <f t="shared" si="3"/>
        <v>9</v>
      </c>
      <c r="AG83" s="173">
        <f t="shared" si="3"/>
        <v>0</v>
      </c>
      <c r="AH83" s="173">
        <f t="shared" si="3"/>
        <v>0</v>
      </c>
      <c r="AI83" s="173">
        <f t="shared" si="3"/>
        <v>0</v>
      </c>
      <c r="AJ83" s="173">
        <f t="shared" si="3"/>
        <v>0</v>
      </c>
      <c r="AK83" s="173">
        <f t="shared" si="3"/>
        <v>0</v>
      </c>
      <c r="AL83" s="173">
        <f t="shared" si="3"/>
        <v>0</v>
      </c>
      <c r="AM83" s="173">
        <f t="shared" si="3"/>
        <v>0</v>
      </c>
      <c r="AN83" s="173">
        <f t="shared" si="3"/>
        <v>0</v>
      </c>
      <c r="AO83" s="173">
        <f t="shared" si="3"/>
        <v>0</v>
      </c>
      <c r="AP83" s="173">
        <f t="shared" si="3"/>
        <v>0</v>
      </c>
      <c r="AQ83" s="173">
        <f t="shared" si="3"/>
        <v>0</v>
      </c>
      <c r="AR83" s="173">
        <f t="shared" si="3"/>
        <v>38</v>
      </c>
      <c r="AS83" s="173">
        <f t="shared" si="3"/>
        <v>0</v>
      </c>
      <c r="AT83" s="173">
        <f t="shared" si="3"/>
        <v>0</v>
      </c>
      <c r="AU83" s="173">
        <f t="shared" si="3"/>
        <v>0</v>
      </c>
      <c r="AV83" s="173">
        <f t="shared" si="3"/>
        <v>0</v>
      </c>
      <c r="AW83" s="173">
        <f t="shared" si="3"/>
        <v>122</v>
      </c>
      <c r="AX83" s="173">
        <f t="shared" si="3"/>
        <v>120</v>
      </c>
      <c r="AY83" s="173">
        <f t="shared" si="3"/>
        <v>0</v>
      </c>
      <c r="AZ83" s="173">
        <f t="shared" si="3"/>
        <v>5</v>
      </c>
      <c r="BA83" s="173">
        <f t="shared" si="3"/>
        <v>5</v>
      </c>
      <c r="BB83" s="173">
        <f t="shared" si="3"/>
        <v>946</v>
      </c>
      <c r="BC83" s="173">
        <f t="shared" si="3"/>
        <v>0</v>
      </c>
      <c r="BD83" s="173">
        <f t="shared" si="3"/>
        <v>210</v>
      </c>
      <c r="BE83" s="173">
        <f t="shared" si="3"/>
        <v>3</v>
      </c>
      <c r="BF83" s="173">
        <f t="shared" si="3"/>
        <v>620</v>
      </c>
      <c r="BG83" s="173">
        <f t="shared" si="3"/>
        <v>0</v>
      </c>
      <c r="BH83" s="173">
        <f t="shared" si="3"/>
        <v>14</v>
      </c>
      <c r="BI83" s="173">
        <f t="shared" si="3"/>
        <v>0</v>
      </c>
      <c r="BJ83" s="173">
        <f t="shared" si="3"/>
        <v>0</v>
      </c>
      <c r="BK83" s="173">
        <f t="shared" si="3"/>
        <v>0</v>
      </c>
      <c r="BL83" s="173">
        <f t="shared" si="3"/>
        <v>0</v>
      </c>
      <c r="BM83" s="173">
        <f t="shared" si="3"/>
        <v>0</v>
      </c>
      <c r="BN83" s="173">
        <f t="shared" si="3"/>
        <v>0</v>
      </c>
      <c r="BO83" s="173">
        <f t="shared" si="3"/>
        <v>115</v>
      </c>
      <c r="BP83" s="173">
        <f t="shared" si="3"/>
        <v>0</v>
      </c>
      <c r="BQ83" s="173">
        <f t="shared" si="3"/>
        <v>840</v>
      </c>
      <c r="BR83" s="173">
        <f t="shared" si="3"/>
        <v>670</v>
      </c>
      <c r="BS83" s="173">
        <f t="shared" si="3"/>
        <v>0</v>
      </c>
      <c r="BT83" s="173">
        <f t="shared" si="3"/>
        <v>1140</v>
      </c>
      <c r="BU83" s="173">
        <f t="shared" si="3"/>
        <v>5</v>
      </c>
      <c r="BV83" s="173">
        <f t="shared" si="3"/>
        <v>0</v>
      </c>
      <c r="BW83" s="173">
        <f t="shared" ref="BW83:ET83" si="4">SUM(BW7:BW82)</f>
        <v>0</v>
      </c>
      <c r="BX83" s="173">
        <f t="shared" si="4"/>
        <v>0</v>
      </c>
      <c r="BY83" s="173">
        <f t="shared" si="4"/>
        <v>0</v>
      </c>
      <c r="BZ83" s="173">
        <f t="shared" si="4"/>
        <v>0</v>
      </c>
      <c r="CA83" s="173">
        <f t="shared" si="4"/>
        <v>104</v>
      </c>
      <c r="CB83" s="173">
        <f t="shared" si="4"/>
        <v>2</v>
      </c>
      <c r="CC83" s="173">
        <f t="shared" si="4"/>
        <v>155</v>
      </c>
      <c r="CD83" s="173">
        <f t="shared" si="4"/>
        <v>3</v>
      </c>
      <c r="CE83" s="173">
        <f t="shared" si="4"/>
        <v>450</v>
      </c>
      <c r="CF83" s="173">
        <f t="shared" si="4"/>
        <v>27</v>
      </c>
      <c r="CG83" s="173">
        <f t="shared" si="4"/>
        <v>3</v>
      </c>
      <c r="CH83" s="173">
        <f t="shared" si="4"/>
        <v>6</v>
      </c>
      <c r="CI83" s="173">
        <f t="shared" si="4"/>
        <v>0</v>
      </c>
      <c r="CJ83" s="173">
        <f t="shared" si="4"/>
        <v>1032</v>
      </c>
      <c r="CK83" s="173">
        <f t="shared" si="4"/>
        <v>37</v>
      </c>
      <c r="CL83" s="173">
        <f t="shared" si="4"/>
        <v>0</v>
      </c>
      <c r="CM83" s="173">
        <f t="shared" si="4"/>
        <v>2</v>
      </c>
      <c r="CN83" s="173">
        <f t="shared" si="4"/>
        <v>12</v>
      </c>
      <c r="CO83" s="173">
        <f t="shared" si="4"/>
        <v>18</v>
      </c>
      <c r="CP83" s="173">
        <f t="shared" si="4"/>
        <v>410</v>
      </c>
      <c r="CQ83" s="173">
        <f t="shared" si="4"/>
        <v>460</v>
      </c>
      <c r="CR83" s="173">
        <f t="shared" si="4"/>
        <v>0</v>
      </c>
      <c r="CS83" s="173">
        <f t="shared" si="4"/>
        <v>0</v>
      </c>
      <c r="CT83" s="173">
        <f t="shared" si="4"/>
        <v>10</v>
      </c>
      <c r="CU83" s="173">
        <f t="shared" si="4"/>
        <v>500</v>
      </c>
      <c r="CV83" s="173">
        <f t="shared" si="4"/>
        <v>790</v>
      </c>
      <c r="CW83" s="173">
        <f t="shared" si="4"/>
        <v>18</v>
      </c>
      <c r="CX83" s="173">
        <f t="shared" si="4"/>
        <v>50</v>
      </c>
      <c r="CY83" s="173">
        <f t="shared" si="4"/>
        <v>80</v>
      </c>
      <c r="CZ83" s="173">
        <f t="shared" si="4"/>
        <v>0</v>
      </c>
      <c r="DA83" s="173">
        <f t="shared" si="4"/>
        <v>0</v>
      </c>
      <c r="DB83" s="173">
        <f t="shared" si="4"/>
        <v>1470</v>
      </c>
      <c r="DC83" s="173">
        <f t="shared" si="4"/>
        <v>1640</v>
      </c>
      <c r="DD83" s="173">
        <f t="shared" si="4"/>
        <v>0</v>
      </c>
      <c r="DE83" s="173">
        <f t="shared" si="4"/>
        <v>2390</v>
      </c>
      <c r="DF83" s="173">
        <f t="shared" si="4"/>
        <v>950</v>
      </c>
      <c r="DG83" s="173">
        <f t="shared" si="4"/>
        <v>2900</v>
      </c>
      <c r="DH83" s="173">
        <f t="shared" si="4"/>
        <v>0</v>
      </c>
      <c r="DI83" s="173">
        <f t="shared" si="4"/>
        <v>2</v>
      </c>
      <c r="DJ83" s="173">
        <f t="shared" si="4"/>
        <v>1</v>
      </c>
      <c r="DK83" s="173">
        <f t="shared" si="4"/>
        <v>0</v>
      </c>
      <c r="DL83" s="173">
        <f t="shared" si="4"/>
        <v>12</v>
      </c>
      <c r="DM83" s="173">
        <f t="shared" si="4"/>
        <v>2940</v>
      </c>
      <c r="DN83" s="173">
        <f t="shared" si="4"/>
        <v>0</v>
      </c>
      <c r="DO83" s="173">
        <f t="shared" si="4"/>
        <v>0</v>
      </c>
      <c r="DP83" s="173">
        <f t="shared" si="4"/>
        <v>980</v>
      </c>
      <c r="DQ83" s="173">
        <f t="shared" si="4"/>
        <v>3390</v>
      </c>
      <c r="DR83" s="173">
        <f t="shared" si="4"/>
        <v>340</v>
      </c>
      <c r="DS83" s="173">
        <f t="shared" si="4"/>
        <v>1830</v>
      </c>
      <c r="DT83" s="173">
        <f t="shared" si="4"/>
        <v>1</v>
      </c>
      <c r="DU83" s="173">
        <f t="shared" si="4"/>
        <v>1900</v>
      </c>
      <c r="DV83" s="173">
        <f t="shared" si="4"/>
        <v>0</v>
      </c>
      <c r="DW83" s="173">
        <f t="shared" si="4"/>
        <v>0</v>
      </c>
      <c r="DX83" s="173">
        <f t="shared" si="4"/>
        <v>0</v>
      </c>
      <c r="DY83" s="173">
        <f t="shared" si="4"/>
        <v>0</v>
      </c>
      <c r="DZ83" s="173">
        <f t="shared" si="4"/>
        <v>0</v>
      </c>
      <c r="EA83" s="173">
        <f t="shared" si="4"/>
        <v>0</v>
      </c>
      <c r="EB83" s="173">
        <f t="shared" si="4"/>
        <v>0</v>
      </c>
      <c r="EC83" s="173">
        <f t="shared" si="4"/>
        <v>0</v>
      </c>
      <c r="ED83" s="173">
        <f t="shared" si="4"/>
        <v>0</v>
      </c>
      <c r="EE83" s="173">
        <f t="shared" si="4"/>
        <v>240</v>
      </c>
      <c r="EF83" s="173">
        <f t="shared" si="4"/>
        <v>0</v>
      </c>
      <c r="EG83" s="173">
        <f t="shared" si="4"/>
        <v>6</v>
      </c>
      <c r="EH83" s="173">
        <f>SUM(EH7:EH82)</f>
        <v>30</v>
      </c>
      <c r="EI83" s="173">
        <f t="shared" si="4"/>
        <v>0</v>
      </c>
      <c r="EJ83" s="173">
        <f t="shared" si="4"/>
        <v>0</v>
      </c>
      <c r="EK83" s="173">
        <f t="shared" si="4"/>
        <v>0</v>
      </c>
      <c r="EL83" s="173">
        <f t="shared" si="4"/>
        <v>0</v>
      </c>
      <c r="EM83" s="173">
        <f t="shared" si="4"/>
        <v>0</v>
      </c>
      <c r="EN83" s="173">
        <f t="shared" si="4"/>
        <v>0</v>
      </c>
      <c r="EO83" s="173">
        <f t="shared" si="4"/>
        <v>30</v>
      </c>
      <c r="EP83" s="173">
        <f t="shared" si="4"/>
        <v>0</v>
      </c>
      <c r="EQ83" s="173">
        <f t="shared" si="4"/>
        <v>0</v>
      </c>
      <c r="ER83" s="173">
        <f t="shared" si="4"/>
        <v>0</v>
      </c>
      <c r="ES83" s="173">
        <f>SUM(ES7:ES82)</f>
        <v>40</v>
      </c>
      <c r="ET83" s="173">
        <f t="shared" si="4"/>
        <v>0</v>
      </c>
      <c r="EU83" s="173">
        <f t="shared" ref="EU83:GO83" si="5">SUM(EU7:EU82)</f>
        <v>0</v>
      </c>
      <c r="EV83" s="173">
        <f t="shared" si="5"/>
        <v>0</v>
      </c>
      <c r="EW83" s="173">
        <f t="shared" si="5"/>
        <v>1140</v>
      </c>
      <c r="EX83" s="173">
        <f>SUM(EX7:EX82)</f>
        <v>180</v>
      </c>
      <c r="EY83" s="173">
        <f t="shared" si="5"/>
        <v>0</v>
      </c>
      <c r="EZ83" s="173">
        <f t="shared" si="5"/>
        <v>0</v>
      </c>
      <c r="FA83" s="173">
        <f>SUM(FA7:FA82)</f>
        <v>5320</v>
      </c>
      <c r="FB83" s="173">
        <f t="shared" si="5"/>
        <v>0</v>
      </c>
      <c r="FC83" s="173">
        <f t="shared" si="5"/>
        <v>0</v>
      </c>
      <c r="FD83" s="173">
        <f t="shared" si="5"/>
        <v>0</v>
      </c>
      <c r="FE83" s="173">
        <f>SUM(FE7:FE82)</f>
        <v>45</v>
      </c>
      <c r="FF83" s="173">
        <f t="shared" si="5"/>
        <v>0</v>
      </c>
      <c r="FG83" s="173">
        <f t="shared" si="5"/>
        <v>600</v>
      </c>
      <c r="FH83" s="173">
        <f>SUM(FH7:FH82)</f>
        <v>42</v>
      </c>
      <c r="FI83" s="173">
        <f t="shared" si="5"/>
        <v>0</v>
      </c>
      <c r="FJ83" s="173">
        <f t="shared" si="5"/>
        <v>0</v>
      </c>
      <c r="FK83" s="173">
        <f t="shared" si="5"/>
        <v>900</v>
      </c>
      <c r="FL83" s="173">
        <f t="shared" si="5"/>
        <v>0</v>
      </c>
      <c r="FM83" s="173">
        <f t="shared" si="5"/>
        <v>0</v>
      </c>
      <c r="FN83" s="173">
        <f t="shared" si="5"/>
        <v>0</v>
      </c>
      <c r="FO83" s="173">
        <f t="shared" si="5"/>
        <v>0</v>
      </c>
      <c r="FP83" s="173">
        <f t="shared" si="5"/>
        <v>320</v>
      </c>
      <c r="FQ83" s="173">
        <f t="shared" si="5"/>
        <v>1710</v>
      </c>
      <c r="FR83" s="173">
        <f t="shared" si="5"/>
        <v>320</v>
      </c>
      <c r="FS83" s="173">
        <f t="shared" si="5"/>
        <v>0</v>
      </c>
      <c r="FT83" s="173">
        <f t="shared" si="5"/>
        <v>0</v>
      </c>
      <c r="FU83" s="173">
        <f t="shared" si="5"/>
        <v>0</v>
      </c>
      <c r="FV83" s="173">
        <f t="shared" si="5"/>
        <v>0</v>
      </c>
      <c r="FW83" s="173">
        <f t="shared" si="5"/>
        <v>1840</v>
      </c>
      <c r="FX83" s="173">
        <f t="shared" si="5"/>
        <v>35</v>
      </c>
      <c r="FY83" s="173">
        <f t="shared" si="5"/>
        <v>48</v>
      </c>
      <c r="FZ83" s="173">
        <f t="shared" si="5"/>
        <v>400</v>
      </c>
      <c r="GA83" s="173">
        <f t="shared" si="5"/>
        <v>0</v>
      </c>
      <c r="GB83" s="173">
        <f t="shared" si="5"/>
        <v>0</v>
      </c>
      <c r="GC83" s="173">
        <f t="shared" si="5"/>
        <v>0</v>
      </c>
      <c r="GD83" s="173">
        <f t="shared" si="5"/>
        <v>0</v>
      </c>
      <c r="GE83" s="173">
        <f t="shared" si="5"/>
        <v>0</v>
      </c>
      <c r="GF83" s="173">
        <f t="shared" si="5"/>
        <v>0</v>
      </c>
      <c r="GG83" s="173">
        <f t="shared" si="5"/>
        <v>0</v>
      </c>
      <c r="GH83" s="173">
        <f t="shared" si="5"/>
        <v>0</v>
      </c>
      <c r="GI83" s="173">
        <f t="shared" si="5"/>
        <v>0</v>
      </c>
      <c r="GJ83" s="173">
        <f t="shared" si="5"/>
        <v>0</v>
      </c>
      <c r="GK83" s="173">
        <f t="shared" si="5"/>
        <v>0</v>
      </c>
      <c r="GL83" s="173">
        <f t="shared" si="5"/>
        <v>0</v>
      </c>
      <c r="GM83" s="173">
        <f t="shared" si="5"/>
        <v>0</v>
      </c>
      <c r="GN83" s="173">
        <f t="shared" si="5"/>
        <v>0</v>
      </c>
      <c r="GO83" s="173">
        <f t="shared" si="5"/>
        <v>0</v>
      </c>
      <c r="GP83" s="174"/>
      <c r="GQ83" s="175">
        <f>SUM(H83:GO83)</f>
        <v>45688</v>
      </c>
      <c r="GR83" s="176"/>
      <c r="GS83" s="177"/>
      <c r="GT83" s="177"/>
      <c r="GU83" s="173">
        <f>SUM(GU7:GU82)</f>
        <v>45668</v>
      </c>
      <c r="GV83" s="147"/>
    </row>
    <row r="85" spans="1:204">
      <c r="E85" s="85" t="s">
        <v>623</v>
      </c>
      <c r="H85" s="190"/>
      <c r="T85" s="190">
        <f>T38+T39+T40+T43+T44+T45+T59+T60+T61+T67+T68+T69</f>
        <v>5</v>
      </c>
      <c r="V85" s="190">
        <f t="shared" ref="V85:W85" si="6">V38+V39+V40+V43+V44+V45+V59+V60+V61+V67+V68+V69</f>
        <v>4</v>
      </c>
      <c r="W85" s="190">
        <f t="shared" si="6"/>
        <v>470</v>
      </c>
      <c r="Z85" s="190">
        <f t="shared" ref="Z85" si="7">Z38+Z39+Z40+Z43+Z44+Z45+Z59+Z60+Z61+Z67+Z68+Z69</f>
        <v>60</v>
      </c>
      <c r="AB85" s="190">
        <f t="shared" ref="AB85" si="8">AB38+AB39+AB40+AB43+AB44+AB45+AB59+AB60+AB61+AB67+AB68+AB69</f>
        <v>50</v>
      </c>
      <c r="AW85" s="190">
        <f t="shared" ref="AW85:AX85" si="9">AW38+AW39+AW40+AW43+AW44+AW45+AW59+AW60+AW61+AW67+AW68+AW69</f>
        <v>16</v>
      </c>
      <c r="AX85" s="190">
        <f t="shared" si="9"/>
        <v>15</v>
      </c>
      <c r="BB85" s="190">
        <f t="shared" ref="BB85" si="10">BB38+BB39+BB40+BB43+BB44+BB45+BB59+BB60+BB61+BB67+BB68+BB69</f>
        <v>98</v>
      </c>
      <c r="BD85" s="190">
        <f t="shared" ref="BD85" si="11">BD38+BD39+BD40+BD43+BD44+BD45+BD59+BD60+BD61+BD67+BD68+BD69</f>
        <v>15</v>
      </c>
      <c r="BE85" s="190">
        <f t="shared" ref="BE85:BF85" si="12">BE38+BE39+BE40+BE43+BE44+BE45+BE59+BE60+BE61+BE67+BE68+BE69</f>
        <v>1</v>
      </c>
      <c r="BF85" s="190">
        <f t="shared" si="12"/>
        <v>90</v>
      </c>
      <c r="BO85" s="190">
        <f t="shared" ref="BO85" si="13">BO38+BO39+BO40+BO43+BO44+BO45+BO59+BO60+BO61+BO67+BO68+BO69</f>
        <v>2</v>
      </c>
      <c r="BQ85" s="190">
        <f t="shared" ref="BQ85:BR85" si="14">BQ38+BQ39+BQ40+BQ43+BQ44+BQ45+BQ59+BQ60+BQ61+BQ67+BQ68+BQ69</f>
        <v>63</v>
      </c>
      <c r="BR85" s="190">
        <f t="shared" si="14"/>
        <v>90</v>
      </c>
      <c r="BT85" s="190">
        <f t="shared" ref="BT85" si="15">BT38+BT39+BT40+BT43+BT44+BT45+BT59+BT60+BT61+BT67+BT68+BT69</f>
        <v>150</v>
      </c>
      <c r="CA85" s="190">
        <f t="shared" ref="CA85" si="16">CA38+CA39+CA40+CA43+CA44+CA45+CA59+CA60+CA61+CA67+CA68+CA69</f>
        <v>8</v>
      </c>
      <c r="CC85" s="190">
        <f t="shared" ref="CC85" si="17">CC38+CC39+CC40+CC43+CC44+CC45+CC59+CC60+CC61+CC67+CC68+CC69</f>
        <v>20</v>
      </c>
      <c r="CE85" s="190">
        <f t="shared" ref="CE85:CG85" si="18">CE38+CE39+CE40+CE43+CE44+CE45+CE59+CE60+CE61+CE67+CE68+CE69</f>
        <v>40</v>
      </c>
      <c r="CF85" s="190">
        <f t="shared" si="18"/>
        <v>9</v>
      </c>
      <c r="CG85" s="190">
        <f t="shared" si="18"/>
        <v>1</v>
      </c>
      <c r="CJ85" s="190">
        <f t="shared" ref="CJ85:CK85" si="19">CJ38+CJ39+CJ40+CJ43+CJ44+CJ45+CJ59+CJ60+CJ61+CJ67+CJ68+CJ69</f>
        <v>65</v>
      </c>
      <c r="CK85" s="190">
        <f t="shared" si="19"/>
        <v>2</v>
      </c>
      <c r="CO85" s="190">
        <f t="shared" ref="CO85:CQ85" si="20">CO38+CO39+CO40+CO43+CO44+CO45+CO59+CO60+CO61+CO67+CO68+CO69</f>
        <v>4</v>
      </c>
      <c r="CP85" s="190">
        <f t="shared" si="20"/>
        <v>35</v>
      </c>
      <c r="CQ85" s="190">
        <f t="shared" si="20"/>
        <v>40</v>
      </c>
      <c r="CU85" s="190">
        <f t="shared" ref="CU85:CV85" si="21">CU38+CU39+CU40+CU43+CU44+CU45+CU59+CU60+CU61+CU67+CU68+CU69</f>
        <v>40</v>
      </c>
      <c r="CV85" s="190">
        <f t="shared" si="21"/>
        <v>68</v>
      </c>
      <c r="CY85" s="190">
        <f t="shared" ref="CY85" si="22">CY38+CY39+CY40+CY43+CY44+CY45+CY59+CY60+CY61+CY67+CY68+CY69</f>
        <v>10</v>
      </c>
      <c r="DB85" s="190">
        <f t="shared" ref="DB85:DC85" si="23">DB38+DB39+DB40+DB43+DB44+DB45+DB59+DB60+DB61+DB67+DB68+DB69</f>
        <v>220</v>
      </c>
      <c r="DC85" s="190">
        <f t="shared" si="23"/>
        <v>250</v>
      </c>
      <c r="DE85" s="190">
        <f t="shared" ref="DE85:DG85" si="24">DE38+DE39+DE40+DE43+DE44+DE45+DE59+DE60+DE61+DE67+DE68+DE69</f>
        <v>250</v>
      </c>
      <c r="DF85" s="190">
        <f t="shared" si="24"/>
        <v>110</v>
      </c>
      <c r="DG85" s="190">
        <f t="shared" si="24"/>
        <v>280</v>
      </c>
      <c r="DM85" s="190">
        <f t="shared" ref="DM85" si="25">DM38+DM39+DM40+DM43+DM44+DM45+DM59+DM60+DM61+DM67+DM68+DM69</f>
        <v>420</v>
      </c>
      <c r="DP85" s="190">
        <f t="shared" ref="DP85:DS85" si="26">DP38+DP39+DP40+DP43+DP44+DP45+DP59+DP60+DP61+DP67+DP68+DP69</f>
        <v>100</v>
      </c>
      <c r="DQ85" s="190">
        <f t="shared" si="26"/>
        <v>360</v>
      </c>
      <c r="DR85" s="190">
        <f t="shared" si="26"/>
        <v>50</v>
      </c>
      <c r="DS85" s="190">
        <f t="shared" si="26"/>
        <v>150</v>
      </c>
      <c r="DU85" s="190">
        <f t="shared" ref="DU85" si="27">DU38+DU39+DU40+DU43+DU44+DU45+DU59+DU60+DU61+DU67+DU68+DU69</f>
        <v>200</v>
      </c>
      <c r="EE85" s="190">
        <f t="shared" ref="EE85:EH85" si="28">EE38+EE39+EE40+EE43+EE44+EE45+EE59+EE60+EE61+EE67+EE68+EE69</f>
        <v>40</v>
      </c>
      <c r="EG85" s="190">
        <f t="shared" si="28"/>
        <v>0</v>
      </c>
      <c r="EH85" s="190">
        <f t="shared" si="28"/>
        <v>0</v>
      </c>
      <c r="EO85" s="190">
        <f t="shared" ref="EO85" si="29">EO38+EO39+EO40+EO43+EO44+EO45+EO59+EO60+EO61+EO67+EO68+EO69</f>
        <v>0</v>
      </c>
      <c r="EW85" s="190">
        <f t="shared" ref="EW85" si="30">EW38+EW39+EW40+EW43+EW44+EW45+EW59+EW60+EW61+EW67+EW68+EW69</f>
        <v>140</v>
      </c>
      <c r="EX85" s="190">
        <f t="shared" ref="EX85" si="31">EX38+EX39+EX40+EX43+EX44+EX45+EX59+EX60+EX61+EX67+EX68+EX69</f>
        <v>0</v>
      </c>
      <c r="FA85" s="190">
        <f t="shared" ref="FA85" si="32">FA38+FA39+FA40+FA43+FA44+FA45+FA59+FA60+FA61+FA67+FA68+FA69</f>
        <v>740</v>
      </c>
      <c r="FE85" s="190">
        <f t="shared" ref="FE85" si="33">FE38+FE39+FE40+FE43+FE44+FE45+FE59+FE60+FE61+FE67+FE68+FE69</f>
        <v>0</v>
      </c>
      <c r="FG85" s="190">
        <f t="shared" ref="FG85:FH85" si="34">FG38+FG39+FG40+FG43+FG44+FG45+FG59+FG60+FG61+FG67+FG68+FG69</f>
        <v>140</v>
      </c>
      <c r="FH85" s="190">
        <f t="shared" si="34"/>
        <v>0</v>
      </c>
      <c r="FK85" s="190">
        <f t="shared" ref="FK85" si="35">FK38+FK39+FK40+FK43+FK44+FK45+FK59+FK60+FK61+FK67+FK68+FK69</f>
        <v>140</v>
      </c>
      <c r="FQ85" s="190">
        <f t="shared" ref="FQ85" si="36">FQ38+FQ39+FQ40+FQ43+FQ44+FQ45+FQ59+FQ60+FQ61+FQ67+FQ68+FQ69</f>
        <v>320</v>
      </c>
      <c r="GU85" s="92">
        <f t="shared" ref="GU85:GU88" si="37">SUM(H85:GO85)</f>
        <v>5381</v>
      </c>
    </row>
    <row r="86" spans="1:204">
      <c r="E86" s="87" t="s">
        <v>624</v>
      </c>
      <c r="H86" s="190"/>
      <c r="T86" s="190">
        <f>T32+T33+T34+T46+T47+T62+T65+T66+T75</f>
        <v>0</v>
      </c>
      <c r="V86" s="190">
        <f t="shared" ref="V86:W86" si="38">V32+V33+V34+V46+V47+V62+V65+V66+V75</f>
        <v>0</v>
      </c>
      <c r="W86" s="190">
        <f t="shared" si="38"/>
        <v>0</v>
      </c>
      <c r="Z86" s="190">
        <f t="shared" ref="Z86" si="39">Z32+Z33+Z34+Z46+Z47+Z62+Z65+Z66+Z75</f>
        <v>20</v>
      </c>
      <c r="AB86" s="190">
        <f t="shared" ref="AB86" si="40">AB32+AB33+AB34+AB46+AB47+AB62+AB65+AB66+AB75</f>
        <v>20</v>
      </c>
      <c r="AW86" s="190">
        <f t="shared" ref="AW86:AX86" si="41">AW32+AW33+AW34+AW46+AW47+AW62+AW65+AW66+AW75</f>
        <v>0</v>
      </c>
      <c r="AX86" s="190">
        <f t="shared" si="41"/>
        <v>0</v>
      </c>
      <c r="BB86" s="190">
        <f t="shared" ref="BB86" si="42">BB32+BB33+BB34+BB46+BB47+BB62+BB65+BB66+BB75</f>
        <v>10</v>
      </c>
      <c r="BD86" s="190">
        <f t="shared" ref="BD86" si="43">BD32+BD33+BD34+BD46+BD47+BD62+BD65+BD66+BD75</f>
        <v>5</v>
      </c>
      <c r="BE86" s="190">
        <f t="shared" ref="BE86:BF86" si="44">BE32+BE33+BE34+BE46+BE47+BE62+BE65+BE66+BE75</f>
        <v>0</v>
      </c>
      <c r="BF86" s="190">
        <f t="shared" si="44"/>
        <v>0</v>
      </c>
      <c r="BO86" s="190">
        <f t="shared" ref="BO86" si="45">BO32+BO33+BO34+BO46+BO47+BO62+BO65+BO66+BO75</f>
        <v>4</v>
      </c>
      <c r="BQ86" s="190">
        <f t="shared" ref="BQ86:BR86" si="46">BQ32+BQ33+BQ34+BQ46+BQ47+BQ62+BQ65+BQ66+BQ75</f>
        <v>17</v>
      </c>
      <c r="BR86" s="190">
        <f t="shared" si="46"/>
        <v>5</v>
      </c>
      <c r="BT86" s="190">
        <f t="shared" ref="BT86" si="47">BT32+BT33+BT34+BT46+BT47+BT62+BT65+BT66+BT75</f>
        <v>5</v>
      </c>
      <c r="CA86" s="190">
        <f t="shared" ref="CA86" si="48">CA32+CA33+CA34+CA46+CA47+CA62+CA65+CA66+CA75</f>
        <v>1</v>
      </c>
      <c r="CC86" s="190">
        <f t="shared" ref="CC86" si="49">CC32+CC33+CC34+CC46+CC47+CC62+CC65+CC66+CC75</f>
        <v>0</v>
      </c>
      <c r="CE86" s="190">
        <f t="shared" ref="CE86:CG86" si="50">CE32+CE33+CE34+CE46+CE47+CE62+CE65+CE66+CE75</f>
        <v>0</v>
      </c>
      <c r="CF86" s="190">
        <f t="shared" si="50"/>
        <v>0</v>
      </c>
      <c r="CG86" s="190">
        <f t="shared" si="50"/>
        <v>0</v>
      </c>
      <c r="CJ86" s="190">
        <f t="shared" ref="CJ86:CK86" si="51">CJ32+CJ33+CJ34+CJ46+CJ47+CJ62+CJ65+CJ66+CJ75</f>
        <v>6</v>
      </c>
      <c r="CK86" s="190">
        <f t="shared" si="51"/>
        <v>0</v>
      </c>
      <c r="CO86" s="190">
        <f t="shared" ref="CO86:CQ86" si="52">CO32+CO33+CO34+CO46+CO47+CO62+CO65+CO66+CO75</f>
        <v>2</v>
      </c>
      <c r="CP86" s="190">
        <f t="shared" si="52"/>
        <v>10</v>
      </c>
      <c r="CQ86" s="190">
        <f t="shared" si="52"/>
        <v>6</v>
      </c>
      <c r="CU86" s="190">
        <f t="shared" ref="CU86:CV86" si="53">CU32+CU33+CU34+CU46+CU47+CU62+CU65+CU66+CU75</f>
        <v>10</v>
      </c>
      <c r="CV86" s="190">
        <f t="shared" si="53"/>
        <v>8</v>
      </c>
      <c r="CY86" s="190">
        <f t="shared" ref="CY86" si="54">CY32+CY33+CY34+CY46+CY47+CY62+CY65+CY66+CY75</f>
        <v>3</v>
      </c>
      <c r="DB86" s="190">
        <f t="shared" ref="DB86:DC86" si="55">DB32+DB33+DB34+DB46+DB47+DB62+DB65+DB66+DB75</f>
        <v>20</v>
      </c>
      <c r="DC86" s="190">
        <f t="shared" si="55"/>
        <v>10</v>
      </c>
      <c r="DE86" s="190">
        <f t="shared" ref="DE86:DG86" si="56">DE32+DE33+DE34+DE46+DE47+DE62+DE65+DE66+DE75</f>
        <v>40</v>
      </c>
      <c r="DF86" s="190">
        <f t="shared" si="56"/>
        <v>20</v>
      </c>
      <c r="DG86" s="190">
        <f t="shared" si="56"/>
        <v>0</v>
      </c>
      <c r="DM86" s="190">
        <f t="shared" ref="DM86" si="57">DM32+DM33+DM34+DM46+DM47+DM62+DM65+DM66+DM75</f>
        <v>50</v>
      </c>
      <c r="DP86" s="190">
        <f t="shared" ref="DP86:DS86" si="58">DP32+DP33+DP34+DP46+DP47+DP62+DP65+DP66+DP75</f>
        <v>10</v>
      </c>
      <c r="DQ86" s="190">
        <f t="shared" si="58"/>
        <v>20</v>
      </c>
      <c r="DR86" s="190">
        <f t="shared" si="58"/>
        <v>0</v>
      </c>
      <c r="DS86" s="190">
        <f t="shared" si="58"/>
        <v>50</v>
      </c>
      <c r="DU86" s="190">
        <f t="shared" ref="DU86" si="59">DU32+DU33+DU34+DU46+DU47+DU62+DU65+DU66+DU75</f>
        <v>20</v>
      </c>
      <c r="EE86" s="190">
        <f t="shared" ref="EE86:EH86" si="60">EE32+EE33+EE34+EE46+EE47+EE62+EE65+EE66+EE75</f>
        <v>30</v>
      </c>
      <c r="EG86" s="190">
        <f t="shared" si="60"/>
        <v>2</v>
      </c>
      <c r="EH86" s="190">
        <f t="shared" si="60"/>
        <v>5</v>
      </c>
      <c r="EO86" s="190">
        <f t="shared" ref="EO86" si="61">EO32+EO33+EO34+EO46+EO47+EO62+EO65+EO66+EO75</f>
        <v>5</v>
      </c>
      <c r="EW86" s="190">
        <f t="shared" ref="EW86" si="62">EW32+EW33+EW34+EW46+EW47+EW62+EW65+EW66+EW75</f>
        <v>20</v>
      </c>
      <c r="EX86" s="190">
        <f t="shared" ref="EX86" si="63">EX32+EX33+EX34+EX46+EX47+EX62+EX65+EX66+EX75</f>
        <v>30</v>
      </c>
      <c r="FA86" s="190">
        <f t="shared" ref="FA86" si="64">FA32+FA33+FA34+FA46+FA47+FA62+FA65+FA66+FA75</f>
        <v>80</v>
      </c>
      <c r="FE86" s="190">
        <f t="shared" ref="FE86" si="65">FE32+FE33+FE34+FE46+FE47+FE62+FE65+FE66+FE75</f>
        <v>0</v>
      </c>
      <c r="FG86" s="190">
        <f t="shared" ref="FG86:FH86" si="66">FG32+FG33+FG34+FG46+FG47+FG62+FG65+FG66+FG75</f>
        <v>20</v>
      </c>
      <c r="FH86" s="190">
        <f t="shared" si="66"/>
        <v>4</v>
      </c>
      <c r="FK86" s="190">
        <f t="shared" ref="FK86" si="67">FK32+FK33+FK34+FK46+FK47+FK62+FK65+FK66+FK75</f>
        <v>140</v>
      </c>
      <c r="FQ86" s="190">
        <f t="shared" ref="FQ86" si="68">FQ32+FQ33+FQ34+FQ46+FQ47+FQ62+FQ65+FQ66+FQ75</f>
        <v>20</v>
      </c>
      <c r="GU86" s="92">
        <f t="shared" si="37"/>
        <v>728</v>
      </c>
    </row>
    <row r="87" spans="1:204">
      <c r="E87" s="87" t="s">
        <v>625</v>
      </c>
      <c r="H87" s="190"/>
      <c r="T87" s="190">
        <f>T29+T30+T31+T41+T42+T71</f>
        <v>3</v>
      </c>
      <c r="V87" s="190">
        <f t="shared" ref="V87:W87" si="69">V29+V30+V31+V41+V42+V71</f>
        <v>0</v>
      </c>
      <c r="W87" s="190">
        <f t="shared" si="69"/>
        <v>40</v>
      </c>
      <c r="Z87" s="190">
        <f t="shared" ref="Z87" si="70">Z29+Z30+Z31+Z41+Z42+Z71</f>
        <v>0</v>
      </c>
      <c r="AB87" s="190">
        <f t="shared" ref="AB87" si="71">AB29+AB30+AB31+AB41+AB42+AB71</f>
        <v>0</v>
      </c>
      <c r="AW87" s="190">
        <f t="shared" ref="AW87:AX87" si="72">AW29+AW30+AW31+AW41+AW42+AW71</f>
        <v>0</v>
      </c>
      <c r="AX87" s="190">
        <f t="shared" si="72"/>
        <v>0</v>
      </c>
      <c r="BB87" s="190">
        <f t="shared" ref="BB87" si="73">BB29+BB30+BB31+BB41+BB42+BB71</f>
        <v>10</v>
      </c>
      <c r="BD87" s="190">
        <f t="shared" ref="BD87" si="74">BD29+BD30+BD31+BD41+BD42+BD71</f>
        <v>5</v>
      </c>
      <c r="BE87" s="190">
        <f t="shared" ref="BE87:BF87" si="75">BE29+BE30+BE31+BE41+BE42+BE71</f>
        <v>0</v>
      </c>
      <c r="BF87" s="190">
        <f t="shared" si="75"/>
        <v>0</v>
      </c>
      <c r="BO87" s="190">
        <f t="shared" ref="BO87" si="76">BO29+BO30+BO31+BO41+BO42+BO71</f>
        <v>0</v>
      </c>
      <c r="BQ87" s="190">
        <f t="shared" ref="BQ87:BR87" si="77">BQ29+BQ30+BQ31+BQ41+BQ42+BQ71</f>
        <v>5</v>
      </c>
      <c r="BR87" s="190">
        <f t="shared" si="77"/>
        <v>0</v>
      </c>
      <c r="BT87" s="190">
        <f t="shared" ref="BT87" si="78">BT29+BT30+BT31+BT41+BT42+BT71</f>
        <v>0</v>
      </c>
      <c r="CA87" s="190">
        <f t="shared" ref="CA87" si="79">CA29+CA30+CA31+CA41+CA42+CA71</f>
        <v>3</v>
      </c>
      <c r="CC87" s="190">
        <f t="shared" ref="CC87" si="80">CC29+CC30+CC31+CC41+CC42+CC71</f>
        <v>0</v>
      </c>
      <c r="CE87" s="190">
        <f t="shared" ref="CE87:CG87" si="81">CE29+CE30+CE31+CE41+CE42+CE71</f>
        <v>10</v>
      </c>
      <c r="CF87" s="190">
        <f t="shared" si="81"/>
        <v>0</v>
      </c>
      <c r="CG87" s="190">
        <f t="shared" si="81"/>
        <v>0</v>
      </c>
      <c r="CJ87" s="190">
        <f t="shared" ref="CJ87:CK87" si="82">CJ29+CJ30+CJ31+CJ41+CJ42+CJ71</f>
        <v>30</v>
      </c>
      <c r="CK87" s="190">
        <f t="shared" si="82"/>
        <v>3</v>
      </c>
      <c r="CO87" s="190">
        <f t="shared" ref="CO87:CQ87" si="83">CO29+CO30+CO31+CO41+CO42+CO71</f>
        <v>0</v>
      </c>
      <c r="CP87" s="190">
        <f t="shared" si="83"/>
        <v>0</v>
      </c>
      <c r="CQ87" s="190">
        <f t="shared" si="83"/>
        <v>2</v>
      </c>
      <c r="CU87" s="190">
        <f t="shared" ref="CU87:CV87" si="84">CU29+CU30+CU31+CU41+CU42+CU71</f>
        <v>10</v>
      </c>
      <c r="CV87" s="190">
        <f t="shared" si="84"/>
        <v>8</v>
      </c>
      <c r="CY87" s="190">
        <f t="shared" ref="CY87" si="85">CY29+CY30+CY31+CY41+CY42+CY71</f>
        <v>2</v>
      </c>
      <c r="DB87" s="190">
        <f t="shared" ref="DB87:DC87" si="86">DB29+DB30+DB31+DB41+DB42+DB71</f>
        <v>10</v>
      </c>
      <c r="DC87" s="190">
        <f t="shared" si="86"/>
        <v>10</v>
      </c>
      <c r="DE87" s="190">
        <f t="shared" ref="DE87:DG87" si="87">DE29+DE30+DE31+DE41+DE42+DE71</f>
        <v>20</v>
      </c>
      <c r="DF87" s="190">
        <f t="shared" si="87"/>
        <v>10</v>
      </c>
      <c r="DG87" s="190">
        <f t="shared" si="87"/>
        <v>90</v>
      </c>
      <c r="DM87" s="190">
        <f t="shared" ref="DM87" si="88">DM29+DM30+DM31+DM41+DM42+DM71</f>
        <v>0</v>
      </c>
      <c r="DP87" s="190">
        <f t="shared" ref="DP87:DS87" si="89">DP29+DP30+DP31+DP41+DP42+DP71</f>
        <v>10</v>
      </c>
      <c r="DQ87" s="190">
        <f t="shared" si="89"/>
        <v>40</v>
      </c>
      <c r="DR87" s="190">
        <f t="shared" si="89"/>
        <v>0</v>
      </c>
      <c r="DS87" s="190">
        <f t="shared" si="89"/>
        <v>20</v>
      </c>
      <c r="DU87" s="190">
        <f t="shared" ref="DU87" si="90">DU29+DU30+DU31+DU41+DU42+DU71</f>
        <v>0</v>
      </c>
      <c r="EE87" s="190">
        <f t="shared" ref="EE87:EH87" si="91">EE29+EE30+EE31+EE41+EE42+EE71</f>
        <v>10</v>
      </c>
      <c r="EG87" s="190">
        <f t="shared" si="91"/>
        <v>0</v>
      </c>
      <c r="EH87" s="190">
        <f t="shared" si="91"/>
        <v>0</v>
      </c>
      <c r="EO87" s="190">
        <f t="shared" ref="EO87" si="92">EO29+EO30+EO31+EO41+EO42+EO71</f>
        <v>0</v>
      </c>
      <c r="EW87" s="190">
        <f t="shared" ref="EW87" si="93">EW29+EW30+EW31+EW41+EW42+EW71</f>
        <v>20</v>
      </c>
      <c r="EX87" s="190">
        <f t="shared" ref="EX87" si="94">EX29+EX30+EX31+EX41+EX42+EX71</f>
        <v>20</v>
      </c>
      <c r="FA87" s="190">
        <f>FA29+FA30+FA31+FA41+FA42+FA71+FA70</f>
        <v>100</v>
      </c>
      <c r="FE87" s="190">
        <f>FE29+FE30+FE31+FE41+FE42+FE71+FE70</f>
        <v>5</v>
      </c>
      <c r="FG87" s="190">
        <f>FG29+FG30+FG31+FG41+FG42+FG71+FG70</f>
        <v>20</v>
      </c>
      <c r="FH87" s="190">
        <f>FH29+FH30+FH31+FH41+FH42+FH71+FH70</f>
        <v>2</v>
      </c>
      <c r="FK87" s="190">
        <f>FK29+FK30+FK31+FK41+FK42+FK71+FK70</f>
        <v>0</v>
      </c>
      <c r="FQ87" s="190">
        <f>FQ29+FQ30+FQ31+FQ41+FQ42+FQ71+FQ70</f>
        <v>20</v>
      </c>
      <c r="GU87" s="92">
        <f t="shared" si="37"/>
        <v>538</v>
      </c>
    </row>
    <row r="88" spans="1:204">
      <c r="E88" s="87" t="s">
        <v>626</v>
      </c>
      <c r="H88" s="190"/>
      <c r="T88" s="190">
        <f>T35+T36+T37+T53+T54+T55+T56+T57+T58+T63+T64+T76+T77</f>
        <v>0</v>
      </c>
      <c r="V88" s="190">
        <f t="shared" ref="V88:W88" si="95">V35+V36+V37+V53+V54+V55+V56+V57+V58+V63+V64+V76+V77</f>
        <v>0</v>
      </c>
      <c r="W88" s="190">
        <f t="shared" si="95"/>
        <v>0</v>
      </c>
      <c r="Z88" s="190">
        <f t="shared" ref="Z88" si="96">Z35+Z36+Z37+Z53+Z54+Z55+Z56+Z57+Z58+Z63+Z64+Z76+Z77</f>
        <v>0</v>
      </c>
      <c r="AB88" s="190">
        <f t="shared" ref="AB88" si="97">AB35+AB36+AB37+AB53+AB54+AB55+AB56+AB57+AB58+AB63+AB64+AB76+AB77</f>
        <v>0</v>
      </c>
      <c r="AW88" s="190">
        <f t="shared" ref="AW88:AX88" si="98">AW35+AW36+AW37+AW53+AW54+AW55+AW56+AW57+AW58+AW63+AW64+AW76+AW77</f>
        <v>0</v>
      </c>
      <c r="AX88" s="190">
        <f t="shared" si="98"/>
        <v>0</v>
      </c>
      <c r="BB88" s="190">
        <f t="shared" ref="BB88" si="99">BB35+BB36+BB37+BB53+BB54+BB55+BB56+BB57+BB58+BB63+BB64+BB76+BB77</f>
        <v>10</v>
      </c>
      <c r="BD88" s="190">
        <f t="shared" ref="BD88" si="100">BD35+BD36+BD37+BD53+BD54+BD55+BD56+BD57+BD58+BD63+BD64+BD76+BD77</f>
        <v>5</v>
      </c>
      <c r="BE88" s="190">
        <f t="shared" ref="BE88:BF88" si="101">BE35+BE36+BE37+BE53+BE54+BE55+BE56+BE57+BE58+BE63+BE64+BE76+BE77</f>
        <v>0</v>
      </c>
      <c r="BF88" s="190">
        <f t="shared" si="101"/>
        <v>0</v>
      </c>
      <c r="BO88" s="190">
        <f t="shared" ref="BO88" si="102">BO35+BO36+BO37+BO53+BO54+BO55+BO56+BO57+BO58+BO63+BO64+BO76+BO77</f>
        <v>4</v>
      </c>
      <c r="BQ88" s="190">
        <f t="shared" ref="BQ88:BR88" si="103">BQ35+BQ36+BQ37+BQ53+BQ54+BQ55+BQ56+BQ57+BQ58+BQ63+BQ64+BQ76+BQ77</f>
        <v>15</v>
      </c>
      <c r="BR88" s="190">
        <f t="shared" si="103"/>
        <v>5</v>
      </c>
      <c r="BT88" s="190">
        <f t="shared" ref="BT88" si="104">BT35+BT36+BT37+BT53+BT54+BT55+BT56+BT57+BT58+BT63+BT64+BT76+BT77</f>
        <v>5</v>
      </c>
      <c r="CA88" s="190">
        <f t="shared" ref="CA88" si="105">CA35+CA36+CA37+CA53+CA54+CA55+CA56+CA57+CA58+CA63+CA64+CA76+CA77</f>
        <v>0</v>
      </c>
      <c r="CC88" s="190">
        <f t="shared" ref="CC88" si="106">CC35+CC36+CC37+CC53+CC54+CC55+CC56+CC57+CC58+CC63+CC64+CC76+CC77</f>
        <v>0</v>
      </c>
      <c r="CE88" s="190">
        <f t="shared" ref="CE88:CG88" si="107">CE35+CE36+CE37+CE53+CE54+CE55+CE56+CE57+CE58+CE63+CE64+CE76+CE77</f>
        <v>5</v>
      </c>
      <c r="CF88" s="190">
        <f t="shared" si="107"/>
        <v>0</v>
      </c>
      <c r="CG88" s="190">
        <f t="shared" si="107"/>
        <v>0</v>
      </c>
      <c r="CJ88" s="190">
        <f t="shared" ref="CJ88:CK88" si="108">CJ35+CJ36+CJ37+CJ53+CJ54+CJ55+CJ56+CJ57+CJ58+CJ63+CJ64+CJ76+CJ77</f>
        <v>20</v>
      </c>
      <c r="CK88" s="190">
        <f t="shared" si="108"/>
        <v>3</v>
      </c>
      <c r="CO88" s="190">
        <f t="shared" ref="CO88:CQ88" si="109">CO35+CO36+CO37+CO53+CO54+CO55+CO56+CO57+CO58+CO63+CO64+CO76+CO77</f>
        <v>0</v>
      </c>
      <c r="CP88" s="190">
        <f t="shared" si="109"/>
        <v>10</v>
      </c>
      <c r="CQ88" s="190">
        <f t="shared" si="109"/>
        <v>6</v>
      </c>
      <c r="CU88" s="190">
        <f t="shared" ref="CU88:CV88" si="110">CU35+CU36+CU37+CU53+CU54+CU55+CU56+CU57+CU58+CU63+CU64+CU76+CU77</f>
        <v>5</v>
      </c>
      <c r="CV88" s="190">
        <f t="shared" si="110"/>
        <v>10</v>
      </c>
      <c r="CY88" s="190">
        <f t="shared" ref="CY88" si="111">CY35+CY36+CY37+CY53+CY54+CY55+CY56+CY57+CY58+CY63+CY64+CY76+CY77</f>
        <v>5</v>
      </c>
      <c r="DB88" s="190">
        <f t="shared" ref="DB88:DC88" si="112">DB35+DB36+DB37+DB53+DB54+DB55+DB56+DB57+DB58+DB63+DB64+DB76+DB77</f>
        <v>0</v>
      </c>
      <c r="DC88" s="190">
        <f t="shared" si="112"/>
        <v>10</v>
      </c>
      <c r="DE88" s="190">
        <f t="shared" ref="DE88:DG88" si="113">DE35+DE36+DE37+DE53+DE54+DE55+DE56+DE57+DE58+DE63+DE64+DE76+DE77</f>
        <v>40</v>
      </c>
      <c r="DF88" s="190">
        <f t="shared" si="113"/>
        <v>10</v>
      </c>
      <c r="DG88" s="190">
        <f t="shared" si="113"/>
        <v>60</v>
      </c>
      <c r="DM88" s="190">
        <f t="shared" ref="DM88" si="114">DM35+DM36+DM37+DM53+DM54+DM55+DM56+DM57+DM58+DM63+DM64+DM76+DM77</f>
        <v>40</v>
      </c>
      <c r="DP88" s="190">
        <f t="shared" ref="DP88:DS88" si="115">DP35+DP36+DP37+DP53+DP54+DP55+DP56+DP57+DP58+DP63+DP64+DP76+DP77</f>
        <v>20</v>
      </c>
      <c r="DQ88" s="190">
        <f t="shared" si="115"/>
        <v>50</v>
      </c>
      <c r="DR88" s="190">
        <f t="shared" si="115"/>
        <v>0</v>
      </c>
      <c r="DS88" s="190">
        <f t="shared" si="115"/>
        <v>20</v>
      </c>
      <c r="DU88" s="190">
        <f t="shared" ref="DU88" si="116">DU35+DU36+DU37+DU53+DU54+DU55+DU56+DU57+DU58+DU63+DU64+DU76+DU77</f>
        <v>50</v>
      </c>
      <c r="EE88" s="190">
        <f t="shared" ref="EE88:EH88" si="117">EE35+EE36+EE37+EE53+EE54+EE55+EE56+EE57+EE58+EE63+EE64+EE76+EE77</f>
        <v>0</v>
      </c>
      <c r="EG88" s="190">
        <f t="shared" si="117"/>
        <v>0</v>
      </c>
      <c r="EH88" s="190">
        <f t="shared" si="117"/>
        <v>0</v>
      </c>
      <c r="EO88" s="190">
        <f t="shared" ref="EO88" si="118">EO35+EO36+EO37+EO53+EO54+EO55+EO56+EO57+EO58+EO63+EO64+EO76+EO77</f>
        <v>5</v>
      </c>
      <c r="EW88" s="190">
        <f t="shared" ref="EW88" si="119">EW35+EW36+EW37+EW53+EW54+EW55+EW56+EW57+EW58+EW63+EW64+EW76+EW77</f>
        <v>20</v>
      </c>
      <c r="EX88" s="190">
        <f t="shared" ref="EX88" si="120">EX35+EX36+EX37+EX53+EX54+EX55+EX56+EX57+EX58+EX63+EX64+EX76+EX77</f>
        <v>0</v>
      </c>
      <c r="FA88" s="190">
        <f t="shared" ref="FA88" si="121">FA35+FA36+FA37+FA53+FA54+FA55+FA56+FA57+FA58+FA63+FA64+FA76+FA77</f>
        <v>20</v>
      </c>
      <c r="FE88" s="190">
        <f t="shared" ref="FE88" si="122">FE35+FE36+FE37+FE53+FE54+FE55+FE56+FE57+FE58+FE63+FE64+FE76+FE77</f>
        <v>5</v>
      </c>
      <c r="FG88" s="190">
        <f t="shared" ref="FG88:FH88" si="123">FG35+FG36+FG37+FG53+FG54+FG55+FG56+FG57+FG58+FG63+FG64+FG76+FG77</f>
        <v>10</v>
      </c>
      <c r="FH88" s="190">
        <f t="shared" si="123"/>
        <v>4</v>
      </c>
      <c r="FK88" s="190">
        <f t="shared" ref="FK88" si="124">FK35+FK36+FK37+FK53+FK54+FK55+FK56+FK57+FK58+FK63+FK64+FK76+FK77</f>
        <v>0</v>
      </c>
      <c r="FQ88" s="190">
        <f t="shared" ref="FQ88" si="125">FQ35+FQ36+FQ37+FQ53+FQ54+FQ55+FQ56+FQ57+FQ58+FQ63+FQ64+FQ76+FQ77</f>
        <v>0</v>
      </c>
      <c r="GU88" s="92">
        <f t="shared" si="37"/>
        <v>472</v>
      </c>
    </row>
    <row r="89" spans="1:204" ht="10.5" thickBot="1">
      <c r="A89" s="189"/>
      <c r="B89" s="189"/>
      <c r="C89" s="189"/>
      <c r="D89" s="189"/>
      <c r="E89" s="89" t="s">
        <v>627</v>
      </c>
      <c r="F89" s="189"/>
      <c r="G89" s="189"/>
      <c r="H89" s="200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200">
        <f>T48+T49+T50+T51+T52+T72+T73+T74+T78+T79</f>
        <v>0</v>
      </c>
      <c r="U89" s="189"/>
      <c r="V89" s="200">
        <f t="shared" ref="V89:W89" si="126">V48+V49+V50+V51+V52+V72+V73+V74+V78+V79</f>
        <v>0</v>
      </c>
      <c r="W89" s="200">
        <f t="shared" si="126"/>
        <v>30</v>
      </c>
      <c r="X89" s="189"/>
      <c r="Y89" s="189"/>
      <c r="Z89" s="200">
        <f t="shared" ref="Z89" si="127">Z48+Z49+Z50+Z51+Z52+Z72+Z73+Z74+Z78+Z79</f>
        <v>0</v>
      </c>
      <c r="AA89" s="189"/>
      <c r="AB89" s="200">
        <f t="shared" ref="AB89" si="128">AB48+AB49+AB50+AB51+AB52+AB72+AB73+AB74+AB78+AB79</f>
        <v>20</v>
      </c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  <c r="AV89" s="189"/>
      <c r="AW89" s="200">
        <f t="shared" ref="AW89:AX89" si="129">AW48+AW49+AW50+AW51+AW52+AW72+AW73+AW74+AW78+AW79</f>
        <v>0</v>
      </c>
      <c r="AX89" s="200">
        <f t="shared" si="129"/>
        <v>0</v>
      </c>
      <c r="AY89" s="189"/>
      <c r="AZ89" s="189"/>
      <c r="BA89" s="189"/>
      <c r="BB89" s="200">
        <f t="shared" ref="BB89" si="130">BB48+BB49+BB50+BB51+BB52+BB72+BB73+BB74+BB78+BB79</f>
        <v>10</v>
      </c>
      <c r="BC89" s="189"/>
      <c r="BD89" s="200">
        <f t="shared" ref="BD89" si="131">BD48+BD49+BD50+BD51+BD52+BD72+BD73+BD74+BD78+BD79</f>
        <v>0</v>
      </c>
      <c r="BE89" s="200">
        <f t="shared" ref="BE89:BF89" si="132">BE48+BE49+BE50+BE51+BE52+BE72+BE73+BE74+BE78+BE79</f>
        <v>0</v>
      </c>
      <c r="BF89" s="200">
        <f t="shared" si="132"/>
        <v>0</v>
      </c>
      <c r="BG89" s="189"/>
      <c r="BH89" s="189"/>
      <c r="BI89" s="189"/>
      <c r="BJ89" s="189"/>
      <c r="BK89" s="189"/>
      <c r="BL89" s="189"/>
      <c r="BM89" s="189"/>
      <c r="BN89" s="189"/>
      <c r="BO89" s="200">
        <f t="shared" ref="BO89" si="133">BO48+BO49+BO50+BO51+BO52+BO72+BO73+BO74+BO78+BO79</f>
        <v>0</v>
      </c>
      <c r="BP89" s="189"/>
      <c r="BQ89" s="200">
        <f t="shared" ref="BQ89:BR89" si="134">BQ48+BQ49+BQ50+BQ51+BQ52+BQ72+BQ73+BQ74+BQ78+BQ79</f>
        <v>10</v>
      </c>
      <c r="BR89" s="200">
        <f t="shared" si="134"/>
        <v>0</v>
      </c>
      <c r="BS89" s="189"/>
      <c r="BT89" s="200">
        <f t="shared" ref="BT89" si="135">BT48+BT49+BT50+BT51+BT52+BT72+BT73+BT74+BT78+BT79</f>
        <v>0</v>
      </c>
      <c r="BU89" s="189"/>
      <c r="BV89" s="189"/>
      <c r="BW89" s="189"/>
      <c r="BX89" s="189"/>
      <c r="BY89" s="189"/>
      <c r="BZ89" s="189"/>
      <c r="CA89" s="200">
        <f t="shared" ref="CA89" si="136">CA48+CA49+CA50+CA51+CA52+CA72+CA73+CA74+CA78+CA79</f>
        <v>0</v>
      </c>
      <c r="CB89" s="189"/>
      <c r="CC89" s="200">
        <f t="shared" ref="CC89" si="137">CC48+CC49+CC50+CC51+CC52+CC72+CC73+CC74+CC78+CC79</f>
        <v>0</v>
      </c>
      <c r="CD89" s="189"/>
      <c r="CE89" s="200">
        <f t="shared" ref="CE89:CG89" si="138">CE48+CE49+CE50+CE51+CE52+CE72+CE73+CE74+CE78+CE79</f>
        <v>0</v>
      </c>
      <c r="CF89" s="200">
        <f t="shared" si="138"/>
        <v>0</v>
      </c>
      <c r="CG89" s="200">
        <f t="shared" si="138"/>
        <v>0</v>
      </c>
      <c r="CH89" s="189"/>
      <c r="CI89" s="189"/>
      <c r="CJ89" s="200">
        <f t="shared" ref="CJ89:CK89" si="139">CJ48+CJ49+CJ50+CJ51+CJ52+CJ72+CJ73+CJ74+CJ78+CJ79</f>
        <v>20</v>
      </c>
      <c r="CK89" s="200">
        <f t="shared" si="139"/>
        <v>2</v>
      </c>
      <c r="CL89" s="189"/>
      <c r="CM89" s="189"/>
      <c r="CN89" s="189"/>
      <c r="CO89" s="200">
        <f t="shared" ref="CO89:CQ89" si="140">CO48+CO49+CO50+CO51+CO52+CO72+CO73+CO74+CO78+CO79</f>
        <v>0</v>
      </c>
      <c r="CP89" s="200">
        <f t="shared" si="140"/>
        <v>0</v>
      </c>
      <c r="CQ89" s="200">
        <f t="shared" si="140"/>
        <v>6</v>
      </c>
      <c r="CR89" s="189"/>
      <c r="CS89" s="189"/>
      <c r="CT89" s="189"/>
      <c r="CU89" s="200">
        <f t="shared" ref="CU89:CV89" si="141">CU48+CU49+CU50+CU51+CU52+CU72+CU73+CU74+CU78+CU79</f>
        <v>5</v>
      </c>
      <c r="CV89" s="200">
        <f t="shared" si="141"/>
        <v>6</v>
      </c>
      <c r="CW89" s="189"/>
      <c r="CX89" s="189"/>
      <c r="CY89" s="200">
        <f t="shared" ref="CY89" si="142">CY48+CY49+CY50+CY51+CY52+CY72+CY73+CY74+CY78+CY79</f>
        <v>0</v>
      </c>
      <c r="CZ89" s="189"/>
      <c r="DA89" s="189"/>
      <c r="DB89" s="200">
        <f t="shared" ref="DB89:DC89" si="143">DB48+DB49+DB50+DB51+DB52+DB72+DB73+DB74+DB78+DB79</f>
        <v>0</v>
      </c>
      <c r="DC89" s="200">
        <f t="shared" si="143"/>
        <v>10</v>
      </c>
      <c r="DD89" s="189"/>
      <c r="DE89" s="200">
        <f t="shared" ref="DE89:DG89" si="144">DE48+DE49+DE50+DE51+DE52+DE72+DE73+DE74+DE78+DE79</f>
        <v>50</v>
      </c>
      <c r="DF89" s="200">
        <f t="shared" si="144"/>
        <v>10</v>
      </c>
      <c r="DG89" s="200">
        <f t="shared" si="144"/>
        <v>70</v>
      </c>
      <c r="DH89" s="189"/>
      <c r="DI89" s="189"/>
      <c r="DJ89" s="189"/>
      <c r="DK89" s="189"/>
      <c r="DL89" s="189"/>
      <c r="DM89" s="200">
        <f t="shared" ref="DM89" si="145">DM48+DM49+DM50+DM51+DM52+DM72+DM73+DM74+DM78+DM79</f>
        <v>0</v>
      </c>
      <c r="DN89" s="189"/>
      <c r="DO89" s="189"/>
      <c r="DP89" s="200">
        <f t="shared" ref="DP89:DS89" si="146">DP48+DP49+DP50+DP51+DP52+DP72+DP73+DP74+DP78+DP79</f>
        <v>10</v>
      </c>
      <c r="DQ89" s="200">
        <f t="shared" si="146"/>
        <v>50</v>
      </c>
      <c r="DR89" s="200">
        <f t="shared" si="146"/>
        <v>0</v>
      </c>
      <c r="DS89" s="200">
        <f t="shared" si="146"/>
        <v>40</v>
      </c>
      <c r="DT89" s="189"/>
      <c r="DU89" s="200">
        <f t="shared" ref="DU89" si="147">DU48+DU49+DU50+DU51+DU52+DU72+DU73+DU74+DU78+DU79</f>
        <v>20</v>
      </c>
      <c r="DV89" s="189"/>
      <c r="DW89" s="189"/>
      <c r="DX89" s="189"/>
      <c r="DY89" s="189"/>
      <c r="DZ89" s="189"/>
      <c r="EA89" s="189"/>
      <c r="EB89" s="189"/>
      <c r="EC89" s="189"/>
      <c r="ED89" s="189"/>
      <c r="EE89" s="200">
        <f t="shared" ref="EE89:EH89" si="148">EE48+EE49+EE50+EE51+EE52+EE72+EE73+EE74+EE78+EE79</f>
        <v>0</v>
      </c>
      <c r="EF89" s="189"/>
      <c r="EG89" s="200">
        <f t="shared" si="148"/>
        <v>0</v>
      </c>
      <c r="EH89" s="200">
        <f t="shared" si="148"/>
        <v>5</v>
      </c>
      <c r="EI89" s="189"/>
      <c r="EJ89" s="189"/>
      <c r="EK89" s="189"/>
      <c r="EL89" s="189"/>
      <c r="EM89" s="189"/>
      <c r="EN89" s="189"/>
      <c r="EO89" s="200">
        <f t="shared" ref="EO89" si="149">EO48+EO49+EO50+EO51+EO52+EO72+EO73+EO74+EO78+EO79</f>
        <v>0</v>
      </c>
      <c r="EP89" s="189"/>
      <c r="EQ89" s="189"/>
      <c r="ER89" s="189"/>
      <c r="ES89" s="189"/>
      <c r="ET89" s="189"/>
      <c r="EU89" s="189"/>
      <c r="EV89" s="189"/>
      <c r="EW89" s="200">
        <f t="shared" ref="EW89" si="150">EW48+EW49+EW50+EW51+EW52+EW72+EW73+EW74+EW78+EW79</f>
        <v>20</v>
      </c>
      <c r="EX89" s="200">
        <f t="shared" ref="EX89" si="151">EX48+EX49+EX50+EX51+EX52+EX72+EX73+EX74+EX78+EX79</f>
        <v>10</v>
      </c>
      <c r="EY89" s="189"/>
      <c r="EZ89" s="189"/>
      <c r="FA89" s="200">
        <f t="shared" ref="FA89" si="152">FA48+FA49+FA50+FA51+FA52+FA72+FA73+FA74+FA78+FA79</f>
        <v>60</v>
      </c>
      <c r="FB89" s="189"/>
      <c r="FC89" s="189"/>
      <c r="FD89" s="189"/>
      <c r="FE89" s="200">
        <f t="shared" ref="FE89" si="153">FE48+FE49+FE50+FE51+FE52+FE72+FE73+FE74+FE78+FE79</f>
        <v>5</v>
      </c>
      <c r="FF89" s="189"/>
      <c r="FG89" s="200">
        <f t="shared" ref="FG89:FH89" si="154">FG48+FG49+FG50+FG51+FG52+FG72+FG73+FG74+FG78+FG79</f>
        <v>10</v>
      </c>
      <c r="FH89" s="200">
        <f t="shared" si="154"/>
        <v>4</v>
      </c>
      <c r="FI89" s="189"/>
      <c r="FJ89" s="189"/>
      <c r="FK89" s="200">
        <f t="shared" ref="FK89" si="155">FK48+FK49+FK50+FK51+FK52+FK72+FK73+FK74+FK78+FK79</f>
        <v>20</v>
      </c>
      <c r="FL89" s="189"/>
      <c r="FM89" s="189"/>
      <c r="FN89" s="189"/>
      <c r="FO89" s="189"/>
      <c r="FP89" s="189"/>
      <c r="FQ89" s="200">
        <f t="shared" ref="FQ89" si="156">FQ48+FQ49+FQ50+FQ51+FQ52+FQ72+FQ73+FQ74+FQ78+FQ79</f>
        <v>20</v>
      </c>
      <c r="FR89" s="189"/>
      <c r="FS89" s="189"/>
      <c r="FT89" s="189"/>
      <c r="FU89" s="189"/>
      <c r="FV89" s="189"/>
      <c r="FW89" s="189"/>
      <c r="FX89" s="189"/>
      <c r="FY89" s="189"/>
      <c r="FZ89" s="189"/>
      <c r="GA89" s="189"/>
      <c r="GB89" s="189"/>
      <c r="GC89" s="189"/>
      <c r="GD89" s="189"/>
      <c r="GE89" s="189"/>
      <c r="GF89" s="189"/>
      <c r="GG89" s="189"/>
      <c r="GH89" s="189"/>
      <c r="GI89" s="189"/>
      <c r="GJ89" s="189"/>
      <c r="GK89" s="189"/>
      <c r="GL89" s="189"/>
      <c r="GM89" s="189"/>
      <c r="GN89" s="189"/>
      <c r="GO89" s="189"/>
      <c r="GP89" s="189"/>
      <c r="GQ89" s="189"/>
      <c r="GR89" s="189"/>
      <c r="GS89" s="189"/>
      <c r="GT89" s="189"/>
      <c r="GU89" s="200">
        <f>SUM(H89:GO89)</f>
        <v>523</v>
      </c>
    </row>
    <row r="90" spans="1:204" s="178" customFormat="1" ht="10.5">
      <c r="E90" s="91" t="s">
        <v>628</v>
      </c>
      <c r="T90" s="178">
        <f>SUBTOTAL(9,T85:T89)</f>
        <v>8</v>
      </c>
      <c r="V90" s="178">
        <f t="shared" ref="V90:W90" si="157">SUBTOTAL(9,V85:V89)</f>
        <v>4</v>
      </c>
      <c r="W90" s="178">
        <f t="shared" si="157"/>
        <v>540</v>
      </c>
      <c r="Z90" s="178">
        <f t="shared" ref="Z90" si="158">SUBTOTAL(9,Z85:Z89)</f>
        <v>80</v>
      </c>
      <c r="AB90" s="178">
        <f t="shared" ref="AB90" si="159">SUBTOTAL(9,AB85:AB89)</f>
        <v>90</v>
      </c>
      <c r="AW90" s="178">
        <f t="shared" ref="AW90:AX90" si="160">SUBTOTAL(9,AW85:AW89)</f>
        <v>16</v>
      </c>
      <c r="AX90" s="178">
        <f t="shared" si="160"/>
        <v>15</v>
      </c>
      <c r="BB90" s="178">
        <f t="shared" ref="BB90" si="161">SUBTOTAL(9,BB85:BB89)</f>
        <v>138</v>
      </c>
      <c r="BD90" s="178">
        <f t="shared" ref="BD90" si="162">SUBTOTAL(9,BD85:BD89)</f>
        <v>30</v>
      </c>
      <c r="BE90" s="178">
        <f t="shared" ref="BE90:BF90" si="163">SUBTOTAL(9,BE85:BE89)</f>
        <v>1</v>
      </c>
      <c r="BF90" s="178">
        <f t="shared" si="163"/>
        <v>90</v>
      </c>
      <c r="BO90" s="178">
        <f t="shared" ref="BO90" si="164">SUBTOTAL(9,BO85:BO89)</f>
        <v>10</v>
      </c>
      <c r="BQ90" s="178">
        <f t="shared" ref="BQ90:BR90" si="165">SUBTOTAL(9,BQ85:BQ89)</f>
        <v>110</v>
      </c>
      <c r="BR90" s="178">
        <f t="shared" si="165"/>
        <v>100</v>
      </c>
      <c r="BT90" s="178">
        <f t="shared" ref="BT90" si="166">SUBTOTAL(9,BT85:BT89)</f>
        <v>160</v>
      </c>
      <c r="CA90" s="178">
        <f t="shared" ref="CA90" si="167">SUBTOTAL(9,CA85:CA89)</f>
        <v>12</v>
      </c>
      <c r="CC90" s="178">
        <f t="shared" ref="CC90" si="168">SUBTOTAL(9,CC85:CC89)</f>
        <v>20</v>
      </c>
      <c r="CE90" s="178">
        <f t="shared" ref="CE90" si="169">SUBTOTAL(9,CE85:CE89)</f>
        <v>55</v>
      </c>
      <c r="CF90" s="178">
        <f t="shared" ref="CF90" si="170">SUBTOTAL(9,CF85:CF89)</f>
        <v>9</v>
      </c>
      <c r="CG90" s="178">
        <f t="shared" ref="CG90" si="171">SUBTOTAL(9,CG85:CG89)</f>
        <v>1</v>
      </c>
      <c r="CJ90" s="178">
        <f t="shared" ref="CJ90" si="172">SUBTOTAL(9,CJ85:CJ89)</f>
        <v>141</v>
      </c>
      <c r="CK90" s="178">
        <f t="shared" ref="CK90" si="173">SUBTOTAL(9,CK85:CK89)</f>
        <v>10</v>
      </c>
      <c r="CO90" s="178">
        <f t="shared" ref="CO90" si="174">SUBTOTAL(9,CO85:CO89)</f>
        <v>6</v>
      </c>
      <c r="CP90" s="178">
        <f t="shared" ref="CP90" si="175">SUBTOTAL(9,CP85:CP89)</f>
        <v>55</v>
      </c>
      <c r="CQ90" s="178">
        <f t="shared" ref="CQ90" si="176">SUBTOTAL(9,CQ85:CQ89)</f>
        <v>60</v>
      </c>
      <c r="CU90" s="178">
        <f t="shared" ref="CU90" si="177">SUBTOTAL(9,CU85:CU89)</f>
        <v>70</v>
      </c>
      <c r="CV90" s="178">
        <f t="shared" ref="CV90" si="178">SUBTOTAL(9,CV85:CV89)</f>
        <v>100</v>
      </c>
      <c r="CY90" s="178">
        <f t="shared" ref="CY90" si="179">SUBTOTAL(9,CY85:CY89)</f>
        <v>20</v>
      </c>
      <c r="DB90" s="178">
        <f t="shared" ref="DB90" si="180">SUBTOTAL(9,DB85:DB89)</f>
        <v>250</v>
      </c>
      <c r="DC90" s="178">
        <f t="shared" ref="DC90" si="181">SUBTOTAL(9,DC85:DC89)</f>
        <v>290</v>
      </c>
      <c r="DE90" s="178">
        <f t="shared" ref="DE90" si="182">SUBTOTAL(9,DE85:DE89)</f>
        <v>400</v>
      </c>
      <c r="DF90" s="178">
        <f t="shared" ref="DF90" si="183">SUBTOTAL(9,DF85:DF89)</f>
        <v>160</v>
      </c>
      <c r="DG90" s="178">
        <f t="shared" ref="DG90" si="184">SUBTOTAL(9,DG85:DG89)</f>
        <v>500</v>
      </c>
      <c r="DM90" s="178">
        <f t="shared" ref="DM90" si="185">SUBTOTAL(9,DM85:DM89)</f>
        <v>510</v>
      </c>
      <c r="DP90" s="178">
        <f t="shared" ref="DP90" si="186">SUBTOTAL(9,DP85:DP89)</f>
        <v>150</v>
      </c>
      <c r="DQ90" s="178">
        <f t="shared" ref="DQ90" si="187">SUBTOTAL(9,DQ85:DQ89)</f>
        <v>520</v>
      </c>
      <c r="DR90" s="178">
        <f t="shared" ref="DR90" si="188">SUBTOTAL(9,DR85:DR89)</f>
        <v>50</v>
      </c>
      <c r="DS90" s="178">
        <f t="shared" ref="DS90" si="189">SUBTOTAL(9,DS85:DS89)</f>
        <v>280</v>
      </c>
      <c r="DU90" s="178">
        <f t="shared" ref="DU90" si="190">SUBTOTAL(9,DU85:DU89)</f>
        <v>290</v>
      </c>
      <c r="EE90" s="178">
        <f t="shared" ref="EE90" si="191">SUBTOTAL(9,EE85:EE89)</f>
        <v>80</v>
      </c>
      <c r="EG90" s="178">
        <f t="shared" ref="EG90" si="192">SUBTOTAL(9,EG85:EG89)</f>
        <v>2</v>
      </c>
      <c r="EH90" s="178">
        <f t="shared" ref="EH90" si="193">SUBTOTAL(9,EH85:EH89)</f>
        <v>10</v>
      </c>
      <c r="EO90" s="178">
        <f t="shared" ref="EO90" si="194">SUBTOTAL(9,EO85:EO89)</f>
        <v>10</v>
      </c>
      <c r="EW90" s="178">
        <f t="shared" ref="EW90" si="195">SUBTOTAL(9,EW85:EW89)</f>
        <v>220</v>
      </c>
      <c r="EX90" s="178">
        <f t="shared" ref="EX90" si="196">SUBTOTAL(9,EX85:EX89)</f>
        <v>60</v>
      </c>
      <c r="FA90" s="178">
        <f t="shared" ref="FA90" si="197">SUBTOTAL(9,FA85:FA89)</f>
        <v>1000</v>
      </c>
      <c r="FE90" s="178">
        <f t="shared" ref="FE90" si="198">SUBTOTAL(9,FE85:FE89)</f>
        <v>15</v>
      </c>
      <c r="FG90" s="178">
        <f t="shared" ref="FG90:FH90" si="199">SUBTOTAL(9,FG85:FG89)</f>
        <v>200</v>
      </c>
      <c r="FH90" s="178">
        <f t="shared" si="199"/>
        <v>14</v>
      </c>
      <c r="FK90" s="178">
        <f t="shared" ref="FK90" si="200">SUBTOTAL(9,FK85:FK89)</f>
        <v>300</v>
      </c>
      <c r="FQ90" s="178">
        <f t="shared" ref="FQ90" si="201">SUBTOTAL(9,FQ85:FQ89)</f>
        <v>380</v>
      </c>
      <c r="GU90" s="178">
        <f t="shared" ref="GU90" si="202">SUM(H90:GO90)</f>
        <v>7642</v>
      </c>
    </row>
    <row r="93" spans="1:204" ht="11">
      <c r="A93" s="92" t="s">
        <v>741</v>
      </c>
    </row>
    <row r="96" spans="1:204" ht="11">
      <c r="A96" s="92" t="s">
        <v>742</v>
      </c>
    </row>
    <row r="98" spans="1:1">
      <c r="A98" s="92" t="s">
        <v>629</v>
      </c>
    </row>
    <row r="99" spans="1:1">
      <c r="A99" s="92" t="s">
        <v>141</v>
      </c>
    </row>
    <row r="100" spans="1:1">
      <c r="A100" s="92" t="s">
        <v>126</v>
      </c>
    </row>
    <row r="101" spans="1:1">
      <c r="A101" s="92" t="s">
        <v>630</v>
      </c>
    </row>
    <row r="103" spans="1:1" ht="11">
      <c r="A103" s="92" t="s">
        <v>747</v>
      </c>
    </row>
  </sheetData>
  <autoFilter ref="A6:GW83" xr:uid="{00000000-0009-0000-0000-000001000000}">
    <filterColumn colId="2">
      <filters blank="1">
        <filter val="UA1J"/>
        <filter val="UA1K"/>
      </filters>
    </filterColumn>
  </autoFilter>
  <phoneticPr fontId="3" type="noConversion"/>
  <conditionalFormatting sqref="F83 F33:F34 F5:F27">
    <cfRule type="cellIs" dxfId="1510" priority="177" stopIfTrue="1" operator="equal">
      <formula>"E7"</formula>
    </cfRule>
    <cfRule type="cellIs" dxfId="1509" priority="178" stopIfTrue="1" operator="equal">
      <formula>"E7A"</formula>
    </cfRule>
  </conditionalFormatting>
  <conditionalFormatting sqref="F51">
    <cfRule type="cellIs" dxfId="1508" priority="175" stopIfTrue="1" operator="equal">
      <formula>"E7"</formula>
    </cfRule>
    <cfRule type="cellIs" dxfId="1507" priority="176" stopIfTrue="1" operator="equal">
      <formula>"E7A"</formula>
    </cfRule>
  </conditionalFormatting>
  <conditionalFormatting sqref="F52">
    <cfRule type="cellIs" dxfId="1506" priority="173" stopIfTrue="1" operator="equal">
      <formula>"E7"</formula>
    </cfRule>
    <cfRule type="cellIs" dxfId="1505" priority="174" stopIfTrue="1" operator="equal">
      <formula>"E7A"</formula>
    </cfRule>
  </conditionalFormatting>
  <conditionalFormatting sqref="B39 B51 B16:B17 B20:B34 B81:B82 B7:B13 B73:B74">
    <cfRule type="expression" dxfId="1504" priority="172">
      <formula>$A7="A"</formula>
    </cfRule>
  </conditionalFormatting>
  <conditionalFormatting sqref="H6:AT6 AW6:AY6 BM6:BT6 ER6:EZ6 FH6:GO6 FB6:FF6 DY6:EB6 ED6:EP6 DV6:DW6 DO6:DR6 DD6:DH6 DJ6:DM6 CH6:CL6 CB6 CD6 CF6 CN6:DB6 BV6:BZ6 BA6:BJ6 DT6">
    <cfRule type="expression" dxfId="1503" priority="161">
      <formula>H200=0</formula>
    </cfRule>
  </conditionalFormatting>
  <conditionalFormatting sqref="F39">
    <cfRule type="cellIs" dxfId="1502" priority="170" stopIfTrue="1" operator="equal">
      <formula>"E7"</formula>
    </cfRule>
    <cfRule type="cellIs" dxfId="1501" priority="171" stopIfTrue="1" operator="equal">
      <formula>"E7A"</formula>
    </cfRule>
  </conditionalFormatting>
  <conditionalFormatting sqref="B40:B41">
    <cfRule type="expression" dxfId="1500" priority="169">
      <formula>$A40="A"</formula>
    </cfRule>
  </conditionalFormatting>
  <conditionalFormatting sqref="F40">
    <cfRule type="cellIs" dxfId="1499" priority="167" stopIfTrue="1" operator="equal">
      <formula>"E7"</formula>
    </cfRule>
    <cfRule type="cellIs" dxfId="1498" priority="168" stopIfTrue="1" operator="equal">
      <formula>"E7A"</formula>
    </cfRule>
  </conditionalFormatting>
  <conditionalFormatting sqref="F41">
    <cfRule type="cellIs" dxfId="1497" priority="165" stopIfTrue="1" operator="equal">
      <formula>"E7"</formula>
    </cfRule>
    <cfRule type="cellIs" dxfId="1496" priority="166" stopIfTrue="1" operator="equal">
      <formula>"E7A"</formula>
    </cfRule>
  </conditionalFormatting>
  <conditionalFormatting sqref="F38">
    <cfRule type="cellIs" dxfId="1495" priority="163" stopIfTrue="1" operator="equal">
      <formula>"E7"</formula>
    </cfRule>
    <cfRule type="cellIs" dxfId="1494" priority="164" stopIfTrue="1" operator="equal">
      <formula>"E7A"</formula>
    </cfRule>
  </conditionalFormatting>
  <conditionalFormatting sqref="B38">
    <cfRule type="expression" dxfId="1493" priority="162">
      <formula>$A38="A"</formula>
    </cfRule>
  </conditionalFormatting>
  <conditionalFormatting sqref="H1 BI1:BJ1">
    <cfRule type="duplicateValues" dxfId="1492" priority="160"/>
  </conditionalFormatting>
  <conditionalFormatting sqref="L1">
    <cfRule type="duplicateValues" dxfId="1491" priority="159"/>
  </conditionalFormatting>
  <conditionalFormatting sqref="F28:F34">
    <cfRule type="cellIs" dxfId="1490" priority="157" stopIfTrue="1" operator="equal">
      <formula>"E7"</formula>
    </cfRule>
    <cfRule type="cellIs" dxfId="1489" priority="158" stopIfTrue="1" operator="equal">
      <formula>"E7A"</formula>
    </cfRule>
  </conditionalFormatting>
  <conditionalFormatting sqref="DW4 DY4">
    <cfRule type="duplicateValues" dxfId="1488" priority="156"/>
  </conditionalFormatting>
  <conditionalFormatting sqref="F81">
    <cfRule type="cellIs" dxfId="1487" priority="154" stopIfTrue="1" operator="equal">
      <formula>"E7"</formula>
    </cfRule>
    <cfRule type="cellIs" dxfId="1486" priority="155" stopIfTrue="1" operator="equal">
      <formula>"E7A"</formula>
    </cfRule>
  </conditionalFormatting>
  <conditionalFormatting sqref="F82">
    <cfRule type="cellIs" dxfId="1485" priority="152" stopIfTrue="1" operator="equal">
      <formula>"E7"</formula>
    </cfRule>
    <cfRule type="cellIs" dxfId="1484" priority="153" stopIfTrue="1" operator="equal">
      <formula>"E7A"</formula>
    </cfRule>
  </conditionalFormatting>
  <conditionalFormatting sqref="F7">
    <cfRule type="cellIs" dxfId="1483" priority="150" stopIfTrue="1" operator="equal">
      <formula>"E7"</formula>
    </cfRule>
    <cfRule type="cellIs" dxfId="1482" priority="151" stopIfTrue="1" operator="equal">
      <formula>"E7A"</formula>
    </cfRule>
  </conditionalFormatting>
  <conditionalFormatting sqref="F8">
    <cfRule type="cellIs" dxfId="1481" priority="148" stopIfTrue="1" operator="equal">
      <formula>"E7"</formula>
    </cfRule>
    <cfRule type="cellIs" dxfId="1480" priority="149" stopIfTrue="1" operator="equal">
      <formula>"E7A"</formula>
    </cfRule>
  </conditionalFormatting>
  <conditionalFormatting sqref="F9">
    <cfRule type="cellIs" dxfId="1479" priority="146" stopIfTrue="1" operator="equal">
      <formula>"E7"</formula>
    </cfRule>
    <cfRule type="cellIs" dxfId="1478" priority="147" stopIfTrue="1" operator="equal">
      <formula>"E7A"</formula>
    </cfRule>
  </conditionalFormatting>
  <conditionalFormatting sqref="F33">
    <cfRule type="cellIs" dxfId="1477" priority="144" stopIfTrue="1" operator="equal">
      <formula>"E7"</formula>
    </cfRule>
    <cfRule type="cellIs" dxfId="1476" priority="145" stopIfTrue="1" operator="equal">
      <formula>"E7A"</formula>
    </cfRule>
  </conditionalFormatting>
  <conditionalFormatting sqref="B69:B70">
    <cfRule type="expression" dxfId="1475" priority="143">
      <formula>$A69="A"</formula>
    </cfRule>
  </conditionalFormatting>
  <conditionalFormatting sqref="F34">
    <cfRule type="cellIs" dxfId="1474" priority="141" stopIfTrue="1" operator="equal">
      <formula>"E7"</formula>
    </cfRule>
    <cfRule type="cellIs" dxfId="1473" priority="142" stopIfTrue="1" operator="equal">
      <formula>"E7A"</formula>
    </cfRule>
  </conditionalFormatting>
  <conditionalFormatting sqref="GK4">
    <cfRule type="duplicateValues" dxfId="1472" priority="179"/>
  </conditionalFormatting>
  <conditionalFormatting sqref="EY1:EZ1 FH1:GF1 FC1:FF1">
    <cfRule type="duplicateValues" dxfId="1471" priority="180"/>
  </conditionalFormatting>
  <conditionalFormatting sqref="EY4:EZ4 GN4:GO4 FH4:GJ4 FB4:FF4">
    <cfRule type="duplicateValues" dxfId="1470" priority="181"/>
  </conditionalFormatting>
  <conditionalFormatting sqref="H4:W4 DZ4:EB4 BM4:BT4 AW4:AY4 Y4:AT4 ER4:EX4 ED4:EP4 DV4 DO4:DR4 DD4:DH4 DJ4:DM4 CH4:CL4 CB4 CD4 CF4 CN4:DB4 BV4:BZ4 BA4:BJ4 DT4">
    <cfRule type="duplicateValues" dxfId="1469" priority="182"/>
  </conditionalFormatting>
  <conditionalFormatting sqref="H1:AR1 BM1:BT1 AY1 ER1:EX1 DY1:EB1 ED1:EP1 DV1:DW1 DO1:DR1 DD1:DH1 DJ1:DM1 CH1:CL1 CF1 CN1:DB1 BV1:BZ1 BA1:BJ1 DT1">
    <cfRule type="duplicateValues" dxfId="1468" priority="183"/>
  </conditionalFormatting>
  <conditionalFormatting sqref="BK6">
    <cfRule type="expression" dxfId="1467" priority="138">
      <formula>BK200=0</formula>
    </cfRule>
  </conditionalFormatting>
  <conditionalFormatting sqref="BK1">
    <cfRule type="duplicateValues" dxfId="1466" priority="137"/>
  </conditionalFormatting>
  <conditionalFormatting sqref="BK4">
    <cfRule type="duplicateValues" dxfId="1465" priority="139"/>
  </conditionalFormatting>
  <conditionalFormatting sqref="BK1">
    <cfRule type="duplicateValues" dxfId="1464" priority="140"/>
  </conditionalFormatting>
  <conditionalFormatting sqref="BL6">
    <cfRule type="expression" dxfId="1463" priority="134">
      <formula>BL200=0</formula>
    </cfRule>
  </conditionalFormatting>
  <conditionalFormatting sqref="BL1">
    <cfRule type="duplicateValues" dxfId="1462" priority="133"/>
  </conditionalFormatting>
  <conditionalFormatting sqref="BL4">
    <cfRule type="duplicateValues" dxfId="1461" priority="135"/>
  </conditionalFormatting>
  <conditionalFormatting sqref="BL1">
    <cfRule type="duplicateValues" dxfId="1460" priority="136"/>
  </conditionalFormatting>
  <conditionalFormatting sqref="AU6">
    <cfRule type="expression" dxfId="1459" priority="131">
      <formula>AU200=0</formula>
    </cfRule>
  </conditionalFormatting>
  <conditionalFormatting sqref="AU4">
    <cfRule type="duplicateValues" dxfId="1458" priority="132"/>
  </conditionalFormatting>
  <conditionalFormatting sqref="AV6">
    <cfRule type="expression" dxfId="1457" priority="129">
      <formula>AV200=0</formula>
    </cfRule>
  </conditionalFormatting>
  <conditionalFormatting sqref="AV4">
    <cfRule type="duplicateValues" dxfId="1456" priority="130"/>
  </conditionalFormatting>
  <conditionalFormatting sqref="B14">
    <cfRule type="expression" dxfId="1455" priority="128">
      <formula>$A14="A"</formula>
    </cfRule>
  </conditionalFormatting>
  <conditionalFormatting sqref="B17">
    <cfRule type="expression" dxfId="1454" priority="127">
      <formula>$A17="A"</formula>
    </cfRule>
  </conditionalFormatting>
  <conditionalFormatting sqref="B15">
    <cfRule type="expression" dxfId="1453" priority="126">
      <formula>$A15="A"</formula>
    </cfRule>
  </conditionalFormatting>
  <conditionalFormatting sqref="B18">
    <cfRule type="expression" dxfId="1452" priority="125">
      <formula>$A18="A"</formula>
    </cfRule>
  </conditionalFormatting>
  <conditionalFormatting sqref="B18">
    <cfRule type="expression" dxfId="1451" priority="124">
      <formula>$A18="A"</formula>
    </cfRule>
  </conditionalFormatting>
  <conditionalFormatting sqref="B35:B37">
    <cfRule type="expression" dxfId="1450" priority="123">
      <formula>$A35="A"</formula>
    </cfRule>
  </conditionalFormatting>
  <conditionalFormatting sqref="F35:F37">
    <cfRule type="cellIs" dxfId="1449" priority="121" stopIfTrue="1" operator="equal">
      <formula>"E7"</formula>
    </cfRule>
    <cfRule type="cellIs" dxfId="1448" priority="122" stopIfTrue="1" operator="equal">
      <formula>"E7A"</formula>
    </cfRule>
  </conditionalFormatting>
  <conditionalFormatting sqref="B19">
    <cfRule type="expression" dxfId="1447" priority="120">
      <formula>$A19="A"</formula>
    </cfRule>
  </conditionalFormatting>
  <conditionalFormatting sqref="B19">
    <cfRule type="expression" dxfId="1446" priority="119">
      <formula>$A19="A"</formula>
    </cfRule>
  </conditionalFormatting>
  <conditionalFormatting sqref="B48:B49">
    <cfRule type="expression" dxfId="1445" priority="118">
      <formula>$A48="A"</formula>
    </cfRule>
  </conditionalFormatting>
  <conditionalFormatting sqref="F48:F49">
    <cfRule type="cellIs" dxfId="1444" priority="116" stopIfTrue="1" operator="equal">
      <formula>"E7"</formula>
    </cfRule>
    <cfRule type="cellIs" dxfId="1443" priority="117" stopIfTrue="1" operator="equal">
      <formula>"E7A"</formula>
    </cfRule>
  </conditionalFormatting>
  <conditionalFormatting sqref="B52">
    <cfRule type="expression" dxfId="1442" priority="115">
      <formula>$A52="A"</formula>
    </cfRule>
  </conditionalFormatting>
  <conditionalFormatting sqref="F53">
    <cfRule type="cellIs" dxfId="1441" priority="113" stopIfTrue="1" operator="equal">
      <formula>"E7"</formula>
    </cfRule>
    <cfRule type="cellIs" dxfId="1440" priority="114" stopIfTrue="1" operator="equal">
      <formula>"E7A"</formula>
    </cfRule>
  </conditionalFormatting>
  <conditionalFormatting sqref="B53">
    <cfRule type="expression" dxfId="1439" priority="112">
      <formula>$A53="A"</formula>
    </cfRule>
  </conditionalFormatting>
  <conditionalFormatting sqref="F54">
    <cfRule type="cellIs" dxfId="1438" priority="110" stopIfTrue="1" operator="equal">
      <formula>"E7"</formula>
    </cfRule>
    <cfRule type="cellIs" dxfId="1437" priority="111" stopIfTrue="1" operator="equal">
      <formula>"E7A"</formula>
    </cfRule>
  </conditionalFormatting>
  <conditionalFormatting sqref="B54">
    <cfRule type="expression" dxfId="1436" priority="109">
      <formula>$A54="A"</formula>
    </cfRule>
  </conditionalFormatting>
  <conditionalFormatting sqref="F55:F59">
    <cfRule type="cellIs" dxfId="1435" priority="107" stopIfTrue="1" operator="equal">
      <formula>"E7"</formula>
    </cfRule>
    <cfRule type="cellIs" dxfId="1434" priority="108" stopIfTrue="1" operator="equal">
      <formula>"E7A"</formula>
    </cfRule>
  </conditionalFormatting>
  <conditionalFormatting sqref="B55:B59">
    <cfRule type="expression" dxfId="1433" priority="106">
      <formula>$A55="A"</formula>
    </cfRule>
  </conditionalFormatting>
  <conditionalFormatting sqref="B42">
    <cfRule type="expression" dxfId="1432" priority="105">
      <formula>$A42="A"</formula>
    </cfRule>
  </conditionalFormatting>
  <conditionalFormatting sqref="F42">
    <cfRule type="cellIs" dxfId="1431" priority="103" stopIfTrue="1" operator="equal">
      <formula>"E7"</formula>
    </cfRule>
    <cfRule type="cellIs" dxfId="1430" priority="104" stopIfTrue="1" operator="equal">
      <formula>"E7A"</formula>
    </cfRule>
  </conditionalFormatting>
  <conditionalFormatting sqref="B43:B47">
    <cfRule type="expression" dxfId="1429" priority="102">
      <formula>$A43="A"</formula>
    </cfRule>
  </conditionalFormatting>
  <conditionalFormatting sqref="F43:F47">
    <cfRule type="cellIs" dxfId="1428" priority="100" stopIfTrue="1" operator="equal">
      <formula>"E7"</formula>
    </cfRule>
    <cfRule type="cellIs" dxfId="1427" priority="101" stopIfTrue="1" operator="equal">
      <formula>"E7A"</formula>
    </cfRule>
  </conditionalFormatting>
  <conditionalFormatting sqref="F60:F62">
    <cfRule type="cellIs" dxfId="1426" priority="98" stopIfTrue="1" operator="equal">
      <formula>"E7"</formula>
    </cfRule>
    <cfRule type="cellIs" dxfId="1425" priority="99" stopIfTrue="1" operator="equal">
      <formula>"E7A"</formula>
    </cfRule>
  </conditionalFormatting>
  <conditionalFormatting sqref="B60:B62">
    <cfRule type="expression" dxfId="1424" priority="97">
      <formula>$A60="A"</formula>
    </cfRule>
  </conditionalFormatting>
  <conditionalFormatting sqref="F63">
    <cfRule type="cellIs" dxfId="1423" priority="95" stopIfTrue="1" operator="equal">
      <formula>"E7"</formula>
    </cfRule>
    <cfRule type="cellIs" dxfId="1422" priority="96" stopIfTrue="1" operator="equal">
      <formula>"E7A"</formula>
    </cfRule>
  </conditionalFormatting>
  <conditionalFormatting sqref="F64">
    <cfRule type="cellIs" dxfId="1421" priority="93" stopIfTrue="1" operator="equal">
      <formula>"E7"</formula>
    </cfRule>
    <cfRule type="cellIs" dxfId="1420" priority="94" stopIfTrue="1" operator="equal">
      <formula>"E7A"</formula>
    </cfRule>
  </conditionalFormatting>
  <conditionalFormatting sqref="B63">
    <cfRule type="expression" dxfId="1419" priority="92">
      <formula>$A63="A"</formula>
    </cfRule>
  </conditionalFormatting>
  <conditionalFormatting sqref="B64">
    <cfRule type="expression" dxfId="1418" priority="91">
      <formula>$A64="A"</formula>
    </cfRule>
  </conditionalFormatting>
  <conditionalFormatting sqref="F65">
    <cfRule type="cellIs" dxfId="1417" priority="89" stopIfTrue="1" operator="equal">
      <formula>"E7"</formula>
    </cfRule>
    <cfRule type="cellIs" dxfId="1416" priority="90" stopIfTrue="1" operator="equal">
      <formula>"E7A"</formula>
    </cfRule>
  </conditionalFormatting>
  <conditionalFormatting sqref="B65">
    <cfRule type="expression" dxfId="1415" priority="88">
      <formula>$A65="A"</formula>
    </cfRule>
  </conditionalFormatting>
  <conditionalFormatting sqref="F69:F70">
    <cfRule type="cellIs" dxfId="1414" priority="86" stopIfTrue="1" operator="equal">
      <formula>"E7"</formula>
    </cfRule>
    <cfRule type="cellIs" dxfId="1413" priority="87" stopIfTrue="1" operator="equal">
      <formula>"E7A"</formula>
    </cfRule>
  </conditionalFormatting>
  <conditionalFormatting sqref="B71">
    <cfRule type="expression" dxfId="1412" priority="85">
      <formula>$A71="A"</formula>
    </cfRule>
  </conditionalFormatting>
  <conditionalFormatting sqref="F71 F73:F74">
    <cfRule type="cellIs" dxfId="1411" priority="83" stopIfTrue="1" operator="equal">
      <formula>"E7"</formula>
    </cfRule>
    <cfRule type="cellIs" dxfId="1410" priority="84" stopIfTrue="1" operator="equal">
      <formula>"E7A"</formula>
    </cfRule>
  </conditionalFormatting>
  <conditionalFormatting sqref="B75:B76">
    <cfRule type="expression" dxfId="1409" priority="82">
      <formula>$A75="A"</formula>
    </cfRule>
  </conditionalFormatting>
  <conditionalFormatting sqref="F75:F76">
    <cfRule type="cellIs" dxfId="1408" priority="80" stopIfTrue="1" operator="equal">
      <formula>"E7"</formula>
    </cfRule>
    <cfRule type="cellIs" dxfId="1407" priority="81" stopIfTrue="1" operator="equal">
      <formula>"E7A"</formula>
    </cfRule>
  </conditionalFormatting>
  <conditionalFormatting sqref="B77:B78">
    <cfRule type="expression" dxfId="1406" priority="79">
      <formula>$A77="A"</formula>
    </cfRule>
  </conditionalFormatting>
  <conditionalFormatting sqref="F77:F78">
    <cfRule type="cellIs" dxfId="1405" priority="77" stopIfTrue="1" operator="equal">
      <formula>"E7"</formula>
    </cfRule>
    <cfRule type="cellIs" dxfId="1404" priority="78" stopIfTrue="1" operator="equal">
      <formula>"E7A"</formula>
    </cfRule>
  </conditionalFormatting>
  <conditionalFormatting sqref="B79:B80">
    <cfRule type="expression" dxfId="1403" priority="76">
      <formula>$A79="A"</formula>
    </cfRule>
  </conditionalFormatting>
  <conditionalFormatting sqref="F79:F80">
    <cfRule type="cellIs" dxfId="1402" priority="74" stopIfTrue="1" operator="equal">
      <formula>"E7"</formula>
    </cfRule>
    <cfRule type="cellIs" dxfId="1401" priority="75" stopIfTrue="1" operator="equal">
      <formula>"E7A"</formula>
    </cfRule>
  </conditionalFormatting>
  <conditionalFormatting sqref="B72">
    <cfRule type="expression" dxfId="1400" priority="73">
      <formula>$A72="A"</formula>
    </cfRule>
  </conditionalFormatting>
  <conditionalFormatting sqref="F72">
    <cfRule type="cellIs" dxfId="1399" priority="71" stopIfTrue="1" operator="equal">
      <formula>"E7"</formula>
    </cfRule>
    <cfRule type="cellIs" dxfId="1398" priority="72" stopIfTrue="1" operator="equal">
      <formula>"E7A"</formula>
    </cfRule>
  </conditionalFormatting>
  <conditionalFormatting sqref="B50">
    <cfRule type="expression" dxfId="1397" priority="70">
      <formula>$A50="A"</formula>
    </cfRule>
  </conditionalFormatting>
  <conditionalFormatting sqref="F50">
    <cfRule type="cellIs" dxfId="1396" priority="68" stopIfTrue="1" operator="equal">
      <formula>"E7"</formula>
    </cfRule>
    <cfRule type="cellIs" dxfId="1395" priority="69" stopIfTrue="1" operator="equal">
      <formula>"E7A"</formula>
    </cfRule>
  </conditionalFormatting>
  <conditionalFormatting sqref="F66:F68">
    <cfRule type="cellIs" dxfId="1394" priority="66" stopIfTrue="1" operator="equal">
      <formula>"E7"</formula>
    </cfRule>
    <cfRule type="cellIs" dxfId="1393" priority="67" stopIfTrue="1" operator="equal">
      <formula>"E7A"</formula>
    </cfRule>
  </conditionalFormatting>
  <conditionalFormatting sqref="B66:B68">
    <cfRule type="expression" dxfId="1392" priority="65">
      <formula>$A66="A"</formula>
    </cfRule>
  </conditionalFormatting>
  <conditionalFormatting sqref="F10">
    <cfRule type="cellIs" dxfId="1391" priority="63" stopIfTrue="1" operator="equal">
      <formula>"E7"</formula>
    </cfRule>
    <cfRule type="cellIs" dxfId="1390" priority="64" stopIfTrue="1" operator="equal">
      <formula>"E7A"</formula>
    </cfRule>
  </conditionalFormatting>
  <conditionalFormatting sqref="F11">
    <cfRule type="cellIs" dxfId="1389" priority="61" stopIfTrue="1" operator="equal">
      <formula>"E7"</formula>
    </cfRule>
    <cfRule type="cellIs" dxfId="1388" priority="62" stopIfTrue="1" operator="equal">
      <formula>"E7A"</formula>
    </cfRule>
  </conditionalFormatting>
  <conditionalFormatting sqref="F12">
    <cfRule type="cellIs" dxfId="1387" priority="59" stopIfTrue="1" operator="equal">
      <formula>"E7"</formula>
    </cfRule>
    <cfRule type="cellIs" dxfId="1386" priority="60" stopIfTrue="1" operator="equal">
      <formula>"E7A"</formula>
    </cfRule>
  </conditionalFormatting>
  <conditionalFormatting sqref="EQ6">
    <cfRule type="expression" dxfId="1385" priority="56">
      <formula>EQ200=0</formula>
    </cfRule>
  </conditionalFormatting>
  <conditionalFormatting sqref="EQ4">
    <cfRule type="duplicateValues" dxfId="1384" priority="57"/>
  </conditionalFormatting>
  <conditionalFormatting sqref="EQ1">
    <cfRule type="duplicateValues" dxfId="1383" priority="58"/>
  </conditionalFormatting>
  <conditionalFormatting sqref="GG1:GO1">
    <cfRule type="duplicateValues" dxfId="1382" priority="55"/>
  </conditionalFormatting>
  <conditionalFormatting sqref="FG6">
    <cfRule type="expression" dxfId="1381" priority="52">
      <formula>FG200=0</formula>
    </cfRule>
  </conditionalFormatting>
  <conditionalFormatting sqref="FG1">
    <cfRule type="duplicateValues" dxfId="1380" priority="53"/>
  </conditionalFormatting>
  <conditionalFormatting sqref="FG4">
    <cfRule type="duplicateValues" dxfId="1379" priority="54"/>
  </conditionalFormatting>
  <conditionalFormatting sqref="FA6">
    <cfRule type="expression" dxfId="1378" priority="50">
      <formula>FA200=0</formula>
    </cfRule>
  </conditionalFormatting>
  <conditionalFormatting sqref="FA4">
    <cfRule type="duplicateValues" dxfId="1377" priority="51"/>
  </conditionalFormatting>
  <conditionalFormatting sqref="DX6">
    <cfRule type="expression" dxfId="1376" priority="48">
      <formula>DX200=0</formula>
    </cfRule>
  </conditionalFormatting>
  <conditionalFormatting sqref="DX4">
    <cfRule type="duplicateValues" dxfId="1375" priority="47"/>
  </conditionalFormatting>
  <conditionalFormatting sqref="DX1">
    <cfRule type="duplicateValues" dxfId="1374" priority="49"/>
  </conditionalFormatting>
  <conditionalFormatting sqref="EC6">
    <cfRule type="expression" dxfId="1373" priority="44">
      <formula>EC200=0</formula>
    </cfRule>
  </conditionalFormatting>
  <conditionalFormatting sqref="EC4">
    <cfRule type="duplicateValues" dxfId="1372" priority="45"/>
  </conditionalFormatting>
  <conditionalFormatting sqref="EC1">
    <cfRule type="duplicateValues" dxfId="1371" priority="46"/>
  </conditionalFormatting>
  <conditionalFormatting sqref="DU6">
    <cfRule type="expression" dxfId="1370" priority="41">
      <formula>DU200=0</formula>
    </cfRule>
  </conditionalFormatting>
  <conditionalFormatting sqref="DU4">
    <cfRule type="duplicateValues" dxfId="1369" priority="42"/>
  </conditionalFormatting>
  <conditionalFormatting sqref="DU1">
    <cfRule type="duplicateValues" dxfId="1368" priority="43"/>
  </conditionalFormatting>
  <conditionalFormatting sqref="DN6">
    <cfRule type="expression" dxfId="1367" priority="38">
      <formula>DN200=0</formula>
    </cfRule>
  </conditionalFormatting>
  <conditionalFormatting sqref="DN4">
    <cfRule type="duplicateValues" dxfId="1366" priority="39"/>
  </conditionalFormatting>
  <conditionalFormatting sqref="DN1">
    <cfRule type="duplicateValues" dxfId="1365" priority="40"/>
  </conditionalFormatting>
  <conditionalFormatting sqref="DC6">
    <cfRule type="expression" dxfId="1364" priority="35">
      <formula>DC200=0</formula>
    </cfRule>
  </conditionalFormatting>
  <conditionalFormatting sqref="DC4">
    <cfRule type="duplicateValues" dxfId="1363" priority="36"/>
  </conditionalFormatting>
  <conditionalFormatting sqref="DC1">
    <cfRule type="duplicateValues" dxfId="1362" priority="37"/>
  </conditionalFormatting>
  <conditionalFormatting sqref="DI6">
    <cfRule type="expression" dxfId="1361" priority="32">
      <formula>DI200=0</formula>
    </cfRule>
  </conditionalFormatting>
  <conditionalFormatting sqref="DI4">
    <cfRule type="duplicateValues" dxfId="1360" priority="33"/>
  </conditionalFormatting>
  <conditionalFormatting sqref="DI1">
    <cfRule type="duplicateValues" dxfId="1359" priority="34"/>
  </conditionalFormatting>
  <conditionalFormatting sqref="CG6">
    <cfRule type="expression" dxfId="1358" priority="29">
      <formula>CG200=0</formula>
    </cfRule>
  </conditionalFormatting>
  <conditionalFormatting sqref="CG4">
    <cfRule type="duplicateValues" dxfId="1357" priority="30"/>
  </conditionalFormatting>
  <conditionalFormatting sqref="CG1">
    <cfRule type="duplicateValues" dxfId="1356" priority="31"/>
  </conditionalFormatting>
  <conditionalFormatting sqref="CA6">
    <cfRule type="expression" dxfId="1355" priority="26">
      <formula>CA200=0</formula>
    </cfRule>
  </conditionalFormatting>
  <conditionalFormatting sqref="CA4">
    <cfRule type="duplicateValues" dxfId="1354" priority="27"/>
  </conditionalFormatting>
  <conditionalFormatting sqref="CA1">
    <cfRule type="duplicateValues" dxfId="1353" priority="28"/>
  </conditionalFormatting>
  <conditionalFormatting sqref="CC6">
    <cfRule type="expression" dxfId="1352" priority="24">
      <formula>CC200=0</formula>
    </cfRule>
  </conditionalFormatting>
  <conditionalFormatting sqref="CC4">
    <cfRule type="duplicateValues" dxfId="1351" priority="25"/>
  </conditionalFormatting>
  <conditionalFormatting sqref="CE6">
    <cfRule type="expression" dxfId="1350" priority="21">
      <formula>CE200=0</formula>
    </cfRule>
  </conditionalFormatting>
  <conditionalFormatting sqref="CE4">
    <cfRule type="duplicateValues" dxfId="1349" priority="22"/>
  </conditionalFormatting>
  <conditionalFormatting sqref="CE1">
    <cfRule type="duplicateValues" dxfId="1348" priority="23"/>
  </conditionalFormatting>
  <conditionalFormatting sqref="CM6">
    <cfRule type="expression" dxfId="1347" priority="18">
      <formula>CM200=0</formula>
    </cfRule>
  </conditionalFormatting>
  <conditionalFormatting sqref="CM4">
    <cfRule type="duplicateValues" dxfId="1346" priority="19"/>
  </conditionalFormatting>
  <conditionalFormatting sqref="CM1">
    <cfRule type="duplicateValues" dxfId="1345" priority="20"/>
  </conditionalFormatting>
  <conditionalFormatting sqref="BU6">
    <cfRule type="expression" dxfId="1344" priority="15">
      <formula>BU200=0</formula>
    </cfRule>
  </conditionalFormatting>
  <conditionalFormatting sqref="BU4">
    <cfRule type="duplicateValues" dxfId="1343" priority="16"/>
  </conditionalFormatting>
  <conditionalFormatting sqref="BU1">
    <cfRule type="duplicateValues" dxfId="1342" priority="17"/>
  </conditionalFormatting>
  <conditionalFormatting sqref="AZ6">
    <cfRule type="expression" dxfId="1341" priority="12">
      <formula>AZ200=0</formula>
    </cfRule>
  </conditionalFormatting>
  <conditionalFormatting sqref="AZ4">
    <cfRule type="duplicateValues" dxfId="1340" priority="13"/>
  </conditionalFormatting>
  <conditionalFormatting sqref="AZ1">
    <cfRule type="duplicateValues" dxfId="1339" priority="14"/>
  </conditionalFormatting>
  <conditionalFormatting sqref="AS1:AV1">
    <cfRule type="duplicateValues" dxfId="1338" priority="11"/>
  </conditionalFormatting>
  <conditionalFormatting sqref="FA1:FB1">
    <cfRule type="duplicateValues" dxfId="1337" priority="10"/>
  </conditionalFormatting>
  <conditionalFormatting sqref="CB1">
    <cfRule type="duplicateValues" dxfId="1336" priority="9"/>
  </conditionalFormatting>
  <conditionalFormatting sqref="CC1:CD1">
    <cfRule type="duplicateValues" dxfId="1335" priority="8"/>
  </conditionalFormatting>
  <conditionalFormatting sqref="AW1">
    <cfRule type="duplicateValues" dxfId="1334" priority="7"/>
  </conditionalFormatting>
  <conditionalFormatting sqref="AX1">
    <cfRule type="duplicateValues" dxfId="1333" priority="6"/>
  </conditionalFormatting>
  <conditionalFormatting sqref="A5:DR5 DT5:GV5">
    <cfRule type="duplicateValues" dxfId="1332" priority="5"/>
  </conditionalFormatting>
  <conditionalFormatting sqref="DS6">
    <cfRule type="expression" dxfId="1331" priority="2">
      <formula>DS200=0</formula>
    </cfRule>
  </conditionalFormatting>
  <conditionalFormatting sqref="DS4">
    <cfRule type="duplicateValues" dxfId="1330" priority="3"/>
  </conditionalFormatting>
  <conditionalFormatting sqref="DS1">
    <cfRule type="duplicateValues" dxfId="1329" priority="4"/>
  </conditionalFormatting>
  <conditionalFormatting sqref="DS5">
    <cfRule type="duplicateValues" dxfId="1328" priority="1"/>
  </conditionalFormatting>
  <conditionalFormatting sqref="DW6 DY6">
    <cfRule type="expression" dxfId="1327" priority="184">
      <formula>DW$201&gt;0</formula>
    </cfRule>
    <cfRule type="duplicateValues" dxfId="1326" priority="185"/>
  </conditionalFormatting>
  <conditionalFormatting sqref="H6:AT6 DZ6:EB6 BM6:BT6 AW6:AY6 ER6:EX6 ED6:EP6 DV6 DO6:DR6 DD6:DH6 DJ6:DM6 CH6:CL6 CB6 CD6 CF6 CN6:DB6 BV6:BZ6 BA6:BJ6 DT6">
    <cfRule type="expression" dxfId="1325" priority="186">
      <formula>H$201&gt;0</formula>
    </cfRule>
    <cfRule type="duplicateValues" dxfId="1324" priority="187"/>
  </conditionalFormatting>
  <conditionalFormatting sqref="BK6">
    <cfRule type="expression" dxfId="1323" priority="188">
      <formula>BK$201&gt;0</formula>
    </cfRule>
    <cfRule type="duplicateValues" dxfId="1322" priority="189"/>
  </conditionalFormatting>
  <conditionalFormatting sqref="BL6">
    <cfRule type="expression" dxfId="1321" priority="190">
      <formula>BL$201&gt;0</formula>
    </cfRule>
    <cfRule type="duplicateValues" dxfId="1320" priority="191"/>
  </conditionalFormatting>
  <conditionalFormatting sqref="AU6">
    <cfRule type="expression" dxfId="1319" priority="192">
      <formula>AU$201&gt;0</formula>
    </cfRule>
    <cfRule type="duplicateValues" dxfId="1318" priority="193"/>
  </conditionalFormatting>
  <conditionalFormatting sqref="AV6">
    <cfRule type="expression" dxfId="1317" priority="194">
      <formula>AV$201&gt;0</formula>
    </cfRule>
    <cfRule type="duplicateValues" dxfId="1316" priority="195"/>
  </conditionalFormatting>
  <conditionalFormatting sqref="EY6:EZ6 GN6:GO6 FH6:GJ6 FB6:FF6">
    <cfRule type="expression" dxfId="1315" priority="196">
      <formula>EY$201&gt;0</formula>
    </cfRule>
    <cfRule type="duplicateValues" dxfId="1314" priority="197"/>
  </conditionalFormatting>
  <conditionalFormatting sqref="GK6:GM6">
    <cfRule type="expression" dxfId="1313" priority="198">
      <formula>GK$201&gt;0</formula>
    </cfRule>
    <cfRule type="duplicateValues" dxfId="1312" priority="199"/>
  </conditionalFormatting>
  <conditionalFormatting sqref="EQ6">
    <cfRule type="expression" dxfId="1311" priority="200">
      <formula>EQ$201&gt;0</formula>
    </cfRule>
    <cfRule type="duplicateValues" dxfId="1310" priority="201"/>
  </conditionalFormatting>
  <conditionalFormatting sqref="FG6">
    <cfRule type="expression" dxfId="1309" priority="202">
      <formula>FG$201&gt;0</formula>
    </cfRule>
    <cfRule type="duplicateValues" dxfId="1308" priority="203"/>
  </conditionalFormatting>
  <conditionalFormatting sqref="FA6">
    <cfRule type="expression" dxfId="1307" priority="204">
      <formula>FA$201&gt;0</formula>
    </cfRule>
    <cfRule type="duplicateValues" dxfId="1306" priority="205"/>
  </conditionalFormatting>
  <conditionalFormatting sqref="DX6">
    <cfRule type="expression" dxfId="1305" priority="206">
      <formula>DX$201&gt;0</formula>
    </cfRule>
    <cfRule type="duplicateValues" dxfId="1304" priority="207"/>
  </conditionalFormatting>
  <conditionalFormatting sqref="EC6">
    <cfRule type="expression" dxfId="1303" priority="208">
      <formula>EC$201&gt;0</formula>
    </cfRule>
    <cfRule type="duplicateValues" dxfId="1302" priority="209"/>
  </conditionalFormatting>
  <conditionalFormatting sqref="DU6">
    <cfRule type="expression" dxfId="1301" priority="210">
      <formula>DU$201&gt;0</formula>
    </cfRule>
    <cfRule type="duplicateValues" dxfId="1300" priority="211"/>
  </conditionalFormatting>
  <conditionalFormatting sqref="DN6">
    <cfRule type="expression" dxfId="1299" priority="212">
      <formula>DN$201&gt;0</formula>
    </cfRule>
    <cfRule type="duplicateValues" dxfId="1298" priority="213"/>
  </conditionalFormatting>
  <conditionalFormatting sqref="DC6">
    <cfRule type="expression" dxfId="1297" priority="214">
      <formula>DC$201&gt;0</formula>
    </cfRule>
    <cfRule type="duplicateValues" dxfId="1296" priority="215"/>
  </conditionalFormatting>
  <conditionalFormatting sqref="DI6">
    <cfRule type="expression" dxfId="1295" priority="216">
      <formula>DI$201&gt;0</formula>
    </cfRule>
    <cfRule type="duplicateValues" dxfId="1294" priority="217"/>
  </conditionalFormatting>
  <conditionalFormatting sqref="CG6">
    <cfRule type="expression" dxfId="1293" priority="218">
      <formula>CG$201&gt;0</formula>
    </cfRule>
    <cfRule type="duplicateValues" dxfId="1292" priority="219"/>
  </conditionalFormatting>
  <conditionalFormatting sqref="CA6">
    <cfRule type="expression" dxfId="1291" priority="220">
      <formula>CA$201&gt;0</formula>
    </cfRule>
    <cfRule type="duplicateValues" dxfId="1290" priority="221"/>
  </conditionalFormatting>
  <conditionalFormatting sqref="CC6">
    <cfRule type="expression" dxfId="1289" priority="222">
      <formula>CC$201&gt;0</formula>
    </cfRule>
    <cfRule type="duplicateValues" dxfId="1288" priority="223"/>
  </conditionalFormatting>
  <conditionalFormatting sqref="CE6">
    <cfRule type="expression" dxfId="1287" priority="224">
      <formula>CE$201&gt;0</formula>
    </cfRule>
    <cfRule type="duplicateValues" dxfId="1286" priority="225"/>
  </conditionalFormatting>
  <conditionalFormatting sqref="CM6">
    <cfRule type="expression" dxfId="1285" priority="226">
      <formula>CM$201&gt;0</formula>
    </cfRule>
    <cfRule type="duplicateValues" dxfId="1284" priority="227"/>
  </conditionalFormatting>
  <conditionalFormatting sqref="BU6">
    <cfRule type="expression" dxfId="1283" priority="228">
      <formula>BU$201&gt;0</formula>
    </cfRule>
    <cfRule type="duplicateValues" dxfId="1282" priority="229"/>
  </conditionalFormatting>
  <conditionalFormatting sqref="AZ6">
    <cfRule type="expression" dxfId="1281" priority="230">
      <formula>AZ$201&gt;0</formula>
    </cfRule>
    <cfRule type="duplicateValues" dxfId="1280" priority="231"/>
  </conditionalFormatting>
  <conditionalFormatting sqref="DS6">
    <cfRule type="expression" dxfId="1279" priority="232">
      <formula>DS$201&gt;0</formula>
    </cfRule>
    <cfRule type="duplicateValues" dxfId="1278" priority="23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R116"/>
  <sheetViews>
    <sheetView workbookViewId="0">
      <pane xSplit="7" ySplit="6" topLeftCell="GO96" activePane="bottomRight" state="frozen"/>
      <selection pane="topRight" activeCell="H1" sqref="H1"/>
      <selection pane="bottomLeft" activeCell="A7" sqref="A7"/>
      <selection pane="bottomRight" activeCell="GW111" sqref="GW111"/>
    </sheetView>
  </sheetViews>
  <sheetFormatPr defaultColWidth="9" defaultRowHeight="10"/>
  <cols>
    <col min="1" max="1" width="4.69921875" style="92" bestFit="1" customWidth="1"/>
    <col min="2" max="2" width="8.8984375" style="92" bestFit="1" customWidth="1"/>
    <col min="3" max="3" width="5.8984375" style="92" bestFit="1" customWidth="1"/>
    <col min="4" max="4" width="5.19921875" style="92" bestFit="1" customWidth="1"/>
    <col min="5" max="5" width="12.19921875" style="92" bestFit="1" customWidth="1"/>
    <col min="6" max="6" width="10.3984375" style="92" bestFit="1" customWidth="1"/>
    <col min="7" max="7" width="10.59765625" style="92" bestFit="1" customWidth="1"/>
    <col min="8" max="8" width="15.8984375" style="92" bestFit="1" customWidth="1"/>
    <col min="9" max="9" width="12.5" style="92" customWidth="1"/>
    <col min="10" max="10" width="22.5" style="92" customWidth="1"/>
    <col min="11" max="11" width="24.3984375" style="92" customWidth="1"/>
    <col min="12" max="12" width="15.8984375" style="92" customWidth="1"/>
    <col min="13" max="14" width="22.5" style="92" customWidth="1"/>
    <col min="15" max="15" width="24.3984375" style="92" customWidth="1"/>
    <col min="16" max="16" width="9.59765625" style="92" customWidth="1"/>
    <col min="17" max="17" width="13.8984375" style="92" customWidth="1"/>
    <col min="18" max="18" width="20.5" style="92" customWidth="1"/>
    <col min="19" max="19" width="22.5" style="92" customWidth="1"/>
    <col min="20" max="20" width="8.5" style="92" customWidth="1"/>
    <col min="21" max="21" width="15.8984375" style="92" customWidth="1"/>
    <col min="22" max="22" width="22.19921875" style="92" customWidth="1"/>
    <col min="23" max="24" width="24.3984375" style="92" customWidth="1"/>
    <col min="25" max="25" width="20.09765625" style="92" customWidth="1"/>
    <col min="26" max="26" width="12.19921875" style="92" customWidth="1"/>
    <col min="27" max="27" width="11" style="92" customWidth="1"/>
    <col min="28" max="28" width="9.5" style="92" customWidth="1"/>
    <col min="29" max="29" width="8.69921875" style="92" customWidth="1"/>
    <col min="30" max="30" width="9.5" style="92" customWidth="1"/>
    <col min="31" max="31" width="11" style="92" customWidth="1"/>
    <col min="32" max="32" width="9.59765625" style="92" customWidth="1"/>
    <col min="33" max="33" width="9.09765625" style="92" customWidth="1"/>
    <col min="34" max="34" width="8.5" style="92" customWidth="1"/>
    <col min="35" max="35" width="11" style="92" customWidth="1"/>
    <col min="36" max="36" width="11.3984375" style="92" customWidth="1"/>
    <col min="37" max="37" width="10.8984375" style="92" customWidth="1"/>
    <col min="38" max="38" width="10.3984375" style="92" customWidth="1"/>
    <col min="39" max="39" width="11.8984375" style="92" customWidth="1"/>
    <col min="40" max="40" width="11.69921875" style="92" customWidth="1"/>
    <col min="41" max="41" width="11.3984375" style="92" customWidth="1"/>
    <col min="42" max="43" width="10.5" style="92" customWidth="1"/>
    <col min="44" max="44" width="9.8984375" style="92" customWidth="1"/>
    <col min="45" max="47" width="10.3984375" style="92" customWidth="1"/>
    <col min="48" max="48" width="10" style="92" customWidth="1"/>
    <col min="49" max="49" width="11.19921875" style="92" customWidth="1"/>
    <col min="50" max="50" width="12.5" style="92" customWidth="1"/>
    <col min="51" max="51" width="10.3984375" style="92" customWidth="1"/>
    <col min="52" max="52" width="22.5" style="92" customWidth="1"/>
    <col min="53" max="53" width="24.3984375" style="92" customWidth="1"/>
    <col min="54" max="54" width="23.09765625" style="92" customWidth="1"/>
    <col min="55" max="55" width="23.19921875" style="92" customWidth="1"/>
    <col min="56" max="56" width="20.09765625" style="92" customWidth="1"/>
    <col min="57" max="57" width="9.19921875" style="92" customWidth="1"/>
    <col min="58" max="58" width="9.69921875" style="92" customWidth="1"/>
    <col min="59" max="59" width="9.8984375" style="92" customWidth="1"/>
    <col min="60" max="62" width="10.3984375" style="92" customWidth="1"/>
    <col min="63" max="63" width="10" style="92" customWidth="1"/>
    <col min="64" max="64" width="10.19921875" style="92" customWidth="1"/>
    <col min="65" max="65" width="11.5" style="92" customWidth="1"/>
    <col min="66" max="66" width="9.5" style="92" customWidth="1"/>
    <col min="67" max="68" width="10" style="92" customWidth="1"/>
    <col min="69" max="70" width="9.8984375" style="92" customWidth="1"/>
    <col min="71" max="71" width="8.8984375" style="92" customWidth="1"/>
    <col min="72" max="72" width="9.8984375" style="92" customWidth="1"/>
    <col min="73" max="74" width="10.3984375" style="92" customWidth="1"/>
    <col min="75" max="75" width="10" style="92" customWidth="1"/>
    <col min="76" max="76" width="10.3984375" style="92" customWidth="1"/>
    <col min="77" max="77" width="11.19921875" style="92" customWidth="1"/>
    <col min="78" max="79" width="12.5" style="92" customWidth="1"/>
    <col min="80" max="80" width="21.8984375" style="92" customWidth="1"/>
    <col min="81" max="81" width="22.5" style="92" customWidth="1"/>
    <col min="82" max="83" width="11" style="92" customWidth="1"/>
    <col min="84" max="84" width="12.59765625" style="92" customWidth="1"/>
    <col min="85" max="85" width="24.3984375" style="92" customWidth="1"/>
    <col min="86" max="86" width="23.09765625" style="92" customWidth="1"/>
    <col min="87" max="87" width="23.19921875" style="92" customWidth="1"/>
    <col min="88" max="88" width="20.09765625" style="92" customWidth="1"/>
    <col min="89" max="89" width="9.5" style="92" customWidth="1"/>
    <col min="90" max="90" width="9.19921875" style="92" customWidth="1"/>
    <col min="91" max="91" width="21.5" style="92" customWidth="1"/>
    <col min="92" max="92" width="23.5" style="92" customWidth="1"/>
    <col min="93" max="93" width="22.19921875" style="92" customWidth="1"/>
    <col min="94" max="94" width="22.3984375" style="92" customWidth="1"/>
    <col min="95" max="95" width="19.09765625" style="92" customWidth="1"/>
    <col min="96" max="96" width="21.5" style="92" customWidth="1"/>
    <col min="97" max="97" width="23.5" style="92" customWidth="1"/>
    <col min="98" max="98" width="22.19921875" style="92" customWidth="1"/>
    <col min="99" max="99" width="22.3984375" style="92" customWidth="1"/>
    <col min="100" max="100" width="19.09765625" style="92" customWidth="1"/>
    <col min="101" max="101" width="10" style="92" customWidth="1"/>
    <col min="102" max="102" width="21.5" style="92" customWidth="1"/>
    <col min="103" max="103" width="10.59765625" style="92" customWidth="1"/>
    <col min="104" max="104" width="27.3984375" style="92" customWidth="1"/>
    <col min="105" max="105" width="23.5" style="92" customWidth="1"/>
    <col min="106" max="106" width="22.19921875" style="92" customWidth="1"/>
    <col min="107" max="107" width="22.3984375" style="92" customWidth="1"/>
    <col min="108" max="108" width="11.3984375" style="92" customWidth="1"/>
    <col min="109" max="109" width="10.8984375" style="92" customWidth="1"/>
    <col min="110" max="110" width="9.59765625" style="92" customWidth="1"/>
    <col min="111" max="111" width="9.5" style="92" customWidth="1"/>
    <col min="112" max="112" width="19.09765625" style="92" customWidth="1"/>
    <col min="113" max="113" width="10" style="92" customWidth="1"/>
    <col min="114" max="114" width="10.59765625" style="92" customWidth="1"/>
    <col min="115" max="115" width="24.3984375" style="92" customWidth="1"/>
    <col min="116" max="116" width="23.09765625" style="92" customWidth="1"/>
    <col min="117" max="117" width="23.19921875" style="92" customWidth="1"/>
    <col min="118" max="118" width="20.09765625" style="92" customWidth="1"/>
    <col min="119" max="119" width="10" style="92" customWidth="1"/>
    <col min="120" max="120" width="12.8984375" style="92" customWidth="1"/>
    <col min="121" max="121" width="12.59765625" style="92" customWidth="1"/>
    <col min="122" max="122" width="9.8984375" style="92" customWidth="1"/>
    <col min="123" max="123" width="11.09765625" style="92" customWidth="1"/>
    <col min="124" max="124" width="12.59765625" style="92" customWidth="1"/>
    <col min="125" max="125" width="11.19921875" style="92" customWidth="1"/>
    <col min="126" max="126" width="10.3984375" style="92" customWidth="1"/>
    <col min="127" max="127" width="12.3984375" style="92" customWidth="1"/>
    <col min="128" max="128" width="15.59765625" style="92" customWidth="1"/>
    <col min="129" max="129" width="11" style="92" customWidth="1"/>
    <col min="130" max="130" width="11.8984375" style="92" customWidth="1"/>
    <col min="131" max="131" width="15.19921875" style="92" customWidth="1"/>
    <col min="132" max="132" width="10.3984375" style="92" customWidth="1"/>
    <col min="133" max="133" width="10.5" style="92" customWidth="1"/>
    <col min="134" max="134" width="9.5" style="92" customWidth="1"/>
    <col min="135" max="135" width="10.5" style="92" customWidth="1"/>
    <col min="136" max="136" width="11" style="92" customWidth="1"/>
    <col min="137" max="137" width="11.8984375" style="92" customWidth="1"/>
    <col min="138" max="138" width="10.3984375" style="92" customWidth="1"/>
    <col min="139" max="139" width="10.5" style="92" customWidth="1"/>
    <col min="140" max="140" width="12.3984375" style="92" customWidth="1"/>
    <col min="141" max="141" width="12.19921875" style="92" customWidth="1"/>
    <col min="142" max="142" width="16" style="92" customWidth="1"/>
    <col min="143" max="143" width="11.19921875" style="92" customWidth="1"/>
    <col min="144" max="144" width="10.8984375" style="92" customWidth="1"/>
    <col min="145" max="145" width="15.5" style="92" customWidth="1"/>
    <col min="146" max="146" width="12.5" style="92" customWidth="1"/>
    <col min="147" max="147" width="10.8984375" style="92" customWidth="1"/>
    <col min="148" max="148" width="8.8984375" style="92" customWidth="1"/>
    <col min="149" max="149" width="10.5" style="92" customWidth="1"/>
    <col min="150" max="150" width="11" style="92" customWidth="1"/>
    <col min="151" max="151" width="15.19921875" style="92" customWidth="1"/>
    <col min="152" max="152" width="19.8984375" style="92" customWidth="1"/>
    <col min="153" max="153" width="16" style="92" customWidth="1"/>
    <col min="154" max="154" width="15.5" style="92" customWidth="1"/>
    <col min="155" max="155" width="22.3984375" style="92" customWidth="1"/>
    <col min="156" max="156" width="19.5" style="92" customWidth="1"/>
    <col min="157" max="157" width="15.59765625" style="92" customWidth="1"/>
    <col min="158" max="158" width="15.3984375" style="92" customWidth="1"/>
    <col min="159" max="159" width="10.3984375" style="92" customWidth="1"/>
    <col min="160" max="160" width="16.8984375" style="92" customWidth="1"/>
    <col min="161" max="161" width="15" style="92" customWidth="1"/>
    <col min="162" max="162" width="15.19921875" style="92" customWidth="1"/>
    <col min="163" max="163" width="10.3984375" style="92" customWidth="1"/>
    <col min="164" max="164" width="11.8984375" style="92" customWidth="1"/>
    <col min="165" max="165" width="15.59765625" style="92" customWidth="1"/>
    <col min="166" max="166" width="15.3984375" style="92" customWidth="1"/>
    <col min="167" max="167" width="17.09765625" style="92" customWidth="1"/>
    <col min="168" max="168" width="11.8984375" style="92" customWidth="1"/>
    <col min="169" max="169" width="15" style="92" customWidth="1"/>
    <col min="170" max="170" width="14.3984375" style="92" customWidth="1"/>
    <col min="171" max="171" width="15.59765625" style="92" customWidth="1"/>
    <col min="172" max="172" width="15.19921875" style="92" customWidth="1"/>
    <col min="173" max="173" width="11.5" style="92" customWidth="1"/>
    <col min="174" max="174" width="10.09765625" style="92" customWidth="1"/>
    <col min="175" max="175" width="11" style="92" customWidth="1"/>
    <col min="176" max="176" width="11.3984375" style="92" customWidth="1"/>
    <col min="177" max="177" width="11.09765625" style="92" customWidth="1"/>
    <col min="178" max="178" width="11.3984375" style="92" customWidth="1"/>
    <col min="179" max="179" width="10.8984375" style="92" customWidth="1"/>
    <col min="180" max="180" width="11.3984375" style="92" customWidth="1"/>
    <col min="181" max="181" width="10.8984375" style="92" customWidth="1"/>
    <col min="182" max="182" width="11.3984375" style="92" customWidth="1"/>
    <col min="183" max="183" width="10.5" style="92" customWidth="1"/>
    <col min="184" max="184" width="11.3984375" style="92" customWidth="1"/>
    <col min="185" max="186" width="11.69921875" style="92" customWidth="1"/>
    <col min="187" max="187" width="11.3984375" style="92" customWidth="1"/>
    <col min="188" max="188" width="10.59765625" style="92" customWidth="1"/>
    <col min="189" max="191" width="9.09765625" style="92" customWidth="1"/>
    <col min="192" max="194" width="10.09765625" style="92" customWidth="1"/>
    <col min="195" max="197" width="9" style="92" customWidth="1"/>
    <col min="198" max="198" width="9.59765625" style="92" customWidth="1"/>
    <col min="199" max="199" width="9" style="92" customWidth="1"/>
    <col min="200" max="200" width="4.69921875" style="92" customWidth="1"/>
    <col min="201" max="201" width="6.3984375" style="92" customWidth="1"/>
    <col min="202" max="202" width="5.19921875" style="92" customWidth="1"/>
    <col min="203" max="203" width="12.59765625" style="92" bestFit="1" customWidth="1"/>
    <col min="204" max="204" width="9.5" style="92" bestFit="1" customWidth="1"/>
    <col min="205" max="205" width="6.3984375" style="92" bestFit="1" customWidth="1"/>
    <col min="206" max="206" width="14.09765625" style="92" bestFit="1" customWidth="1"/>
    <col min="207" max="207" width="5" style="92" bestFit="1" customWidth="1"/>
    <col min="208" max="303" width="9" style="92"/>
    <col min="304" max="304" width="6" style="92" bestFit="1" customWidth="1"/>
    <col min="305" max="16384" width="9" style="92"/>
  </cols>
  <sheetData>
    <row r="1" spans="1:207" s="212" customFormat="1" ht="11">
      <c r="A1" s="208"/>
      <c r="B1" s="208"/>
      <c r="C1" s="208"/>
      <c r="D1" s="208"/>
      <c r="E1" s="208"/>
      <c r="F1" s="208"/>
      <c r="G1" s="267" t="s">
        <v>0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  <c r="CY1" s="97"/>
      <c r="CZ1" s="97"/>
      <c r="DA1" s="97"/>
      <c r="DB1" s="97"/>
      <c r="DC1" s="97"/>
      <c r="DD1" s="97"/>
      <c r="DE1" s="97"/>
      <c r="DF1" s="97"/>
      <c r="DG1" s="97"/>
      <c r="DH1" s="97"/>
      <c r="DI1" s="97"/>
      <c r="DJ1" s="97"/>
      <c r="DK1" s="97"/>
      <c r="DL1" s="97"/>
      <c r="DM1" s="97"/>
      <c r="DN1" s="97"/>
      <c r="DO1" s="97"/>
      <c r="DP1" s="97"/>
      <c r="DQ1" s="97"/>
      <c r="DR1" s="97"/>
      <c r="DS1" s="97"/>
      <c r="DT1" s="97"/>
      <c r="DU1" s="97"/>
      <c r="DV1" s="97"/>
      <c r="DW1" s="97"/>
      <c r="DX1" s="97"/>
      <c r="DY1" s="97"/>
      <c r="DZ1" s="97"/>
      <c r="EA1" s="98" t="s">
        <v>844</v>
      </c>
      <c r="EB1" s="98" t="s">
        <v>844</v>
      </c>
      <c r="EC1" s="97"/>
      <c r="ED1" s="97"/>
      <c r="EE1" s="97"/>
      <c r="EF1" s="97"/>
      <c r="EG1" s="97"/>
      <c r="EH1" s="97"/>
      <c r="EI1" s="97"/>
      <c r="EJ1" s="97"/>
      <c r="EK1" s="97"/>
      <c r="EL1" s="98" t="s">
        <v>844</v>
      </c>
      <c r="EM1" s="97"/>
      <c r="EN1" s="97"/>
      <c r="EO1" s="97"/>
      <c r="EP1" s="97"/>
      <c r="EQ1" s="97"/>
      <c r="ER1" s="97"/>
      <c r="ES1" s="97"/>
      <c r="ET1" s="97"/>
      <c r="EU1" s="97"/>
      <c r="EV1" s="97"/>
      <c r="EW1" s="97"/>
      <c r="EX1" s="97"/>
      <c r="EY1" s="97"/>
      <c r="EZ1" s="97"/>
      <c r="FA1" s="97"/>
      <c r="FB1" s="97"/>
      <c r="FC1" s="97"/>
      <c r="FD1" s="97"/>
      <c r="FE1" s="97"/>
      <c r="FF1" s="97"/>
      <c r="FG1" s="97"/>
      <c r="FH1" s="97"/>
      <c r="FI1" s="97"/>
      <c r="FJ1" s="97"/>
      <c r="FK1" s="97"/>
      <c r="FL1" s="97"/>
      <c r="FM1" s="97"/>
      <c r="FN1" s="97"/>
      <c r="FO1" s="97"/>
      <c r="FP1" s="97"/>
      <c r="FQ1" s="97"/>
      <c r="FR1" s="97"/>
      <c r="FS1" s="97"/>
      <c r="FT1" s="97"/>
      <c r="FU1" s="97"/>
      <c r="FV1" s="97"/>
      <c r="FW1" s="97"/>
      <c r="FX1" s="97"/>
      <c r="FY1" s="97"/>
      <c r="FZ1" s="97"/>
      <c r="GA1" s="97"/>
      <c r="GB1" s="97"/>
      <c r="GC1" s="97"/>
      <c r="GD1" s="97"/>
      <c r="GE1" s="97"/>
      <c r="GF1" s="97"/>
      <c r="GG1" s="98" t="s">
        <v>1</v>
      </c>
      <c r="GH1" s="98" t="s">
        <v>1</v>
      </c>
      <c r="GI1" s="98" t="s">
        <v>1</v>
      </c>
      <c r="GJ1" s="98" t="s">
        <v>1</v>
      </c>
      <c r="GK1" s="98" t="s">
        <v>1</v>
      </c>
      <c r="GL1" s="98" t="s">
        <v>1</v>
      </c>
      <c r="GM1" s="98" t="s">
        <v>1</v>
      </c>
      <c r="GN1" s="98" t="s">
        <v>1</v>
      </c>
      <c r="GO1" s="98" t="s">
        <v>1</v>
      </c>
      <c r="GP1" s="98" t="s">
        <v>1</v>
      </c>
      <c r="GQ1" s="98" t="s">
        <v>1</v>
      </c>
      <c r="GR1" s="209"/>
      <c r="GS1" s="210"/>
      <c r="GT1" s="211"/>
    </row>
    <row r="2" spans="1:207" s="216" customFormat="1" ht="11">
      <c r="A2" s="208"/>
      <c r="B2" s="208"/>
      <c r="C2" s="208"/>
      <c r="D2" s="208"/>
      <c r="E2" s="208"/>
      <c r="F2" s="208"/>
      <c r="G2" s="267" t="s">
        <v>2</v>
      </c>
      <c r="H2" s="110" t="s">
        <v>3</v>
      </c>
      <c r="I2" s="110" t="s">
        <v>4</v>
      </c>
      <c r="J2" s="110" t="s">
        <v>4</v>
      </c>
      <c r="K2" s="110" t="s">
        <v>4</v>
      </c>
      <c r="L2" s="110" t="s">
        <v>3</v>
      </c>
      <c r="M2" s="110" t="s">
        <v>4</v>
      </c>
      <c r="N2" s="110" t="s">
        <v>4</v>
      </c>
      <c r="O2" s="213" t="s">
        <v>5</v>
      </c>
      <c r="P2" s="110" t="s">
        <v>3</v>
      </c>
      <c r="Q2" s="110" t="s">
        <v>3</v>
      </c>
      <c r="R2" s="110" t="s">
        <v>4</v>
      </c>
      <c r="S2" s="110" t="s">
        <v>4</v>
      </c>
      <c r="T2" s="110" t="s">
        <v>4</v>
      </c>
      <c r="U2" s="110" t="s">
        <v>3</v>
      </c>
      <c r="V2" s="110" t="s">
        <v>633</v>
      </c>
      <c r="W2" s="213" t="s">
        <v>5</v>
      </c>
      <c r="X2" s="110" t="s">
        <v>4</v>
      </c>
      <c r="Y2" s="110" t="s">
        <v>4</v>
      </c>
      <c r="Z2" s="213" t="s">
        <v>5</v>
      </c>
      <c r="AA2" s="213" t="s">
        <v>5</v>
      </c>
      <c r="AB2" s="110" t="s">
        <v>4</v>
      </c>
      <c r="AC2" s="110" t="s">
        <v>4</v>
      </c>
      <c r="AD2" s="110" t="s">
        <v>4</v>
      </c>
      <c r="AE2" s="110" t="s">
        <v>4</v>
      </c>
      <c r="AF2" s="110" t="s">
        <v>4</v>
      </c>
      <c r="AG2" s="110" t="s">
        <v>4</v>
      </c>
      <c r="AH2" s="110" t="s">
        <v>4</v>
      </c>
      <c r="AI2" s="110" t="s">
        <v>4</v>
      </c>
      <c r="AJ2" s="110" t="s">
        <v>4</v>
      </c>
      <c r="AK2" s="110" t="s">
        <v>4</v>
      </c>
      <c r="AL2" s="110" t="s">
        <v>4</v>
      </c>
      <c r="AM2" s="110" t="s">
        <v>4</v>
      </c>
      <c r="AN2" s="110" t="s">
        <v>4</v>
      </c>
      <c r="AO2" s="110" t="s">
        <v>4</v>
      </c>
      <c r="AP2" s="110" t="s">
        <v>4</v>
      </c>
      <c r="AQ2" s="110" t="s">
        <v>4</v>
      </c>
      <c r="AR2" s="213" t="s">
        <v>3</v>
      </c>
      <c r="AS2" s="213" t="s">
        <v>3</v>
      </c>
      <c r="AT2" s="213" t="s">
        <v>3</v>
      </c>
      <c r="AU2" s="213" t="s">
        <v>3</v>
      </c>
      <c r="AV2" s="213" t="s">
        <v>3</v>
      </c>
      <c r="AW2" s="110" t="s">
        <v>4</v>
      </c>
      <c r="AX2" s="110" t="s">
        <v>4</v>
      </c>
      <c r="AY2" s="213" t="s">
        <v>5</v>
      </c>
      <c r="AZ2" s="110" t="s">
        <v>633</v>
      </c>
      <c r="BA2" s="213" t="s">
        <v>5</v>
      </c>
      <c r="BB2" s="213" t="s">
        <v>5</v>
      </c>
      <c r="BC2" s="110" t="s">
        <v>4</v>
      </c>
      <c r="BD2" s="110" t="s">
        <v>4</v>
      </c>
      <c r="BE2" s="213" t="s">
        <v>5</v>
      </c>
      <c r="BF2" s="110" t="s">
        <v>4</v>
      </c>
      <c r="BG2" s="110" t="s">
        <v>4</v>
      </c>
      <c r="BH2" s="110" t="s">
        <v>4</v>
      </c>
      <c r="BI2" s="110" t="s">
        <v>4</v>
      </c>
      <c r="BJ2" s="110" t="s">
        <v>4</v>
      </c>
      <c r="BK2" s="110" t="s">
        <v>4</v>
      </c>
      <c r="BL2" s="110" t="s">
        <v>4</v>
      </c>
      <c r="BM2" s="110" t="s">
        <v>4</v>
      </c>
      <c r="BN2" s="110" t="s">
        <v>4</v>
      </c>
      <c r="BO2" s="213" t="s">
        <v>5</v>
      </c>
      <c r="BP2" s="213" t="s">
        <v>5</v>
      </c>
      <c r="BQ2" s="213" t="s">
        <v>5</v>
      </c>
      <c r="BR2" s="110" t="s">
        <v>4</v>
      </c>
      <c r="BS2" s="110" t="s">
        <v>4</v>
      </c>
      <c r="BT2" s="213" t="s">
        <v>4</v>
      </c>
      <c r="BU2" s="110" t="s">
        <v>632</v>
      </c>
      <c r="BV2" s="110" t="s">
        <v>632</v>
      </c>
      <c r="BW2" s="110" t="s">
        <v>632</v>
      </c>
      <c r="BX2" s="110" t="s">
        <v>632</v>
      </c>
      <c r="BY2" s="213" t="s">
        <v>5</v>
      </c>
      <c r="BZ2" s="213" t="s">
        <v>5</v>
      </c>
      <c r="CA2" s="110" t="s">
        <v>4</v>
      </c>
      <c r="CB2" s="213" t="s">
        <v>5</v>
      </c>
      <c r="CC2" s="110" t="s">
        <v>4</v>
      </c>
      <c r="CD2" s="213" t="s">
        <v>5</v>
      </c>
      <c r="CE2" s="110" t="s">
        <v>4</v>
      </c>
      <c r="CF2" s="110" t="s">
        <v>4</v>
      </c>
      <c r="CG2" s="213" t="s">
        <v>5</v>
      </c>
      <c r="CH2" s="110" t="s">
        <v>4</v>
      </c>
      <c r="CI2" s="110" t="s">
        <v>4</v>
      </c>
      <c r="CJ2" s="110" t="s">
        <v>4</v>
      </c>
      <c r="CK2" s="110" t="s">
        <v>4</v>
      </c>
      <c r="CL2" s="213" t="s">
        <v>5</v>
      </c>
      <c r="CM2" s="110" t="s">
        <v>4</v>
      </c>
      <c r="CN2" s="213" t="s">
        <v>5</v>
      </c>
      <c r="CO2" s="213" t="s">
        <v>5</v>
      </c>
      <c r="CP2" s="110" t="s">
        <v>4</v>
      </c>
      <c r="CQ2" s="213" t="s">
        <v>5</v>
      </c>
      <c r="CR2" s="213" t="s">
        <v>5</v>
      </c>
      <c r="CS2" s="213" t="s">
        <v>5</v>
      </c>
      <c r="CT2" s="110" t="s">
        <v>632</v>
      </c>
      <c r="CU2" s="213" t="s">
        <v>5</v>
      </c>
      <c r="CV2" s="110" t="s">
        <v>4</v>
      </c>
      <c r="CW2" s="110" t="s">
        <v>4</v>
      </c>
      <c r="CX2" s="110" t="s">
        <v>4</v>
      </c>
      <c r="CY2" s="213" t="s">
        <v>5</v>
      </c>
      <c r="CZ2" s="213" t="s">
        <v>5</v>
      </c>
      <c r="DA2" s="213" t="s">
        <v>5</v>
      </c>
      <c r="DB2" s="110" t="s">
        <v>4</v>
      </c>
      <c r="DC2" s="213" t="s">
        <v>5</v>
      </c>
      <c r="DD2" s="110" t="s">
        <v>4</v>
      </c>
      <c r="DE2" s="110" t="s">
        <v>4</v>
      </c>
      <c r="DF2" s="110" t="s">
        <v>4</v>
      </c>
      <c r="DG2" s="110" t="s">
        <v>4</v>
      </c>
      <c r="DH2" s="213" t="s">
        <v>7</v>
      </c>
      <c r="DI2" s="110" t="s">
        <v>4</v>
      </c>
      <c r="DJ2" s="213" t="s">
        <v>5</v>
      </c>
      <c r="DK2" s="213" t="s">
        <v>6</v>
      </c>
      <c r="DL2" s="213" t="s">
        <v>5</v>
      </c>
      <c r="DM2" s="213" t="s">
        <v>6</v>
      </c>
      <c r="DN2" s="213" t="s">
        <v>5</v>
      </c>
      <c r="DO2" s="110" t="s">
        <v>4</v>
      </c>
      <c r="DP2" s="110" t="s">
        <v>4</v>
      </c>
      <c r="DQ2" s="110" t="s">
        <v>4</v>
      </c>
      <c r="DR2" s="110" t="s">
        <v>4</v>
      </c>
      <c r="DS2" s="110" t="s">
        <v>4</v>
      </c>
      <c r="DT2" s="110" t="s">
        <v>4</v>
      </c>
      <c r="DU2" s="110" t="s">
        <v>4</v>
      </c>
      <c r="DV2" s="110" t="s">
        <v>4</v>
      </c>
      <c r="DW2" s="110" t="s">
        <v>4</v>
      </c>
      <c r="DX2" s="110" t="s">
        <v>4</v>
      </c>
      <c r="DY2" s="110" t="s">
        <v>4</v>
      </c>
      <c r="DZ2" s="110" t="s">
        <v>4</v>
      </c>
      <c r="EA2" s="213" t="s">
        <v>6</v>
      </c>
      <c r="EB2" s="213" t="s">
        <v>9</v>
      </c>
      <c r="EC2" s="110" t="s">
        <v>4</v>
      </c>
      <c r="ED2" s="110" t="s">
        <v>8</v>
      </c>
      <c r="EE2" s="213" t="s">
        <v>4</v>
      </c>
      <c r="EF2" s="110" t="s">
        <v>8</v>
      </c>
      <c r="EG2" s="110" t="s">
        <v>8</v>
      </c>
      <c r="EH2" s="213" t="s">
        <v>9</v>
      </c>
      <c r="EI2" s="110" t="s">
        <v>636</v>
      </c>
      <c r="EJ2" s="110" t="s">
        <v>8</v>
      </c>
      <c r="EK2" s="110" t="s">
        <v>8</v>
      </c>
      <c r="EL2" s="110" t="s">
        <v>4</v>
      </c>
      <c r="EM2" s="110" t="s">
        <v>4</v>
      </c>
      <c r="EN2" s="213" t="s">
        <v>9</v>
      </c>
      <c r="EO2" s="213" t="s">
        <v>9</v>
      </c>
      <c r="EP2" s="110" t="s">
        <v>8</v>
      </c>
      <c r="EQ2" s="110" t="s">
        <v>4</v>
      </c>
      <c r="ER2" s="110" t="s">
        <v>4</v>
      </c>
      <c r="ES2" s="213" t="s">
        <v>9</v>
      </c>
      <c r="ET2" s="110" t="s">
        <v>8</v>
      </c>
      <c r="EU2" s="213" t="s">
        <v>9</v>
      </c>
      <c r="EV2" s="110" t="s">
        <v>8</v>
      </c>
      <c r="EW2" s="110" t="s">
        <v>4</v>
      </c>
      <c r="EX2" s="213" t="s">
        <v>9</v>
      </c>
      <c r="EY2" s="110" t="s">
        <v>4</v>
      </c>
      <c r="EZ2" s="110" t="s">
        <v>8</v>
      </c>
      <c r="FA2" s="110" t="s">
        <v>8</v>
      </c>
      <c r="FB2" s="110" t="s">
        <v>4</v>
      </c>
      <c r="FC2" s="110" t="s">
        <v>633</v>
      </c>
      <c r="FD2" s="213" t="s">
        <v>9</v>
      </c>
      <c r="FE2" s="110" t="s">
        <v>4</v>
      </c>
      <c r="FF2" s="213" t="s">
        <v>9</v>
      </c>
      <c r="FG2" s="213" t="s">
        <v>8</v>
      </c>
      <c r="FH2" s="110" t="s">
        <v>8</v>
      </c>
      <c r="FI2" s="110" t="s">
        <v>4</v>
      </c>
      <c r="FJ2" s="110" t="s">
        <v>4</v>
      </c>
      <c r="FK2" s="110" t="s">
        <v>4</v>
      </c>
      <c r="FL2" s="110" t="s">
        <v>4</v>
      </c>
      <c r="FM2" s="213" t="s">
        <v>4</v>
      </c>
      <c r="FN2" s="110" t="s">
        <v>4</v>
      </c>
      <c r="FO2" s="110" t="s">
        <v>8</v>
      </c>
      <c r="FP2" s="110" t="s">
        <v>4</v>
      </c>
      <c r="FQ2" s="110" t="s">
        <v>4</v>
      </c>
      <c r="FR2" s="110" t="s">
        <v>4</v>
      </c>
      <c r="FS2" s="213" t="s">
        <v>4</v>
      </c>
      <c r="FT2" s="213" t="s">
        <v>4</v>
      </c>
      <c r="FU2" s="110" t="s">
        <v>633</v>
      </c>
      <c r="FV2" s="213" t="s">
        <v>6</v>
      </c>
      <c r="FW2" s="110" t="s">
        <v>8</v>
      </c>
      <c r="FX2" s="110" t="s">
        <v>8</v>
      </c>
      <c r="FY2" s="110" t="s">
        <v>8</v>
      </c>
      <c r="FZ2" s="110" t="s">
        <v>4</v>
      </c>
      <c r="GA2" s="110" t="s">
        <v>8</v>
      </c>
      <c r="GB2" s="110" t="s">
        <v>8</v>
      </c>
      <c r="GC2" s="110" t="s">
        <v>8</v>
      </c>
      <c r="GD2" s="110" t="s">
        <v>8</v>
      </c>
      <c r="GE2" s="213" t="s">
        <v>9</v>
      </c>
      <c r="GF2" s="110" t="s">
        <v>4</v>
      </c>
      <c r="GG2" s="110" t="s">
        <v>3</v>
      </c>
      <c r="GH2" s="110" t="s">
        <v>3</v>
      </c>
      <c r="GI2" s="110" t="s">
        <v>3</v>
      </c>
      <c r="GJ2" s="110" t="s">
        <v>3</v>
      </c>
      <c r="GK2" s="110" t="s">
        <v>3</v>
      </c>
      <c r="GL2" s="110" t="s">
        <v>3</v>
      </c>
      <c r="GM2" s="110" t="s">
        <v>3</v>
      </c>
      <c r="GN2" s="110" t="s">
        <v>3</v>
      </c>
      <c r="GO2" s="110" t="s">
        <v>3</v>
      </c>
      <c r="GP2" s="110" t="s">
        <v>3</v>
      </c>
      <c r="GQ2" s="110" t="s">
        <v>3</v>
      </c>
      <c r="GR2" s="209"/>
      <c r="GS2" s="214"/>
      <c r="GT2" s="215"/>
    </row>
    <row r="3" spans="1:207" s="216" customFormat="1">
      <c r="A3" s="208"/>
      <c r="B3" s="208"/>
      <c r="C3" s="208"/>
      <c r="D3" s="208"/>
      <c r="E3" s="208"/>
      <c r="F3" s="208"/>
      <c r="G3" s="217" t="s">
        <v>10</v>
      </c>
      <c r="H3" s="110">
        <v>10</v>
      </c>
      <c r="I3" s="110">
        <v>5</v>
      </c>
      <c r="J3" s="110">
        <v>5</v>
      </c>
      <c r="K3" s="110">
        <v>10</v>
      </c>
      <c r="L3" s="110">
        <v>10</v>
      </c>
      <c r="M3" s="110">
        <v>5</v>
      </c>
      <c r="N3" s="110">
        <v>5</v>
      </c>
      <c r="O3" s="110">
        <v>10</v>
      </c>
      <c r="P3" s="110">
        <v>10</v>
      </c>
      <c r="Q3" s="110">
        <v>10</v>
      </c>
      <c r="R3" s="110">
        <v>5</v>
      </c>
      <c r="S3" s="110">
        <v>10</v>
      </c>
      <c r="T3" s="110">
        <v>10</v>
      </c>
      <c r="U3" s="110">
        <v>10</v>
      </c>
      <c r="V3" s="110">
        <v>10</v>
      </c>
      <c r="W3" s="110">
        <v>10</v>
      </c>
      <c r="X3" s="110">
        <v>10</v>
      </c>
      <c r="Y3" s="110">
        <v>10</v>
      </c>
      <c r="Z3" s="110">
        <v>10</v>
      </c>
      <c r="AA3" s="110">
        <v>10</v>
      </c>
      <c r="AB3" s="110">
        <v>10</v>
      </c>
      <c r="AC3" s="110" t="s">
        <v>11</v>
      </c>
      <c r="AD3" s="110">
        <v>5</v>
      </c>
      <c r="AE3" s="110">
        <v>10</v>
      </c>
      <c r="AF3" s="110">
        <v>10</v>
      </c>
      <c r="AG3" s="110">
        <v>10</v>
      </c>
      <c r="AH3" s="110">
        <v>10</v>
      </c>
      <c r="AI3" s="110">
        <v>10</v>
      </c>
      <c r="AJ3" s="110">
        <v>10</v>
      </c>
      <c r="AK3" s="110">
        <v>10</v>
      </c>
      <c r="AL3" s="110">
        <v>10</v>
      </c>
      <c r="AM3" s="110">
        <v>10</v>
      </c>
      <c r="AN3" s="110">
        <v>10</v>
      </c>
      <c r="AO3" s="110">
        <v>10</v>
      </c>
      <c r="AP3" s="110">
        <v>10</v>
      </c>
      <c r="AQ3" s="110">
        <v>10</v>
      </c>
      <c r="AR3" s="110">
        <v>1</v>
      </c>
      <c r="AS3" s="110">
        <v>1</v>
      </c>
      <c r="AT3" s="110">
        <v>1</v>
      </c>
      <c r="AU3" s="110">
        <v>1</v>
      </c>
      <c r="AV3" s="110">
        <v>1</v>
      </c>
      <c r="AW3" s="110">
        <v>4</v>
      </c>
      <c r="AX3" s="110">
        <v>5</v>
      </c>
      <c r="AY3" s="110">
        <v>5</v>
      </c>
      <c r="AZ3" s="110">
        <v>5</v>
      </c>
      <c r="BA3" s="110">
        <v>10</v>
      </c>
      <c r="BB3" s="110">
        <v>10</v>
      </c>
      <c r="BC3" s="110">
        <v>10</v>
      </c>
      <c r="BD3" s="110">
        <v>10</v>
      </c>
      <c r="BE3" s="110">
        <v>10</v>
      </c>
      <c r="BF3" s="110">
        <v>5</v>
      </c>
      <c r="BG3" s="110">
        <v>1</v>
      </c>
      <c r="BH3" s="110">
        <v>1</v>
      </c>
      <c r="BI3" s="110">
        <v>1</v>
      </c>
      <c r="BJ3" s="110">
        <v>1</v>
      </c>
      <c r="BK3" s="110">
        <v>1</v>
      </c>
      <c r="BL3" s="110">
        <v>4</v>
      </c>
      <c r="BM3" s="110">
        <v>5</v>
      </c>
      <c r="BN3" s="110">
        <v>5</v>
      </c>
      <c r="BO3" s="110">
        <v>5</v>
      </c>
      <c r="BP3" s="110">
        <v>10</v>
      </c>
      <c r="BQ3" s="110">
        <v>10</v>
      </c>
      <c r="BR3" s="110">
        <v>10</v>
      </c>
      <c r="BS3" s="110">
        <v>10</v>
      </c>
      <c r="BT3" s="110">
        <v>1</v>
      </c>
      <c r="BU3" s="110">
        <v>1</v>
      </c>
      <c r="BV3" s="110">
        <v>1</v>
      </c>
      <c r="BW3" s="110">
        <v>1</v>
      </c>
      <c r="BX3" s="110">
        <v>1</v>
      </c>
      <c r="BY3" s="110">
        <v>4</v>
      </c>
      <c r="BZ3" s="110">
        <v>5</v>
      </c>
      <c r="CA3" s="110">
        <v>5</v>
      </c>
      <c r="CB3" s="110">
        <v>5</v>
      </c>
      <c r="CC3" s="110">
        <v>5</v>
      </c>
      <c r="CD3" s="110">
        <v>5</v>
      </c>
      <c r="CE3" s="110">
        <v>5</v>
      </c>
      <c r="CF3" s="110">
        <v>10</v>
      </c>
      <c r="CG3" s="110">
        <v>10</v>
      </c>
      <c r="CH3" s="110">
        <v>10</v>
      </c>
      <c r="CI3" s="110">
        <v>10</v>
      </c>
      <c r="CJ3" s="110">
        <v>10</v>
      </c>
      <c r="CK3" s="110">
        <v>10</v>
      </c>
      <c r="CL3" s="110">
        <v>10</v>
      </c>
      <c r="CM3" s="110">
        <v>5</v>
      </c>
      <c r="CN3" s="110">
        <v>10</v>
      </c>
      <c r="CO3" s="110">
        <v>10</v>
      </c>
      <c r="CP3" s="110">
        <v>10</v>
      </c>
      <c r="CQ3" s="110">
        <v>10</v>
      </c>
      <c r="CR3" s="110">
        <v>5</v>
      </c>
      <c r="CS3" s="110">
        <v>10</v>
      </c>
      <c r="CT3" s="110">
        <v>10</v>
      </c>
      <c r="CU3" s="110">
        <v>10</v>
      </c>
      <c r="CV3" s="110">
        <v>10</v>
      </c>
      <c r="CW3" s="110">
        <v>5</v>
      </c>
      <c r="CX3" s="110">
        <v>5</v>
      </c>
      <c r="CY3" s="110">
        <v>10</v>
      </c>
      <c r="CZ3" s="110">
        <v>10</v>
      </c>
      <c r="DA3" s="110">
        <v>10</v>
      </c>
      <c r="DB3" s="110">
        <v>10</v>
      </c>
      <c r="DC3" s="110">
        <v>10</v>
      </c>
      <c r="DD3" s="110" t="s">
        <v>11</v>
      </c>
      <c r="DE3" s="110">
        <v>10</v>
      </c>
      <c r="DF3" s="110">
        <v>10</v>
      </c>
      <c r="DG3" s="110">
        <v>10</v>
      </c>
      <c r="DH3" s="110">
        <v>10</v>
      </c>
      <c r="DI3" s="110">
        <v>5</v>
      </c>
      <c r="DJ3" s="110">
        <v>10</v>
      </c>
      <c r="DK3" s="110">
        <v>10</v>
      </c>
      <c r="DL3" s="110">
        <v>10</v>
      </c>
      <c r="DM3" s="110">
        <v>10</v>
      </c>
      <c r="DN3" s="110">
        <v>10</v>
      </c>
      <c r="DO3" s="110">
        <v>5</v>
      </c>
      <c r="DP3" s="110"/>
      <c r="DQ3" s="110"/>
      <c r="DR3" s="110"/>
      <c r="DS3" s="110"/>
      <c r="DT3" s="110">
        <v>5</v>
      </c>
      <c r="DU3" s="110">
        <v>5</v>
      </c>
      <c r="DV3" s="110">
        <v>5</v>
      </c>
      <c r="DW3" s="110">
        <v>10</v>
      </c>
      <c r="DX3" s="110">
        <v>10</v>
      </c>
      <c r="DY3" s="110">
        <v>10</v>
      </c>
      <c r="DZ3" s="110">
        <v>10</v>
      </c>
      <c r="EA3" s="110">
        <v>10</v>
      </c>
      <c r="EB3" s="110">
        <v>10</v>
      </c>
      <c r="EC3" s="110">
        <v>10</v>
      </c>
      <c r="ED3" s="110">
        <v>10</v>
      </c>
      <c r="EE3" s="110">
        <v>10</v>
      </c>
      <c r="EF3" s="110">
        <v>20</v>
      </c>
      <c r="EG3" s="110">
        <v>10</v>
      </c>
      <c r="EH3" s="110">
        <v>10</v>
      </c>
      <c r="EI3" s="110">
        <v>20</v>
      </c>
      <c r="EJ3" s="110">
        <v>10</v>
      </c>
      <c r="EK3" s="110">
        <v>10</v>
      </c>
      <c r="EL3" s="110">
        <v>10</v>
      </c>
      <c r="EM3" s="110">
        <v>20</v>
      </c>
      <c r="EN3" s="110">
        <v>10</v>
      </c>
      <c r="EO3" s="110">
        <v>10</v>
      </c>
      <c r="EP3" s="110">
        <v>5</v>
      </c>
      <c r="EQ3" s="110">
        <v>20</v>
      </c>
      <c r="ER3" s="110">
        <v>5</v>
      </c>
      <c r="ES3" s="110">
        <v>10</v>
      </c>
      <c r="ET3" s="110">
        <v>20</v>
      </c>
      <c r="EU3" s="110">
        <v>10</v>
      </c>
      <c r="EV3" s="110">
        <v>10</v>
      </c>
      <c r="EW3" s="110">
        <v>20</v>
      </c>
      <c r="EX3" s="110">
        <v>20</v>
      </c>
      <c r="EY3" s="110">
        <v>10</v>
      </c>
      <c r="EZ3" s="110">
        <v>20</v>
      </c>
      <c r="FA3" s="110">
        <v>20</v>
      </c>
      <c r="FB3" s="110">
        <v>20</v>
      </c>
      <c r="FC3" s="110">
        <v>10</v>
      </c>
      <c r="FD3" s="110">
        <v>20</v>
      </c>
      <c r="FE3" s="110">
        <v>20</v>
      </c>
      <c r="FF3" s="110">
        <v>20</v>
      </c>
      <c r="FG3" s="110">
        <v>20</v>
      </c>
      <c r="FH3" s="110">
        <v>10</v>
      </c>
      <c r="FI3" s="110">
        <v>20</v>
      </c>
      <c r="FJ3" s="110">
        <v>20</v>
      </c>
      <c r="FK3" s="110">
        <v>20</v>
      </c>
      <c r="FL3" s="110">
        <v>10</v>
      </c>
      <c r="FM3" s="110">
        <v>20</v>
      </c>
      <c r="FN3" s="110">
        <v>20</v>
      </c>
      <c r="FO3" s="110">
        <v>20</v>
      </c>
      <c r="FP3" s="110">
        <v>20</v>
      </c>
      <c r="FQ3" s="110">
        <v>20</v>
      </c>
      <c r="FR3" s="110">
        <v>20</v>
      </c>
      <c r="FS3" s="110">
        <v>20</v>
      </c>
      <c r="FT3" s="110">
        <v>20</v>
      </c>
      <c r="FU3" s="110">
        <v>20</v>
      </c>
      <c r="FV3" s="110">
        <v>20</v>
      </c>
      <c r="FW3" s="110">
        <v>20</v>
      </c>
      <c r="FX3" s="110">
        <v>30</v>
      </c>
      <c r="FY3" s="110">
        <v>20</v>
      </c>
      <c r="FZ3" s="110">
        <v>30</v>
      </c>
      <c r="GA3" s="110">
        <v>30</v>
      </c>
      <c r="GB3" s="110">
        <v>20</v>
      </c>
      <c r="GC3" s="110">
        <v>30</v>
      </c>
      <c r="GD3" s="110">
        <v>30</v>
      </c>
      <c r="GE3" s="110">
        <v>30</v>
      </c>
      <c r="GF3" s="110">
        <v>20</v>
      </c>
      <c r="GG3" s="110"/>
      <c r="GH3" s="110"/>
      <c r="GI3" s="110"/>
      <c r="GJ3" s="110">
        <v>4</v>
      </c>
      <c r="GK3" s="110">
        <v>4</v>
      </c>
      <c r="GL3" s="110">
        <v>8</v>
      </c>
      <c r="GM3" s="110"/>
      <c r="GN3" s="110">
        <v>5</v>
      </c>
      <c r="GO3" s="110">
        <v>5</v>
      </c>
      <c r="GP3" s="110">
        <v>5</v>
      </c>
      <c r="GQ3" s="110">
        <v>5</v>
      </c>
      <c r="GR3" s="218"/>
      <c r="GS3" s="219"/>
      <c r="GU3" s="214"/>
      <c r="GV3" s="215"/>
    </row>
    <row r="4" spans="1:207" s="208" customFormat="1" ht="40">
      <c r="A4" s="220"/>
      <c r="E4" s="220"/>
      <c r="F4" s="220"/>
      <c r="G4" s="220" t="s">
        <v>12</v>
      </c>
      <c r="H4" s="221" t="s">
        <v>13</v>
      </c>
      <c r="I4" s="222" t="s">
        <v>14</v>
      </c>
      <c r="J4" s="221" t="s">
        <v>15</v>
      </c>
      <c r="K4" s="221" t="s">
        <v>16</v>
      </c>
      <c r="L4" s="221" t="s">
        <v>17</v>
      </c>
      <c r="M4" s="221" t="s">
        <v>18</v>
      </c>
      <c r="N4" s="221" t="s">
        <v>19</v>
      </c>
      <c r="O4" s="221" t="s">
        <v>20</v>
      </c>
      <c r="P4" s="221" t="s">
        <v>21</v>
      </c>
      <c r="Q4" s="221" t="s">
        <v>22</v>
      </c>
      <c r="R4" s="221" t="s">
        <v>23</v>
      </c>
      <c r="S4" s="221" t="s">
        <v>24</v>
      </c>
      <c r="T4" s="221" t="s">
        <v>25</v>
      </c>
      <c r="U4" s="221" t="s">
        <v>26</v>
      </c>
      <c r="V4" s="221" t="s">
        <v>27</v>
      </c>
      <c r="W4" s="221" t="s">
        <v>28</v>
      </c>
      <c r="X4" s="208" t="s">
        <v>637</v>
      </c>
      <c r="Y4" s="221" t="s">
        <v>29</v>
      </c>
      <c r="Z4" s="221" t="s">
        <v>30</v>
      </c>
      <c r="AA4" s="221" t="s">
        <v>31</v>
      </c>
      <c r="AB4" s="221" t="s">
        <v>32</v>
      </c>
      <c r="AC4" s="221" t="s">
        <v>33</v>
      </c>
      <c r="AD4" s="221" t="s">
        <v>34</v>
      </c>
      <c r="AE4" s="221" t="s">
        <v>35</v>
      </c>
      <c r="AF4" s="221" t="s">
        <v>36</v>
      </c>
      <c r="AG4" s="221" t="s">
        <v>37</v>
      </c>
      <c r="AH4" s="221" t="s">
        <v>38</v>
      </c>
      <c r="AI4" s="221" t="s">
        <v>39</v>
      </c>
      <c r="AJ4" s="221" t="s">
        <v>638</v>
      </c>
      <c r="AK4" s="221" t="s">
        <v>41</v>
      </c>
      <c r="AL4" s="221" t="s">
        <v>42</v>
      </c>
      <c r="AM4" s="221" t="s">
        <v>43</v>
      </c>
      <c r="AN4" s="221" t="s">
        <v>44</v>
      </c>
      <c r="AO4" s="221" t="s">
        <v>45</v>
      </c>
      <c r="AP4" s="221" t="s">
        <v>46</v>
      </c>
      <c r="AQ4" s="221" t="s">
        <v>47</v>
      </c>
      <c r="AR4" s="221" t="s">
        <v>48</v>
      </c>
      <c r="AS4" s="221" t="s">
        <v>48</v>
      </c>
      <c r="AT4" s="221" t="s">
        <v>48</v>
      </c>
      <c r="AU4" s="223" t="s">
        <v>48</v>
      </c>
      <c r="AV4" s="223" t="s">
        <v>48</v>
      </c>
      <c r="AW4" s="221" t="s">
        <v>49</v>
      </c>
      <c r="AX4" s="221" t="s">
        <v>50</v>
      </c>
      <c r="AY4" s="221" t="s">
        <v>51</v>
      </c>
      <c r="AZ4" s="222" t="s">
        <v>52</v>
      </c>
      <c r="BA4" s="221" t="s">
        <v>53</v>
      </c>
      <c r="BB4" s="221" t="s">
        <v>54</v>
      </c>
      <c r="BC4" s="221" t="s">
        <v>55</v>
      </c>
      <c r="BD4" s="221" t="s">
        <v>56</v>
      </c>
      <c r="BE4" s="224" t="s">
        <v>57</v>
      </c>
      <c r="BF4" s="224" t="s">
        <v>639</v>
      </c>
      <c r="BG4" s="225" t="s">
        <v>58</v>
      </c>
      <c r="BH4" s="225" t="s">
        <v>58</v>
      </c>
      <c r="BI4" s="225" t="s">
        <v>58</v>
      </c>
      <c r="BJ4" s="223" t="s">
        <v>58</v>
      </c>
      <c r="BK4" s="223" t="s">
        <v>58</v>
      </c>
      <c r="BL4" s="221" t="s">
        <v>59</v>
      </c>
      <c r="BM4" s="221" t="s">
        <v>60</v>
      </c>
      <c r="BN4" s="221" t="s">
        <v>61</v>
      </c>
      <c r="BO4" s="221" t="s">
        <v>62</v>
      </c>
      <c r="BP4" s="221" t="s">
        <v>63</v>
      </c>
      <c r="BQ4" s="221" t="s">
        <v>64</v>
      </c>
      <c r="BR4" s="221" t="s">
        <v>65</v>
      </c>
      <c r="BS4" s="221" t="s">
        <v>66</v>
      </c>
      <c r="BT4" s="223" t="s">
        <v>67</v>
      </c>
      <c r="BU4" s="221" t="s">
        <v>67</v>
      </c>
      <c r="BV4" s="221" t="s">
        <v>67</v>
      </c>
      <c r="BW4" s="221" t="s">
        <v>67</v>
      </c>
      <c r="BX4" s="221" t="s">
        <v>67</v>
      </c>
      <c r="BY4" s="221" t="s">
        <v>68</v>
      </c>
      <c r="BZ4" s="223" t="s">
        <v>69</v>
      </c>
      <c r="CA4" s="223" t="s">
        <v>69</v>
      </c>
      <c r="CB4" s="221" t="s">
        <v>70</v>
      </c>
      <c r="CC4" s="223" t="s">
        <v>71</v>
      </c>
      <c r="CD4" s="223" t="s">
        <v>71</v>
      </c>
      <c r="CE4" s="223" t="s">
        <v>71</v>
      </c>
      <c r="CF4" s="221" t="s">
        <v>72</v>
      </c>
      <c r="CG4" s="221" t="s">
        <v>73</v>
      </c>
      <c r="CH4" s="223" t="s">
        <v>74</v>
      </c>
      <c r="CI4" s="223" t="s">
        <v>74</v>
      </c>
      <c r="CJ4" s="221" t="s">
        <v>75</v>
      </c>
      <c r="CK4" s="221" t="s">
        <v>76</v>
      </c>
      <c r="CL4" s="221" t="s">
        <v>77</v>
      </c>
      <c r="CM4" s="221" t="s">
        <v>78</v>
      </c>
      <c r="CN4" s="221" t="s">
        <v>79</v>
      </c>
      <c r="CO4" s="221" t="s">
        <v>80</v>
      </c>
      <c r="CP4" s="221" t="s">
        <v>81</v>
      </c>
      <c r="CQ4" s="221" t="s">
        <v>82</v>
      </c>
      <c r="CR4" s="221" t="s">
        <v>83</v>
      </c>
      <c r="CS4" s="221" t="s">
        <v>84</v>
      </c>
      <c r="CT4" s="221" t="s">
        <v>85</v>
      </c>
      <c r="CU4" s="221" t="s">
        <v>86</v>
      </c>
      <c r="CV4" s="221" t="s">
        <v>87</v>
      </c>
      <c r="CW4" s="221" t="s">
        <v>87</v>
      </c>
      <c r="CX4" s="221" t="s">
        <v>88</v>
      </c>
      <c r="CY4" s="221" t="s">
        <v>89</v>
      </c>
      <c r="CZ4" s="221" t="s">
        <v>90</v>
      </c>
      <c r="DA4" s="221" t="s">
        <v>91</v>
      </c>
      <c r="DB4" s="221" t="s">
        <v>92</v>
      </c>
      <c r="DC4" s="222" t="s">
        <v>93</v>
      </c>
      <c r="DD4" s="221" t="s">
        <v>93</v>
      </c>
      <c r="DE4" s="221" t="s">
        <v>94</v>
      </c>
      <c r="DF4" s="221" t="s">
        <v>95</v>
      </c>
      <c r="DG4" s="221" t="s">
        <v>96</v>
      </c>
      <c r="DH4" s="226" t="s">
        <v>97</v>
      </c>
      <c r="DI4" s="221" t="s">
        <v>97</v>
      </c>
      <c r="DJ4" s="221" t="s">
        <v>98</v>
      </c>
      <c r="DK4" s="222" t="s">
        <v>99</v>
      </c>
      <c r="DL4" s="221" t="s">
        <v>100</v>
      </c>
      <c r="DM4" s="222" t="s">
        <v>101</v>
      </c>
      <c r="DN4" s="226" t="s">
        <v>640</v>
      </c>
      <c r="DO4" s="223" t="s">
        <v>102</v>
      </c>
      <c r="DP4" s="221" t="s">
        <v>749</v>
      </c>
      <c r="DQ4" s="221" t="s">
        <v>750</v>
      </c>
      <c r="DR4" s="221" t="s">
        <v>751</v>
      </c>
      <c r="DS4" s="221" t="s">
        <v>752</v>
      </c>
      <c r="DT4" s="221" t="s">
        <v>753</v>
      </c>
      <c r="DU4" s="221" t="s">
        <v>754</v>
      </c>
      <c r="DV4" s="221" t="s">
        <v>641</v>
      </c>
      <c r="DW4" s="221" t="s">
        <v>103</v>
      </c>
      <c r="DX4" s="221" t="s">
        <v>104</v>
      </c>
      <c r="DY4" s="221" t="s">
        <v>755</v>
      </c>
      <c r="DZ4" s="221" t="s">
        <v>105</v>
      </c>
      <c r="EA4" s="223" t="s">
        <v>106</v>
      </c>
      <c r="EB4" s="223" t="s">
        <v>106</v>
      </c>
      <c r="EC4" s="221" t="s">
        <v>756</v>
      </c>
      <c r="ED4" s="221" t="s">
        <v>757</v>
      </c>
      <c r="EE4" s="221" t="s">
        <v>107</v>
      </c>
      <c r="EF4" s="221" t="s">
        <v>642</v>
      </c>
      <c r="EG4" s="221" t="s">
        <v>108</v>
      </c>
      <c r="EH4" s="221" t="s">
        <v>109</v>
      </c>
      <c r="EI4" s="221" t="s">
        <v>110</v>
      </c>
      <c r="EJ4" s="221" t="s">
        <v>643</v>
      </c>
      <c r="EK4" s="221" t="s">
        <v>111</v>
      </c>
      <c r="EL4" s="221" t="s">
        <v>112</v>
      </c>
      <c r="EM4" s="221" t="s">
        <v>113</v>
      </c>
      <c r="EN4" s="221" t="s">
        <v>114</v>
      </c>
      <c r="EO4" s="221" t="s">
        <v>115</v>
      </c>
      <c r="EP4" s="221" t="s">
        <v>644</v>
      </c>
      <c r="EQ4" s="222" t="s">
        <v>116</v>
      </c>
      <c r="ER4" s="222" t="s">
        <v>758</v>
      </c>
      <c r="ES4" s="221" t="s">
        <v>117</v>
      </c>
      <c r="ET4" s="221" t="s">
        <v>118</v>
      </c>
      <c r="EU4" s="221" t="s">
        <v>119</v>
      </c>
      <c r="EV4" s="221" t="s">
        <v>120</v>
      </c>
      <c r="EW4" s="221" t="s">
        <v>121</v>
      </c>
      <c r="EX4" s="221" t="s">
        <v>122</v>
      </c>
      <c r="EY4" s="221" t="s">
        <v>123</v>
      </c>
      <c r="EZ4" s="222" t="s">
        <v>124</v>
      </c>
      <c r="FA4" s="221" t="s">
        <v>125</v>
      </c>
      <c r="FB4" s="221" t="s">
        <v>126</v>
      </c>
      <c r="FC4" s="221" t="s">
        <v>127</v>
      </c>
      <c r="FD4" s="221" t="s">
        <v>128</v>
      </c>
      <c r="FE4" s="221" t="s">
        <v>129</v>
      </c>
      <c r="FF4" s="223" t="s">
        <v>130</v>
      </c>
      <c r="FG4" s="223" t="s">
        <v>130</v>
      </c>
      <c r="FH4" s="221" t="s">
        <v>131</v>
      </c>
      <c r="FI4" s="221" t="s">
        <v>132</v>
      </c>
      <c r="FJ4" s="221" t="s">
        <v>133</v>
      </c>
      <c r="FK4" s="221" t="s">
        <v>134</v>
      </c>
      <c r="FL4" s="221" t="s">
        <v>135</v>
      </c>
      <c r="FM4" s="221" t="s">
        <v>136</v>
      </c>
      <c r="FN4" s="221" t="s">
        <v>137</v>
      </c>
      <c r="FO4" s="221" t="s">
        <v>138</v>
      </c>
      <c r="FP4" s="221" t="s">
        <v>139</v>
      </c>
      <c r="FQ4" s="221" t="s">
        <v>140</v>
      </c>
      <c r="FR4" s="221" t="s">
        <v>141</v>
      </c>
      <c r="FS4" s="221" t="s">
        <v>142</v>
      </c>
      <c r="FT4" s="221" t="s">
        <v>143</v>
      </c>
      <c r="FU4" s="221" t="s">
        <v>144</v>
      </c>
      <c r="FV4" s="221" t="s">
        <v>145</v>
      </c>
      <c r="FW4" s="221" t="s">
        <v>146</v>
      </c>
      <c r="FX4" s="221" t="s">
        <v>147</v>
      </c>
      <c r="FY4" s="221" t="s">
        <v>148</v>
      </c>
      <c r="FZ4" s="221" t="s">
        <v>149</v>
      </c>
      <c r="GA4" s="221" t="s">
        <v>150</v>
      </c>
      <c r="GB4" s="221" t="s">
        <v>151</v>
      </c>
      <c r="GC4" s="223" t="s">
        <v>152</v>
      </c>
      <c r="GD4" s="223" t="s">
        <v>152</v>
      </c>
      <c r="GE4" s="221" t="s">
        <v>645</v>
      </c>
      <c r="GF4" s="221" t="s">
        <v>154</v>
      </c>
      <c r="GG4" s="227" t="s">
        <v>759</v>
      </c>
      <c r="GH4" s="227" t="s">
        <v>760</v>
      </c>
      <c r="GI4" s="227" t="s">
        <v>646</v>
      </c>
      <c r="GJ4" s="227" t="s">
        <v>761</v>
      </c>
      <c r="GK4" s="227" t="s">
        <v>762</v>
      </c>
      <c r="GL4" s="227" t="s">
        <v>763</v>
      </c>
      <c r="GM4" s="227" t="s">
        <v>647</v>
      </c>
      <c r="GN4" s="228" t="s">
        <v>509</v>
      </c>
      <c r="GO4" s="228" t="s">
        <v>649</v>
      </c>
      <c r="GP4" s="227" t="s">
        <v>764</v>
      </c>
      <c r="GQ4" s="227" t="s">
        <v>765</v>
      </c>
      <c r="GR4" s="229"/>
      <c r="GS4" s="220"/>
      <c r="GU4" s="230"/>
    </row>
    <row r="5" spans="1:207" s="212" customFormat="1" ht="20">
      <c r="A5" s="231"/>
      <c r="D5" s="232"/>
      <c r="E5" s="97" t="s">
        <v>162</v>
      </c>
      <c r="F5" s="233" t="s">
        <v>163</v>
      </c>
      <c r="G5" s="97" t="s">
        <v>164</v>
      </c>
      <c r="H5" s="234" t="s">
        <v>165</v>
      </c>
      <c r="I5" s="234" t="s">
        <v>166</v>
      </c>
      <c r="J5" s="234" t="s">
        <v>167</v>
      </c>
      <c r="K5" s="234" t="s">
        <v>168</v>
      </c>
      <c r="L5" s="234" t="s">
        <v>169</v>
      </c>
      <c r="M5" s="234" t="s">
        <v>170</v>
      </c>
      <c r="N5" s="234" t="s">
        <v>171</v>
      </c>
      <c r="O5" s="234" t="s">
        <v>172</v>
      </c>
      <c r="P5" s="234" t="s">
        <v>173</v>
      </c>
      <c r="Q5" s="234" t="s">
        <v>174</v>
      </c>
      <c r="R5" s="234" t="s">
        <v>175</v>
      </c>
      <c r="S5" s="234" t="s">
        <v>176</v>
      </c>
      <c r="T5" s="234" t="s">
        <v>177</v>
      </c>
      <c r="U5" s="234" t="s">
        <v>178</v>
      </c>
      <c r="V5" s="234" t="s">
        <v>179</v>
      </c>
      <c r="W5" s="234" t="s">
        <v>180</v>
      </c>
      <c r="X5" s="234" t="s">
        <v>650</v>
      </c>
      <c r="Y5" s="234" t="s">
        <v>181</v>
      </c>
      <c r="Z5" s="234" t="s">
        <v>182</v>
      </c>
      <c r="AA5" s="234" t="s">
        <v>183</v>
      </c>
      <c r="AB5" s="234" t="s">
        <v>184</v>
      </c>
      <c r="AC5" s="234" t="s">
        <v>185</v>
      </c>
      <c r="AD5" s="234" t="s">
        <v>186</v>
      </c>
      <c r="AE5" s="234" t="s">
        <v>187</v>
      </c>
      <c r="AF5" s="234" t="s">
        <v>188</v>
      </c>
      <c r="AG5" s="234" t="s">
        <v>189</v>
      </c>
      <c r="AH5" s="234" t="s">
        <v>190</v>
      </c>
      <c r="AI5" s="234" t="s">
        <v>191</v>
      </c>
      <c r="AJ5" s="234" t="s">
        <v>193</v>
      </c>
      <c r="AK5" s="234" t="s">
        <v>194</v>
      </c>
      <c r="AL5" s="234" t="s">
        <v>195</v>
      </c>
      <c r="AM5" s="234" t="s">
        <v>196</v>
      </c>
      <c r="AN5" s="234" t="s">
        <v>197</v>
      </c>
      <c r="AO5" s="234" t="s">
        <v>198</v>
      </c>
      <c r="AP5" s="234" t="s">
        <v>199</v>
      </c>
      <c r="AQ5" s="234" t="s">
        <v>200</v>
      </c>
      <c r="AR5" s="234" t="s">
        <v>201</v>
      </c>
      <c r="AS5" s="234" t="s">
        <v>202</v>
      </c>
      <c r="AT5" s="234" t="s">
        <v>203</v>
      </c>
      <c r="AU5" s="234" t="s">
        <v>652</v>
      </c>
      <c r="AV5" s="234" t="s">
        <v>653</v>
      </c>
      <c r="AW5" s="234" t="s">
        <v>204</v>
      </c>
      <c r="AX5" s="234" t="s">
        <v>205</v>
      </c>
      <c r="AY5" s="234" t="s">
        <v>206</v>
      </c>
      <c r="AZ5" s="234" t="s">
        <v>766</v>
      </c>
      <c r="BA5" s="234" t="s">
        <v>209</v>
      </c>
      <c r="BB5" s="234" t="s">
        <v>210</v>
      </c>
      <c r="BC5" s="234" t="s">
        <v>211</v>
      </c>
      <c r="BD5" s="234" t="s">
        <v>212</v>
      </c>
      <c r="BE5" s="234" t="s">
        <v>213</v>
      </c>
      <c r="BF5" s="234" t="s">
        <v>214</v>
      </c>
      <c r="BG5" s="234" t="s">
        <v>215</v>
      </c>
      <c r="BH5" s="234" t="s">
        <v>216</v>
      </c>
      <c r="BI5" s="234" t="s">
        <v>217</v>
      </c>
      <c r="BJ5" s="234" t="s">
        <v>655</v>
      </c>
      <c r="BK5" s="234" t="s">
        <v>656</v>
      </c>
      <c r="BL5" s="234" t="s">
        <v>218</v>
      </c>
      <c r="BM5" s="234" t="s">
        <v>219</v>
      </c>
      <c r="BN5" s="234" t="s">
        <v>220</v>
      </c>
      <c r="BO5" s="234" t="s">
        <v>221</v>
      </c>
      <c r="BP5" s="234" t="s">
        <v>222</v>
      </c>
      <c r="BQ5" s="234" t="s">
        <v>223</v>
      </c>
      <c r="BR5" s="234" t="s">
        <v>224</v>
      </c>
      <c r="BS5" s="234" t="s">
        <v>225</v>
      </c>
      <c r="BT5" s="234" t="s">
        <v>226</v>
      </c>
      <c r="BU5" s="234" t="s">
        <v>228</v>
      </c>
      <c r="BV5" s="234" t="s">
        <v>229</v>
      </c>
      <c r="BW5" s="234" t="s">
        <v>230</v>
      </c>
      <c r="BX5" s="234" t="s">
        <v>231</v>
      </c>
      <c r="BY5" s="234" t="s">
        <v>232</v>
      </c>
      <c r="BZ5" s="234" t="s">
        <v>659</v>
      </c>
      <c r="CA5" s="234" t="s">
        <v>660</v>
      </c>
      <c r="CB5" s="234" t="s">
        <v>234</v>
      </c>
      <c r="CC5" s="234" t="s">
        <v>662</v>
      </c>
      <c r="CD5" s="234" t="s">
        <v>767</v>
      </c>
      <c r="CE5" s="234" t="s">
        <v>238</v>
      </c>
      <c r="CF5" s="234" t="s">
        <v>239</v>
      </c>
      <c r="CG5" s="234" t="s">
        <v>240</v>
      </c>
      <c r="CH5" s="234" t="s">
        <v>768</v>
      </c>
      <c r="CI5" s="234" t="s">
        <v>769</v>
      </c>
      <c r="CJ5" s="234" t="s">
        <v>242</v>
      </c>
      <c r="CK5" s="234" t="s">
        <v>243</v>
      </c>
      <c r="CL5" s="234" t="s">
        <v>245</v>
      </c>
      <c r="CM5" s="234" t="s">
        <v>247</v>
      </c>
      <c r="CN5" s="234" t="s">
        <v>248</v>
      </c>
      <c r="CO5" s="234" t="s">
        <v>249</v>
      </c>
      <c r="CP5" s="234" t="s">
        <v>250</v>
      </c>
      <c r="CQ5" s="234" t="s">
        <v>251</v>
      </c>
      <c r="CR5" s="234" t="s">
        <v>252</v>
      </c>
      <c r="CS5" s="234" t="s">
        <v>254</v>
      </c>
      <c r="CT5" s="234" t="s">
        <v>256</v>
      </c>
      <c r="CU5" s="234" t="s">
        <v>257</v>
      </c>
      <c r="CV5" s="234" t="s">
        <v>258</v>
      </c>
      <c r="CW5" s="234" t="s">
        <v>664</v>
      </c>
      <c r="CX5" s="234" t="s">
        <v>260</v>
      </c>
      <c r="CY5" s="234" t="s">
        <v>261</v>
      </c>
      <c r="CZ5" s="234" t="s">
        <v>262</v>
      </c>
      <c r="DA5" s="234" t="s">
        <v>263</v>
      </c>
      <c r="DB5" s="234" t="s">
        <v>265</v>
      </c>
      <c r="DC5" s="234" t="s">
        <v>266</v>
      </c>
      <c r="DD5" s="234" t="s">
        <v>267</v>
      </c>
      <c r="DE5" s="234" t="s">
        <v>268</v>
      </c>
      <c r="DF5" s="234" t="s">
        <v>269</v>
      </c>
      <c r="DG5" s="234" t="s">
        <v>270</v>
      </c>
      <c r="DH5" s="234" t="s">
        <v>271</v>
      </c>
      <c r="DI5" s="234" t="s">
        <v>670</v>
      </c>
      <c r="DJ5" s="234" t="s">
        <v>273</v>
      </c>
      <c r="DK5" s="234" t="s">
        <v>274</v>
      </c>
      <c r="DL5" s="234" t="s">
        <v>671</v>
      </c>
      <c r="DM5" s="234" t="s">
        <v>277</v>
      </c>
      <c r="DN5" s="234" t="s">
        <v>278</v>
      </c>
      <c r="DO5" s="234" t="s">
        <v>279</v>
      </c>
      <c r="DP5" s="234" t="s">
        <v>770</v>
      </c>
      <c r="DQ5" s="234" t="s">
        <v>771</v>
      </c>
      <c r="DR5" s="234" t="s">
        <v>772</v>
      </c>
      <c r="DS5" s="234" t="s">
        <v>773</v>
      </c>
      <c r="DT5" s="234" t="s">
        <v>774</v>
      </c>
      <c r="DU5" s="234" t="s">
        <v>775</v>
      </c>
      <c r="DV5" s="234" t="s">
        <v>776</v>
      </c>
      <c r="DW5" s="234" t="s">
        <v>281</v>
      </c>
      <c r="DX5" s="234" t="s">
        <v>282</v>
      </c>
      <c r="DY5" s="234" t="s">
        <v>777</v>
      </c>
      <c r="DZ5" s="234" t="s">
        <v>283</v>
      </c>
      <c r="EA5" s="234" t="s">
        <v>677</v>
      </c>
      <c r="EB5" s="234" t="s">
        <v>678</v>
      </c>
      <c r="EC5" s="234" t="s">
        <v>778</v>
      </c>
      <c r="ED5" s="234" t="s">
        <v>779</v>
      </c>
      <c r="EE5" s="234" t="s">
        <v>285</v>
      </c>
      <c r="EF5" s="234" t="s">
        <v>679</v>
      </c>
      <c r="EG5" s="234" t="s">
        <v>286</v>
      </c>
      <c r="EH5" s="234" t="s">
        <v>287</v>
      </c>
      <c r="EI5" s="234" t="s">
        <v>288</v>
      </c>
      <c r="EJ5" s="234" t="s">
        <v>680</v>
      </c>
      <c r="EK5" s="234" t="s">
        <v>289</v>
      </c>
      <c r="EL5" s="234" t="s">
        <v>290</v>
      </c>
      <c r="EM5" s="234" t="s">
        <v>291</v>
      </c>
      <c r="EN5" s="234" t="s">
        <v>292</v>
      </c>
      <c r="EO5" s="234" t="s">
        <v>293</v>
      </c>
      <c r="EP5" s="234" t="s">
        <v>682</v>
      </c>
      <c r="EQ5" s="234" t="s">
        <v>294</v>
      </c>
      <c r="ER5" s="234" t="s">
        <v>780</v>
      </c>
      <c r="ES5" s="234" t="s">
        <v>295</v>
      </c>
      <c r="ET5" s="234" t="s">
        <v>296</v>
      </c>
      <c r="EU5" s="234" t="s">
        <v>297</v>
      </c>
      <c r="EV5" s="234" t="s">
        <v>298</v>
      </c>
      <c r="EW5" s="234" t="s">
        <v>299</v>
      </c>
      <c r="EX5" s="234" t="s">
        <v>300</v>
      </c>
      <c r="EY5" s="234" t="s">
        <v>301</v>
      </c>
      <c r="EZ5" s="234" t="s">
        <v>302</v>
      </c>
      <c r="FA5" s="234" t="s">
        <v>684</v>
      </c>
      <c r="FB5" s="234" t="s">
        <v>304</v>
      </c>
      <c r="FC5" s="234" t="s">
        <v>305</v>
      </c>
      <c r="FD5" s="234" t="s">
        <v>306</v>
      </c>
      <c r="FE5" s="234" t="s">
        <v>307</v>
      </c>
      <c r="FF5" s="234" t="s">
        <v>685</v>
      </c>
      <c r="FG5" s="234" t="s">
        <v>309</v>
      </c>
      <c r="FH5" s="234" t="s">
        <v>310</v>
      </c>
      <c r="FI5" s="234" t="s">
        <v>311</v>
      </c>
      <c r="FJ5" s="234" t="s">
        <v>312</v>
      </c>
      <c r="FK5" s="234" t="s">
        <v>313</v>
      </c>
      <c r="FL5" s="234" t="s">
        <v>314</v>
      </c>
      <c r="FM5" s="234" t="s">
        <v>315</v>
      </c>
      <c r="FN5" s="234" t="s">
        <v>316</v>
      </c>
      <c r="FO5" s="234" t="s">
        <v>317</v>
      </c>
      <c r="FP5" s="234" t="s">
        <v>318</v>
      </c>
      <c r="FQ5" s="234" t="s">
        <v>319</v>
      </c>
      <c r="FR5" s="234" t="s">
        <v>320</v>
      </c>
      <c r="FS5" s="234" t="s">
        <v>321</v>
      </c>
      <c r="FT5" s="234" t="s">
        <v>322</v>
      </c>
      <c r="FU5" s="234" t="s">
        <v>323</v>
      </c>
      <c r="FV5" s="234" t="s">
        <v>324</v>
      </c>
      <c r="FW5" s="234" t="s">
        <v>325</v>
      </c>
      <c r="FX5" s="234" t="s">
        <v>326</v>
      </c>
      <c r="FY5" s="234" t="s">
        <v>327</v>
      </c>
      <c r="FZ5" s="234" t="s">
        <v>328</v>
      </c>
      <c r="GA5" s="234" t="s">
        <v>329</v>
      </c>
      <c r="GB5" s="234" t="s">
        <v>330</v>
      </c>
      <c r="GC5" s="234" t="s">
        <v>781</v>
      </c>
      <c r="GD5" s="234" t="s">
        <v>332</v>
      </c>
      <c r="GE5" s="234" t="s">
        <v>333</v>
      </c>
      <c r="GF5" s="234" t="s">
        <v>334</v>
      </c>
      <c r="GG5" s="234" t="s">
        <v>782</v>
      </c>
      <c r="GH5" s="234" t="s">
        <v>783</v>
      </c>
      <c r="GI5" s="234" t="s">
        <v>784</v>
      </c>
      <c r="GJ5" s="234" t="s">
        <v>335</v>
      </c>
      <c r="GK5" s="234" t="s">
        <v>336</v>
      </c>
      <c r="GL5" s="234" t="s">
        <v>337</v>
      </c>
      <c r="GM5" s="234" t="s">
        <v>687</v>
      </c>
      <c r="GN5" s="234" t="s">
        <v>688</v>
      </c>
      <c r="GO5" s="234" t="s">
        <v>341</v>
      </c>
      <c r="GP5" s="234" t="s">
        <v>338</v>
      </c>
      <c r="GQ5" s="234" t="s">
        <v>339</v>
      </c>
      <c r="GR5" s="235"/>
      <c r="GS5" s="210"/>
      <c r="GT5" s="211"/>
    </row>
    <row r="6" spans="1:207" s="219" customFormat="1" ht="11">
      <c r="A6" s="236" t="s">
        <v>743</v>
      </c>
      <c r="B6" s="232" t="s">
        <v>744</v>
      </c>
      <c r="C6" s="232" t="s">
        <v>745</v>
      </c>
      <c r="D6" s="232" t="s">
        <v>746</v>
      </c>
      <c r="E6" s="237" t="s">
        <v>346</v>
      </c>
      <c r="F6" s="237"/>
      <c r="G6" s="238" t="s">
        <v>347</v>
      </c>
      <c r="H6" s="136" t="s">
        <v>348</v>
      </c>
      <c r="I6" s="136" t="s">
        <v>349</v>
      </c>
      <c r="J6" s="136" t="s">
        <v>350</v>
      </c>
      <c r="K6" s="136" t="s">
        <v>351</v>
      </c>
      <c r="L6" s="136" t="s">
        <v>352</v>
      </c>
      <c r="M6" s="136" t="s">
        <v>353</v>
      </c>
      <c r="N6" s="136" t="s">
        <v>354</v>
      </c>
      <c r="O6" s="136" t="s">
        <v>355</v>
      </c>
      <c r="P6" s="136" t="s">
        <v>356</v>
      </c>
      <c r="Q6" s="136" t="s">
        <v>357</v>
      </c>
      <c r="R6" s="136" t="s">
        <v>358</v>
      </c>
      <c r="S6" s="136" t="s">
        <v>359</v>
      </c>
      <c r="T6" s="136" t="s">
        <v>360</v>
      </c>
      <c r="U6" s="136" t="s">
        <v>361</v>
      </c>
      <c r="V6" s="136" t="s">
        <v>362</v>
      </c>
      <c r="W6" s="136" t="s">
        <v>363</v>
      </c>
      <c r="X6" s="136" t="s">
        <v>689</v>
      </c>
      <c r="Y6" s="136" t="s">
        <v>364</v>
      </c>
      <c r="Z6" s="136" t="s">
        <v>365</v>
      </c>
      <c r="AA6" s="136" t="s">
        <v>366</v>
      </c>
      <c r="AB6" s="136" t="s">
        <v>367</v>
      </c>
      <c r="AC6" s="136" t="s">
        <v>368</v>
      </c>
      <c r="AD6" s="136" t="s">
        <v>369</v>
      </c>
      <c r="AE6" s="136" t="s">
        <v>370</v>
      </c>
      <c r="AF6" s="136" t="s">
        <v>371</v>
      </c>
      <c r="AG6" s="136" t="s">
        <v>372</v>
      </c>
      <c r="AH6" s="136" t="s">
        <v>373</v>
      </c>
      <c r="AI6" s="136" t="s">
        <v>374</v>
      </c>
      <c r="AJ6" s="136" t="s">
        <v>376</v>
      </c>
      <c r="AK6" s="136" t="s">
        <v>377</v>
      </c>
      <c r="AL6" s="136" t="s">
        <v>378</v>
      </c>
      <c r="AM6" s="136" t="s">
        <v>379</v>
      </c>
      <c r="AN6" s="136" t="s">
        <v>380</v>
      </c>
      <c r="AO6" s="136" t="s">
        <v>381</v>
      </c>
      <c r="AP6" s="136" t="s">
        <v>382</v>
      </c>
      <c r="AQ6" s="136" t="s">
        <v>383</v>
      </c>
      <c r="AR6" s="136" t="s">
        <v>384</v>
      </c>
      <c r="AS6" s="136" t="s">
        <v>385</v>
      </c>
      <c r="AT6" s="136" t="s">
        <v>386</v>
      </c>
      <c r="AU6" s="136" t="s">
        <v>690</v>
      </c>
      <c r="AV6" s="136" t="s">
        <v>691</v>
      </c>
      <c r="AW6" s="136" t="s">
        <v>387</v>
      </c>
      <c r="AX6" s="136" t="s">
        <v>388</v>
      </c>
      <c r="AY6" s="136" t="s">
        <v>389</v>
      </c>
      <c r="AZ6" s="136" t="s">
        <v>390</v>
      </c>
      <c r="BA6" s="136" t="s">
        <v>391</v>
      </c>
      <c r="BB6" s="136" t="s">
        <v>392</v>
      </c>
      <c r="BC6" s="136" t="s">
        <v>393</v>
      </c>
      <c r="BD6" s="136" t="s">
        <v>394</v>
      </c>
      <c r="BE6" s="136" t="s">
        <v>395</v>
      </c>
      <c r="BF6" s="136" t="s">
        <v>396</v>
      </c>
      <c r="BG6" s="136" t="s">
        <v>397</v>
      </c>
      <c r="BH6" s="136" t="s">
        <v>692</v>
      </c>
      <c r="BI6" s="136" t="s">
        <v>399</v>
      </c>
      <c r="BJ6" s="136" t="s">
        <v>693</v>
      </c>
      <c r="BK6" s="136" t="s">
        <v>694</v>
      </c>
      <c r="BL6" s="136" t="s">
        <v>400</v>
      </c>
      <c r="BM6" s="136" t="s">
        <v>401</v>
      </c>
      <c r="BN6" s="136" t="s">
        <v>402</v>
      </c>
      <c r="BO6" s="136" t="s">
        <v>403</v>
      </c>
      <c r="BP6" s="136" t="s">
        <v>404</v>
      </c>
      <c r="BQ6" s="136" t="s">
        <v>405</v>
      </c>
      <c r="BR6" s="136" t="s">
        <v>406</v>
      </c>
      <c r="BS6" s="136" t="s">
        <v>407</v>
      </c>
      <c r="BT6" s="136" t="s">
        <v>408</v>
      </c>
      <c r="BU6" s="136" t="s">
        <v>409</v>
      </c>
      <c r="BV6" s="136" t="s">
        <v>410</v>
      </c>
      <c r="BW6" s="136" t="s">
        <v>411</v>
      </c>
      <c r="BX6" s="136" t="s">
        <v>412</v>
      </c>
      <c r="BY6" s="136" t="s">
        <v>413</v>
      </c>
      <c r="BZ6" s="136" t="s">
        <v>414</v>
      </c>
      <c r="CA6" s="136" t="s">
        <v>414</v>
      </c>
      <c r="CB6" s="136" t="s">
        <v>415</v>
      </c>
      <c r="CC6" s="136" t="s">
        <v>416</v>
      </c>
      <c r="CD6" s="136" t="s">
        <v>416</v>
      </c>
      <c r="CE6" s="136" t="s">
        <v>416</v>
      </c>
      <c r="CF6" s="136" t="s">
        <v>417</v>
      </c>
      <c r="CG6" s="136" t="s">
        <v>418</v>
      </c>
      <c r="CH6" s="136" t="s">
        <v>419</v>
      </c>
      <c r="CI6" s="136" t="s">
        <v>419</v>
      </c>
      <c r="CJ6" s="136" t="s">
        <v>420</v>
      </c>
      <c r="CK6" s="136" t="s">
        <v>421</v>
      </c>
      <c r="CL6" s="136" t="s">
        <v>422</v>
      </c>
      <c r="CM6" s="136" t="s">
        <v>423</v>
      </c>
      <c r="CN6" s="136" t="s">
        <v>424</v>
      </c>
      <c r="CO6" s="136" t="s">
        <v>425</v>
      </c>
      <c r="CP6" s="136" t="s">
        <v>426</v>
      </c>
      <c r="CQ6" s="136" t="s">
        <v>427</v>
      </c>
      <c r="CR6" s="136" t="s">
        <v>428</v>
      </c>
      <c r="CS6" s="136" t="s">
        <v>429</v>
      </c>
      <c r="CT6" s="136" t="s">
        <v>430</v>
      </c>
      <c r="CU6" s="136" t="s">
        <v>431</v>
      </c>
      <c r="CV6" s="136" t="s">
        <v>432</v>
      </c>
      <c r="CW6" s="136" t="s">
        <v>433</v>
      </c>
      <c r="CX6" s="136" t="s">
        <v>434</v>
      </c>
      <c r="CY6" s="136" t="s">
        <v>435</v>
      </c>
      <c r="CZ6" s="136" t="s">
        <v>436</v>
      </c>
      <c r="DA6" s="136" t="s">
        <v>437</v>
      </c>
      <c r="DB6" s="136" t="s">
        <v>438</v>
      </c>
      <c r="DC6" s="136" t="s">
        <v>439</v>
      </c>
      <c r="DD6" s="136" t="s">
        <v>440</v>
      </c>
      <c r="DE6" s="136" t="s">
        <v>441</v>
      </c>
      <c r="DF6" s="136" t="s">
        <v>442</v>
      </c>
      <c r="DG6" s="136" t="s">
        <v>443</v>
      </c>
      <c r="DH6" s="136" t="s">
        <v>444</v>
      </c>
      <c r="DI6" s="136" t="s">
        <v>445</v>
      </c>
      <c r="DJ6" s="136" t="s">
        <v>446</v>
      </c>
      <c r="DK6" s="136" t="s">
        <v>447</v>
      </c>
      <c r="DL6" s="136" t="s">
        <v>448</v>
      </c>
      <c r="DM6" s="136" t="s">
        <v>449</v>
      </c>
      <c r="DN6" s="136" t="s">
        <v>450</v>
      </c>
      <c r="DO6" s="136" t="s">
        <v>451</v>
      </c>
      <c r="DP6" s="136" t="s">
        <v>785</v>
      </c>
      <c r="DQ6" s="136" t="s">
        <v>786</v>
      </c>
      <c r="DR6" s="136" t="s">
        <v>787</v>
      </c>
      <c r="DS6" s="136" t="s">
        <v>788</v>
      </c>
      <c r="DT6" s="136" t="s">
        <v>789</v>
      </c>
      <c r="DU6" s="136" t="s">
        <v>790</v>
      </c>
      <c r="DV6" s="136" t="s">
        <v>695</v>
      </c>
      <c r="DW6" s="136" t="s">
        <v>452</v>
      </c>
      <c r="DX6" s="136" t="s">
        <v>453</v>
      </c>
      <c r="DY6" s="136" t="s">
        <v>791</v>
      </c>
      <c r="DZ6" s="136" t="s">
        <v>454</v>
      </c>
      <c r="EA6" s="136" t="s">
        <v>455</v>
      </c>
      <c r="EB6" s="136" t="s">
        <v>455</v>
      </c>
      <c r="EC6" s="136" t="s">
        <v>792</v>
      </c>
      <c r="ED6" s="136" t="s">
        <v>793</v>
      </c>
      <c r="EE6" s="136" t="s">
        <v>456</v>
      </c>
      <c r="EF6" s="136" t="s">
        <v>696</v>
      </c>
      <c r="EG6" s="136" t="s">
        <v>457</v>
      </c>
      <c r="EH6" s="136" t="s">
        <v>458</v>
      </c>
      <c r="EI6" s="136" t="s">
        <v>459</v>
      </c>
      <c r="EJ6" s="136" t="s">
        <v>697</v>
      </c>
      <c r="EK6" s="136" t="s">
        <v>460</v>
      </c>
      <c r="EL6" s="136" t="s">
        <v>461</v>
      </c>
      <c r="EM6" s="136" t="s">
        <v>462</v>
      </c>
      <c r="EN6" s="136" t="s">
        <v>463</v>
      </c>
      <c r="EO6" s="136" t="s">
        <v>464</v>
      </c>
      <c r="EP6" s="136" t="s">
        <v>699</v>
      </c>
      <c r="EQ6" s="136" t="s">
        <v>465</v>
      </c>
      <c r="ER6" s="136" t="s">
        <v>794</v>
      </c>
      <c r="ES6" s="136" t="s">
        <v>466</v>
      </c>
      <c r="ET6" s="136" t="s">
        <v>467</v>
      </c>
      <c r="EU6" s="136" t="s">
        <v>468</v>
      </c>
      <c r="EV6" s="136" t="s">
        <v>469</v>
      </c>
      <c r="EW6" s="136" t="s">
        <v>470</v>
      </c>
      <c r="EX6" s="136" t="s">
        <v>471</v>
      </c>
      <c r="EY6" s="136" t="s">
        <v>472</v>
      </c>
      <c r="EZ6" s="136" t="s">
        <v>473</v>
      </c>
      <c r="FA6" s="136" t="s">
        <v>474</v>
      </c>
      <c r="FB6" s="136" t="s">
        <v>475</v>
      </c>
      <c r="FC6" s="136" t="s">
        <v>476</v>
      </c>
      <c r="FD6" s="136" t="s">
        <v>477</v>
      </c>
      <c r="FE6" s="136" t="s">
        <v>478</v>
      </c>
      <c r="FF6" s="136" t="s">
        <v>479</v>
      </c>
      <c r="FG6" s="136" t="s">
        <v>479</v>
      </c>
      <c r="FH6" s="136" t="s">
        <v>480</v>
      </c>
      <c r="FI6" s="136" t="s">
        <v>481</v>
      </c>
      <c r="FJ6" s="136" t="s">
        <v>482</v>
      </c>
      <c r="FK6" s="136" t="s">
        <v>483</v>
      </c>
      <c r="FL6" s="136" t="s">
        <v>484</v>
      </c>
      <c r="FM6" s="136" t="s">
        <v>485</v>
      </c>
      <c r="FN6" s="136" t="s">
        <v>486</v>
      </c>
      <c r="FO6" s="136" t="s">
        <v>487</v>
      </c>
      <c r="FP6" s="136" t="s">
        <v>488</v>
      </c>
      <c r="FQ6" s="136" t="s">
        <v>489</v>
      </c>
      <c r="FR6" s="136" t="s">
        <v>490</v>
      </c>
      <c r="FS6" s="136" t="s">
        <v>491</v>
      </c>
      <c r="FT6" s="136" t="s">
        <v>492</v>
      </c>
      <c r="FU6" s="136" t="s">
        <v>493</v>
      </c>
      <c r="FV6" s="136" t="s">
        <v>494</v>
      </c>
      <c r="FW6" s="136" t="s">
        <v>495</v>
      </c>
      <c r="FX6" s="136" t="s">
        <v>496</v>
      </c>
      <c r="FY6" s="136" t="s">
        <v>497</v>
      </c>
      <c r="FZ6" s="136" t="s">
        <v>498</v>
      </c>
      <c r="GA6" s="136" t="s">
        <v>499</v>
      </c>
      <c r="GB6" s="136" t="s">
        <v>500</v>
      </c>
      <c r="GC6" s="136" t="s">
        <v>501</v>
      </c>
      <c r="GD6" s="136" t="s">
        <v>501</v>
      </c>
      <c r="GE6" s="136" t="s">
        <v>502</v>
      </c>
      <c r="GF6" s="136" t="s">
        <v>503</v>
      </c>
      <c r="GG6" s="136" t="s">
        <v>795</v>
      </c>
      <c r="GH6" s="136" t="s">
        <v>796</v>
      </c>
      <c r="GI6" s="136" t="s">
        <v>700</v>
      </c>
      <c r="GJ6" s="136" t="s">
        <v>504</v>
      </c>
      <c r="GK6" s="136" t="s">
        <v>505</v>
      </c>
      <c r="GL6" s="136" t="s">
        <v>506</v>
      </c>
      <c r="GM6" s="136" t="s">
        <v>647</v>
      </c>
      <c r="GN6" s="136" t="s">
        <v>701</v>
      </c>
      <c r="GO6" s="136" t="s">
        <v>702</v>
      </c>
      <c r="GP6" s="136" t="s">
        <v>507</v>
      </c>
      <c r="GQ6" s="136" t="s">
        <v>508</v>
      </c>
      <c r="GR6" s="219" t="s">
        <v>511</v>
      </c>
      <c r="GS6" s="219" t="s">
        <v>512</v>
      </c>
      <c r="GT6" s="219" t="s">
        <v>513</v>
      </c>
      <c r="GU6" s="219" t="s">
        <v>514</v>
      </c>
      <c r="GV6" s="219" t="s">
        <v>515</v>
      </c>
      <c r="GW6" s="216"/>
      <c r="GX6" s="219" t="s">
        <v>516</v>
      </c>
    </row>
    <row r="7" spans="1:207" s="136" customFormat="1">
      <c r="A7" s="139" t="s">
        <v>517</v>
      </c>
      <c r="B7" s="139" t="s">
        <v>517</v>
      </c>
      <c r="C7" s="139" t="s">
        <v>518</v>
      </c>
      <c r="D7" s="139" t="s">
        <v>8</v>
      </c>
      <c r="E7" s="160" t="s">
        <v>519</v>
      </c>
      <c r="F7" s="139" t="s">
        <v>520</v>
      </c>
      <c r="G7" s="139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150"/>
      <c r="BU7" s="150"/>
      <c r="BV7" s="150"/>
      <c r="BW7" s="150"/>
      <c r="BX7" s="150"/>
      <c r="BY7" s="150"/>
      <c r="BZ7" s="150"/>
      <c r="CA7" s="150"/>
      <c r="CB7" s="150"/>
      <c r="CC7" s="150"/>
      <c r="CD7" s="150"/>
      <c r="CE7" s="150"/>
      <c r="CF7" s="150"/>
      <c r="CG7" s="150"/>
      <c r="CH7" s="150"/>
      <c r="CI7" s="150"/>
      <c r="CJ7" s="150"/>
      <c r="CK7" s="150"/>
      <c r="CL7" s="150"/>
      <c r="CM7" s="150"/>
      <c r="CN7" s="150"/>
      <c r="CO7" s="150"/>
      <c r="CP7" s="150"/>
      <c r="CQ7" s="150"/>
      <c r="CR7" s="150"/>
      <c r="CS7" s="150"/>
      <c r="CT7" s="150"/>
      <c r="CU7" s="150"/>
      <c r="CV7" s="150"/>
      <c r="CW7" s="150"/>
      <c r="CX7" s="150"/>
      <c r="CY7" s="150"/>
      <c r="CZ7" s="150"/>
      <c r="DA7" s="150"/>
      <c r="DB7" s="150"/>
      <c r="DC7" s="150"/>
      <c r="DD7" s="150"/>
      <c r="DE7" s="150"/>
      <c r="DF7" s="150"/>
      <c r="DG7" s="150"/>
      <c r="DH7" s="142">
        <f>4000-4000+950</f>
        <v>950</v>
      </c>
      <c r="DI7" s="150"/>
      <c r="DJ7" s="150"/>
      <c r="DK7" s="150"/>
      <c r="DL7" s="150"/>
      <c r="DM7" s="148">
        <v>790</v>
      </c>
      <c r="DN7" s="150"/>
      <c r="DO7" s="150"/>
      <c r="DP7" s="150"/>
      <c r="DQ7" s="150"/>
      <c r="DR7" s="150"/>
      <c r="DS7" s="150"/>
      <c r="DT7" s="150"/>
      <c r="DU7" s="150"/>
      <c r="DV7" s="150"/>
      <c r="DW7" s="150"/>
      <c r="DX7" s="150"/>
      <c r="DY7" s="150"/>
      <c r="DZ7" s="150"/>
      <c r="EA7" s="150"/>
      <c r="EB7" s="150"/>
      <c r="EC7" s="150"/>
      <c r="ED7" s="142">
        <f>50-50</f>
        <v>0</v>
      </c>
      <c r="EF7" s="142">
        <f t="shared" ref="EF7:EK7" si="0">50-50</f>
        <v>0</v>
      </c>
      <c r="EG7" s="142">
        <f t="shared" si="0"/>
        <v>0</v>
      </c>
      <c r="EI7" s="142">
        <f t="shared" si="0"/>
        <v>0</v>
      </c>
      <c r="EJ7" s="142">
        <f t="shared" si="0"/>
        <v>0</v>
      </c>
      <c r="EK7" s="142">
        <f t="shared" si="0"/>
        <v>0</v>
      </c>
      <c r="EL7" s="150"/>
      <c r="EM7" s="150"/>
      <c r="EN7" s="146">
        <f>50-50+9-9</f>
        <v>0</v>
      </c>
      <c r="EO7" s="150"/>
      <c r="EP7" s="150"/>
      <c r="EQ7" s="150"/>
      <c r="ER7" s="146">
        <f>243-243</f>
        <v>0</v>
      </c>
      <c r="ES7" s="150"/>
      <c r="ET7" s="142">
        <f>100-100</f>
        <v>0</v>
      </c>
      <c r="EU7" s="150"/>
      <c r="EV7" s="142">
        <f>200-200</f>
        <v>0</v>
      </c>
      <c r="EW7" s="150"/>
      <c r="EX7" s="150"/>
      <c r="EY7" s="150"/>
      <c r="FA7" s="142">
        <f>5000-5000</f>
        <v>0</v>
      </c>
      <c r="FB7" s="150"/>
      <c r="FC7" s="150"/>
      <c r="FD7" s="150"/>
      <c r="FE7" s="150"/>
      <c r="FF7" s="150"/>
      <c r="FG7" s="150"/>
      <c r="FH7" s="142">
        <f>100-100</f>
        <v>0</v>
      </c>
      <c r="FI7" s="150"/>
      <c r="FJ7" s="150"/>
      <c r="FK7" s="150"/>
      <c r="FL7" s="150"/>
      <c r="FN7" s="150"/>
      <c r="FO7" s="150"/>
      <c r="FP7" s="150"/>
      <c r="FQ7" s="150"/>
      <c r="FR7" s="150"/>
      <c r="FS7" s="150"/>
      <c r="FT7" s="150"/>
      <c r="FU7" s="150"/>
      <c r="FV7" s="150"/>
      <c r="FW7" s="150"/>
      <c r="FX7" s="150"/>
      <c r="FY7" s="150"/>
      <c r="FZ7" s="150"/>
      <c r="GA7" s="150"/>
      <c r="GB7" s="150"/>
      <c r="GC7" s="150"/>
      <c r="GD7" s="150"/>
      <c r="GE7" s="150"/>
      <c r="GF7" s="150"/>
      <c r="GG7" s="150"/>
      <c r="GH7" s="150"/>
      <c r="GI7" s="150"/>
      <c r="GJ7" s="150"/>
      <c r="GK7" s="150"/>
      <c r="GL7" s="150"/>
      <c r="GM7" s="150"/>
      <c r="GN7" s="150"/>
      <c r="GO7" s="150"/>
      <c r="GP7" s="150"/>
      <c r="GQ7" s="150"/>
      <c r="GR7" s="161"/>
      <c r="GS7" s="162"/>
      <c r="GT7" s="159"/>
      <c r="GU7" s="159"/>
      <c r="GV7" s="159"/>
      <c r="GW7" s="239">
        <f>SUM(H7:GQ7)</f>
        <v>1740</v>
      </c>
      <c r="GX7" s="136" t="s">
        <v>797</v>
      </c>
    </row>
    <row r="8" spans="1:207" s="136" customFormat="1">
      <c r="A8" s="139" t="s">
        <v>517</v>
      </c>
      <c r="B8" s="139" t="s">
        <v>517</v>
      </c>
      <c r="C8" s="139" t="s">
        <v>518</v>
      </c>
      <c r="D8" s="139" t="s">
        <v>4</v>
      </c>
      <c r="E8" s="160" t="s">
        <v>519</v>
      </c>
      <c r="F8" s="139" t="s">
        <v>520</v>
      </c>
      <c r="G8" s="139"/>
      <c r="H8" s="150"/>
      <c r="I8" s="150"/>
      <c r="J8" s="142">
        <f>200-200</f>
        <v>0</v>
      </c>
      <c r="K8" s="142">
        <f>500-500+385</f>
        <v>385</v>
      </c>
      <c r="L8" s="150"/>
      <c r="M8" s="142">
        <f>300-300</f>
        <v>0</v>
      </c>
      <c r="N8" s="142">
        <f>500-500</f>
        <v>0</v>
      </c>
      <c r="O8" s="142">
        <f>1500-1500+355</f>
        <v>355</v>
      </c>
      <c r="P8" s="150"/>
      <c r="Q8" s="150"/>
      <c r="R8" s="142">
        <f>1000-1000</f>
        <v>0</v>
      </c>
      <c r="S8" s="142">
        <f>2000-2000</f>
        <v>0</v>
      </c>
      <c r="T8" s="142">
        <f>100-100</f>
        <v>0</v>
      </c>
      <c r="U8" s="150"/>
      <c r="V8" s="142">
        <f>1000-1000+80</f>
        <v>80</v>
      </c>
      <c r="W8" s="142">
        <f>2000-2000+370</f>
        <v>370</v>
      </c>
      <c r="X8" s="142">
        <f t="shared" ref="X8:AC8" si="1">3000-3000</f>
        <v>0</v>
      </c>
      <c r="Y8" s="142">
        <f t="shared" si="1"/>
        <v>0</v>
      </c>
      <c r="Z8" s="142">
        <f>3000-3000+380</f>
        <v>380</v>
      </c>
      <c r="AA8" s="142">
        <f>3000-3000+390</f>
        <v>390</v>
      </c>
      <c r="AB8" s="142">
        <f t="shared" si="1"/>
        <v>0</v>
      </c>
      <c r="AC8" s="142">
        <f t="shared" si="1"/>
        <v>0</v>
      </c>
      <c r="AD8" s="142">
        <f>200-200</f>
        <v>0</v>
      </c>
      <c r="AE8" s="142">
        <f>1000-1000</f>
        <v>0</v>
      </c>
      <c r="AF8" s="146">
        <f>100-100+9-9</f>
        <v>0</v>
      </c>
      <c r="AG8" s="142">
        <f>1000-1000</f>
        <v>0</v>
      </c>
      <c r="AH8" s="142">
        <f>100-100</f>
        <v>0</v>
      </c>
      <c r="AI8" s="150"/>
      <c r="AJ8" s="150"/>
      <c r="AK8" s="150"/>
      <c r="AL8" s="150"/>
      <c r="AM8" s="150"/>
      <c r="AN8" s="150"/>
      <c r="AO8" s="150"/>
      <c r="AP8" s="150"/>
      <c r="AQ8" s="150"/>
      <c r="AS8" s="150"/>
      <c r="AT8" s="150"/>
      <c r="AU8" s="150"/>
      <c r="AV8" s="150"/>
      <c r="AW8" s="142">
        <f>200-200</f>
        <v>0</v>
      </c>
      <c r="AX8" s="142">
        <f>200-200</f>
        <v>0</v>
      </c>
      <c r="AY8" s="142">
        <f>400-400+310+65</f>
        <v>375</v>
      </c>
      <c r="AZ8" s="142">
        <f>500-500+3</f>
        <v>3</v>
      </c>
      <c r="BA8" s="142">
        <f>1000-1000+360</f>
        <v>360</v>
      </c>
      <c r="BB8" s="142">
        <f>600-600+240</f>
        <v>240</v>
      </c>
      <c r="BC8" s="142">
        <f>800-800+150</f>
        <v>150</v>
      </c>
      <c r="BD8" s="142">
        <f>500-500+7</f>
        <v>7</v>
      </c>
      <c r="BE8" s="142">
        <f>1000-1000+320</f>
        <v>320</v>
      </c>
      <c r="BF8" s="150"/>
      <c r="BG8" s="146">
        <f>50-50+8-5</f>
        <v>3</v>
      </c>
      <c r="BH8" s="150"/>
      <c r="BI8" s="150"/>
      <c r="BJ8" s="150"/>
      <c r="BK8" s="150"/>
      <c r="BL8" s="142">
        <f>200-200</f>
        <v>0</v>
      </c>
      <c r="BM8" s="142">
        <f>200-200</f>
        <v>0</v>
      </c>
      <c r="BN8" s="142">
        <f>400-400</f>
        <v>0</v>
      </c>
      <c r="BO8" s="142">
        <f>400-400+440+40</f>
        <v>480</v>
      </c>
      <c r="BP8" s="142">
        <f>800-800+370</f>
        <v>370</v>
      </c>
      <c r="BQ8" s="142">
        <f>300-300+150</f>
        <v>150</v>
      </c>
      <c r="BR8" s="142">
        <f>500-500</f>
        <v>0</v>
      </c>
      <c r="BS8" s="142">
        <f>1000-1000+340</f>
        <v>340</v>
      </c>
      <c r="BT8" s="146">
        <f>50-50+4-4</f>
        <v>0</v>
      </c>
      <c r="BU8" s="150"/>
      <c r="BV8" s="150"/>
      <c r="BW8" s="150"/>
      <c r="BX8" s="150"/>
      <c r="BY8" s="142">
        <f>400-400+5</f>
        <v>5</v>
      </c>
      <c r="BZ8" s="142">
        <f>500-500+60</f>
        <v>60</v>
      </c>
      <c r="CA8" s="142">
        <f>500-500</f>
        <v>0</v>
      </c>
      <c r="CB8" s="142">
        <f>1000-1000+145</f>
        <v>145</v>
      </c>
      <c r="CC8" s="142">
        <f>1200-1200+140</f>
        <v>140</v>
      </c>
      <c r="CD8" s="142">
        <f>1200-1200+4</f>
        <v>4</v>
      </c>
      <c r="CE8" s="142">
        <f>1200-1200+2</f>
        <v>2</v>
      </c>
      <c r="CF8" s="142">
        <f>600-600+22</f>
        <v>22</v>
      </c>
      <c r="CG8" s="142">
        <f>3000-3000+770</f>
        <v>770</v>
      </c>
      <c r="CH8" s="142">
        <f>1500-1500+20</f>
        <v>20</v>
      </c>
      <c r="CI8" s="142">
        <f>1500-1500+1</f>
        <v>1</v>
      </c>
      <c r="CJ8" s="142">
        <f>2000-2000</f>
        <v>0</v>
      </c>
      <c r="CK8" s="142">
        <f>1000-1000+75</f>
        <v>75</v>
      </c>
      <c r="CL8" s="142">
        <f>1500-1500+440</f>
        <v>440</v>
      </c>
      <c r="CM8" s="142">
        <f>1500-1500+7</f>
        <v>7</v>
      </c>
      <c r="CN8" s="142">
        <f>3000-3000+430</f>
        <v>430</v>
      </c>
      <c r="CO8" s="142">
        <f>1000-1000+170</f>
        <v>170</v>
      </c>
      <c r="CP8" s="142">
        <f>1500-1500+1</f>
        <v>1</v>
      </c>
      <c r="CQ8" s="142">
        <f>3000-3000+20</f>
        <v>20</v>
      </c>
      <c r="CR8" s="142">
        <f>2000-2000+440</f>
        <v>440</v>
      </c>
      <c r="CS8" s="142">
        <f>5000-5000+770</f>
        <v>770</v>
      </c>
      <c r="CT8" s="150"/>
      <c r="CU8" s="142">
        <f>4000-4000+23</f>
        <v>23</v>
      </c>
      <c r="CV8" s="142">
        <f>1000-1000+1</f>
        <v>1</v>
      </c>
      <c r="CW8" s="150"/>
      <c r="CX8" s="142">
        <f>500-500</f>
        <v>0</v>
      </c>
      <c r="CY8" s="142">
        <f>1500-1500+520</f>
        <v>520</v>
      </c>
      <c r="CZ8" s="142">
        <f>3000-3000+650</f>
        <v>650</v>
      </c>
      <c r="DA8" s="142">
        <f>3000-3000+1040</f>
        <v>1040</v>
      </c>
      <c r="DB8" s="142">
        <f>1500-1500</f>
        <v>0</v>
      </c>
      <c r="DC8" s="142">
        <f>4000-4000+1000</f>
        <v>1000</v>
      </c>
      <c r="DD8" s="150"/>
      <c r="DE8" s="142">
        <f>200-200</f>
        <v>0</v>
      </c>
      <c r="DF8" s="142">
        <f>200-200</f>
        <v>0</v>
      </c>
      <c r="DG8" s="142">
        <f>100-100+2</f>
        <v>2</v>
      </c>
      <c r="DI8" s="150"/>
      <c r="DJ8" s="142">
        <f>1500-1500+650</f>
        <v>650</v>
      </c>
      <c r="DK8" s="142">
        <f>4000-4000+2490</f>
        <v>2490</v>
      </c>
      <c r="DL8" s="142">
        <v>440</v>
      </c>
      <c r="DM8" s="148">
        <f>4000-4000+1620-790</f>
        <v>830</v>
      </c>
      <c r="DN8" s="142">
        <f>3500-3500+1030</f>
        <v>1030</v>
      </c>
      <c r="DO8" s="150"/>
      <c r="DP8" s="150"/>
      <c r="DQ8" s="150"/>
      <c r="DR8" s="150"/>
      <c r="DS8" s="150"/>
      <c r="DT8" s="150"/>
      <c r="DU8" s="150"/>
      <c r="DV8" s="150"/>
      <c r="DW8" s="142">
        <f>100-100</f>
        <v>0</v>
      </c>
      <c r="DX8" s="142">
        <f>500-500</f>
        <v>0</v>
      </c>
      <c r="DY8" s="142">
        <f>100-100</f>
        <v>0</v>
      </c>
      <c r="DZ8" s="142">
        <f>100-100</f>
        <v>0</v>
      </c>
      <c r="EA8" s="146">
        <f>2000-2000+2000-2000</f>
        <v>0</v>
      </c>
      <c r="EB8" s="142">
        <f>2000-2000</f>
        <v>0</v>
      </c>
      <c r="EC8" s="150"/>
      <c r="ED8" s="150"/>
      <c r="EE8" s="146">
        <f>1000-1000+3400-2050</f>
        <v>1350</v>
      </c>
      <c r="EF8" s="150"/>
      <c r="EG8" s="150"/>
      <c r="EH8" s="146">
        <f>50-50+60-50</f>
        <v>10</v>
      </c>
      <c r="EI8" s="150"/>
      <c r="EJ8" s="150"/>
      <c r="EK8" s="150"/>
      <c r="EL8" s="142">
        <f>3000-3000+1200</f>
        <v>1200</v>
      </c>
      <c r="EM8" s="142">
        <f>50-50</f>
        <v>0</v>
      </c>
      <c r="EN8" s="150"/>
      <c r="EO8" s="146">
        <f>50-50+260-260</f>
        <v>0</v>
      </c>
      <c r="EP8" s="150"/>
      <c r="EQ8" s="146">
        <f>50-50+25+30-55</f>
        <v>0</v>
      </c>
      <c r="ER8" s="146">
        <f>410-410</f>
        <v>0</v>
      </c>
      <c r="ES8" s="142">
        <f>3000-3000</f>
        <v>0</v>
      </c>
      <c r="ET8" s="150"/>
      <c r="EU8" s="142">
        <f>500-500</f>
        <v>0</v>
      </c>
      <c r="EV8" s="150"/>
      <c r="EW8" s="142">
        <f>5000-5000</f>
        <v>0</v>
      </c>
      <c r="EX8" s="146">
        <f>200-200+20-20</f>
        <v>0</v>
      </c>
      <c r="EY8" s="142">
        <f>200-200</f>
        <v>0</v>
      </c>
      <c r="EZ8" s="146">
        <f>2000-2000+30-30</f>
        <v>0</v>
      </c>
      <c r="FA8" s="150"/>
      <c r="FB8" s="142">
        <f>1000-1000</f>
        <v>0</v>
      </c>
      <c r="FC8" s="142">
        <f>100-100</f>
        <v>0</v>
      </c>
      <c r="FD8" s="142">
        <f>100-100</f>
        <v>0</v>
      </c>
      <c r="FE8" s="142">
        <f>100-100</f>
        <v>0</v>
      </c>
      <c r="FF8" s="146">
        <f>100-100+50-50</f>
        <v>0</v>
      </c>
      <c r="FG8" s="142">
        <f>100-100</f>
        <v>0</v>
      </c>
      <c r="FH8" s="150"/>
      <c r="FI8" s="146">
        <f>3000-3000+320-100</f>
        <v>220</v>
      </c>
      <c r="FJ8" s="142">
        <f>1500-1500</f>
        <v>0</v>
      </c>
      <c r="FK8" s="142">
        <f>3000-3000</f>
        <v>0</v>
      </c>
      <c r="FL8" s="142">
        <f>100-100</f>
        <v>0</v>
      </c>
      <c r="FM8" s="146">
        <f>100-100+1-1</f>
        <v>0</v>
      </c>
      <c r="FN8" s="142">
        <f>100-100</f>
        <v>0</v>
      </c>
      <c r="FO8" s="150"/>
      <c r="FP8" s="150"/>
      <c r="FQ8" s="150"/>
      <c r="FR8" s="150"/>
      <c r="FS8" s="150"/>
      <c r="FT8" s="150"/>
      <c r="FU8" s="150"/>
      <c r="FV8" s="150"/>
      <c r="FW8" s="150"/>
      <c r="FX8" s="150"/>
      <c r="FY8" s="150"/>
      <c r="FZ8" s="150"/>
      <c r="GA8" s="150"/>
      <c r="GB8" s="150"/>
      <c r="GC8" s="150"/>
      <c r="GD8" s="150"/>
      <c r="GE8" s="150"/>
      <c r="GF8" s="142">
        <f>100-100</f>
        <v>0</v>
      </c>
      <c r="GG8" s="150"/>
      <c r="GH8" s="150"/>
      <c r="GI8" s="150"/>
      <c r="GJ8" s="150"/>
      <c r="GK8" s="150"/>
      <c r="GL8" s="150"/>
      <c r="GM8" s="150"/>
      <c r="GN8" s="150"/>
      <c r="GO8" s="150"/>
      <c r="GP8" s="150"/>
      <c r="GQ8" s="150"/>
      <c r="GR8" s="161"/>
      <c r="GS8" s="162"/>
      <c r="GT8" s="159"/>
      <c r="GU8" s="159"/>
      <c r="GV8" s="159"/>
      <c r="GW8" s="239">
        <f t="shared" ref="GW8:GW29" si="2">SUM(H8:GQ8)</f>
        <v>19736</v>
      </c>
      <c r="GX8" s="136" t="s">
        <v>797</v>
      </c>
    </row>
    <row r="9" spans="1:207" s="136" customFormat="1">
      <c r="A9" s="139" t="s">
        <v>517</v>
      </c>
      <c r="B9" s="139" t="s">
        <v>517</v>
      </c>
      <c r="C9" s="139" t="s">
        <v>518</v>
      </c>
      <c r="D9" s="139" t="s">
        <v>3</v>
      </c>
      <c r="E9" s="160" t="s">
        <v>519</v>
      </c>
      <c r="F9" s="139" t="s">
        <v>520</v>
      </c>
      <c r="G9" s="139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46">
        <f>20-20+7-4</f>
        <v>3</v>
      </c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50"/>
      <c r="BQ9" s="142">
        <v>10</v>
      </c>
      <c r="BR9" s="150"/>
      <c r="BS9" s="150"/>
      <c r="BU9" s="150"/>
      <c r="BV9" s="150"/>
      <c r="BW9" s="150"/>
      <c r="BX9" s="150"/>
      <c r="BY9" s="150"/>
      <c r="BZ9" s="142">
        <v>10</v>
      </c>
      <c r="CA9" s="150"/>
      <c r="CB9" s="150"/>
      <c r="CC9" s="150"/>
      <c r="CD9" s="150"/>
      <c r="CE9" s="150"/>
      <c r="CF9" s="150"/>
      <c r="CG9" s="150"/>
      <c r="CH9" s="150"/>
      <c r="CI9" s="150"/>
      <c r="CJ9" s="150"/>
      <c r="CK9" s="150"/>
      <c r="CL9" s="150"/>
      <c r="CM9" s="150"/>
      <c r="CN9" s="150"/>
      <c r="CO9" s="150"/>
      <c r="CP9" s="150"/>
      <c r="CR9" s="150"/>
      <c r="CS9" s="150"/>
      <c r="CT9" s="142">
        <f>1500-1500</f>
        <v>0</v>
      </c>
      <c r="CU9" s="142">
        <v>17</v>
      </c>
      <c r="CV9" s="150"/>
      <c r="CW9" s="150"/>
      <c r="CX9" s="150"/>
      <c r="CY9" s="150"/>
      <c r="CZ9" s="150"/>
      <c r="DA9" s="150"/>
      <c r="DB9" s="150"/>
      <c r="DC9" s="150"/>
      <c r="DD9" s="150"/>
      <c r="DE9" s="150"/>
      <c r="DF9" s="150"/>
      <c r="DG9" s="150"/>
      <c r="DH9" s="150"/>
      <c r="DI9" s="150"/>
      <c r="DJ9" s="150"/>
      <c r="DK9" s="150"/>
      <c r="DL9" s="142">
        <f>1000-1000+20</f>
        <v>20</v>
      </c>
      <c r="DM9" s="150"/>
      <c r="DN9" s="150"/>
      <c r="DO9" s="150"/>
      <c r="DP9" s="150"/>
      <c r="DQ9" s="150"/>
      <c r="DR9" s="150"/>
      <c r="DS9" s="150"/>
      <c r="DT9" s="150"/>
      <c r="DU9" s="150"/>
      <c r="DV9" s="150"/>
      <c r="DW9" s="150"/>
      <c r="DX9" s="150"/>
      <c r="DY9" s="150"/>
      <c r="DZ9" s="150"/>
      <c r="EA9" s="150"/>
      <c r="EB9" s="150"/>
      <c r="EC9" s="150"/>
      <c r="ED9" s="150"/>
      <c r="EE9" s="150"/>
      <c r="EF9" s="150"/>
      <c r="EG9" s="150"/>
      <c r="EH9" s="150"/>
      <c r="EI9" s="150"/>
      <c r="EJ9" s="150"/>
      <c r="EK9" s="150"/>
      <c r="EL9" s="150"/>
      <c r="EM9" s="150"/>
      <c r="EN9" s="150"/>
      <c r="EO9" s="150"/>
      <c r="EP9" s="150"/>
      <c r="EQ9" s="150"/>
      <c r="ER9" s="150"/>
      <c r="ES9" s="150"/>
      <c r="ET9" s="150"/>
      <c r="EU9" s="150"/>
      <c r="EV9" s="150"/>
      <c r="EW9" s="150"/>
      <c r="EX9" s="150"/>
      <c r="EY9" s="150"/>
      <c r="EZ9" s="150"/>
      <c r="FA9" s="150"/>
      <c r="FB9" s="150"/>
      <c r="FC9" s="150"/>
      <c r="FD9" s="150"/>
      <c r="FE9" s="150"/>
      <c r="FF9" s="150"/>
      <c r="FG9" s="150"/>
      <c r="FH9" s="150"/>
      <c r="FI9" s="150"/>
      <c r="FJ9" s="150"/>
      <c r="FK9" s="150"/>
      <c r="FL9" s="150"/>
      <c r="FM9" s="150"/>
      <c r="FN9" s="150"/>
      <c r="FO9" s="150"/>
      <c r="FP9" s="150"/>
      <c r="FQ9" s="150"/>
      <c r="FR9" s="150"/>
      <c r="FS9" s="150"/>
      <c r="FT9" s="150"/>
      <c r="FU9" s="150"/>
      <c r="FV9" s="150"/>
      <c r="FW9" s="150"/>
      <c r="FX9" s="150"/>
      <c r="FY9" s="150"/>
      <c r="FZ9" s="150"/>
      <c r="GA9" s="150"/>
      <c r="GB9" s="150"/>
      <c r="GC9" s="150"/>
      <c r="GD9" s="150"/>
      <c r="GE9" s="150"/>
      <c r="GF9" s="150"/>
      <c r="GG9" s="150"/>
      <c r="GH9" s="150"/>
      <c r="GI9" s="150"/>
      <c r="GJ9" s="150"/>
      <c r="GK9" s="150"/>
      <c r="GL9" s="150"/>
      <c r="GM9" s="150"/>
      <c r="GN9" s="150"/>
      <c r="GO9" s="150"/>
      <c r="GP9" s="150"/>
      <c r="GQ9" s="150"/>
      <c r="GR9" s="161"/>
      <c r="GS9" s="162"/>
      <c r="GT9" s="159"/>
      <c r="GU9" s="159"/>
      <c r="GV9" s="159"/>
      <c r="GW9" s="239">
        <f t="shared" si="2"/>
        <v>60</v>
      </c>
      <c r="GX9" s="136" t="s">
        <v>797</v>
      </c>
    </row>
    <row r="10" spans="1:207" s="136" customFormat="1">
      <c r="A10" s="139" t="s">
        <v>517</v>
      </c>
      <c r="B10" s="139" t="s">
        <v>525</v>
      </c>
      <c r="C10" s="139" t="s">
        <v>518</v>
      </c>
      <c r="D10" s="139" t="s">
        <v>8</v>
      </c>
      <c r="E10" s="149" t="s">
        <v>519</v>
      </c>
      <c r="F10" s="139" t="s">
        <v>520</v>
      </c>
      <c r="G10" s="139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  <c r="DJ10" s="150"/>
      <c r="DK10" s="150"/>
      <c r="DL10" s="150"/>
      <c r="DM10" s="150"/>
      <c r="DN10" s="150"/>
      <c r="DO10" s="150"/>
      <c r="DP10" s="150"/>
      <c r="DQ10" s="150"/>
      <c r="DR10" s="150"/>
      <c r="DS10" s="150"/>
      <c r="DT10" s="150"/>
      <c r="DU10" s="150"/>
      <c r="DV10" s="150"/>
      <c r="DW10" s="150"/>
      <c r="DX10" s="150"/>
      <c r="DY10" s="150"/>
      <c r="DZ10" s="150"/>
      <c r="EA10" s="150"/>
      <c r="EB10" s="150"/>
      <c r="EC10" s="150"/>
      <c r="ED10" s="150"/>
      <c r="EE10" s="150"/>
      <c r="EF10" s="150"/>
      <c r="EG10" s="150"/>
      <c r="EH10" s="150"/>
      <c r="EI10" s="150"/>
      <c r="EJ10" s="150"/>
      <c r="EK10" s="150"/>
      <c r="EL10" s="150"/>
      <c r="EM10" s="150"/>
      <c r="EN10" s="150"/>
      <c r="EO10" s="150"/>
      <c r="EP10" s="150"/>
      <c r="EQ10" s="150"/>
      <c r="ER10" s="150"/>
      <c r="ES10" s="150"/>
      <c r="ET10" s="150"/>
      <c r="EU10" s="150"/>
      <c r="EV10" s="150"/>
      <c r="EW10" s="150"/>
      <c r="EX10" s="150"/>
      <c r="EY10" s="150"/>
      <c r="EZ10" s="150"/>
      <c r="FA10" s="150"/>
      <c r="FB10" s="150"/>
      <c r="FC10" s="150"/>
      <c r="FD10" s="150"/>
      <c r="FE10" s="150"/>
      <c r="FF10" s="150"/>
      <c r="FG10" s="150"/>
      <c r="FH10" s="150"/>
      <c r="FI10" s="150"/>
      <c r="FJ10" s="150"/>
      <c r="FK10" s="150"/>
      <c r="FL10" s="150"/>
      <c r="FM10" s="150"/>
      <c r="FN10" s="150"/>
      <c r="FO10" s="142">
        <f>3000-3000+320</f>
        <v>320</v>
      </c>
      <c r="FP10" s="150"/>
      <c r="FQ10" s="150"/>
      <c r="FR10" s="150"/>
      <c r="FU10" s="150"/>
      <c r="FV10" s="142">
        <f>2000-2000+760</f>
        <v>760</v>
      </c>
      <c r="FW10" s="142">
        <f>500-500</f>
        <v>0</v>
      </c>
      <c r="FX10" s="142">
        <f>500-500</f>
        <v>0</v>
      </c>
      <c r="FY10" s="150">
        <v>500</v>
      </c>
      <c r="FZ10" s="150"/>
      <c r="GA10" s="142">
        <f>2000-2000</f>
        <v>0</v>
      </c>
      <c r="GB10" s="142">
        <f>2000-2000</f>
        <v>0</v>
      </c>
      <c r="GC10" s="142">
        <f>2000-2000</f>
        <v>0</v>
      </c>
      <c r="GD10" s="142">
        <f>2000-2000</f>
        <v>0</v>
      </c>
      <c r="GE10" s="146">
        <f>2000-2000+10-10</f>
        <v>0</v>
      </c>
      <c r="GF10" s="150"/>
      <c r="GG10" s="150"/>
      <c r="GH10" s="150"/>
      <c r="GI10" s="150"/>
      <c r="GJ10" s="150"/>
      <c r="GK10" s="150"/>
      <c r="GL10" s="150"/>
      <c r="GM10" s="150"/>
      <c r="GN10" s="150"/>
      <c r="GO10" s="150"/>
      <c r="GP10" s="150"/>
      <c r="GQ10" s="150"/>
      <c r="GR10" s="161"/>
      <c r="GS10" s="162"/>
      <c r="GT10" s="159"/>
      <c r="GU10" s="159"/>
      <c r="GV10" s="159"/>
      <c r="GW10" s="239">
        <f t="shared" si="2"/>
        <v>1580</v>
      </c>
      <c r="GX10" s="136" t="s">
        <v>797</v>
      </c>
    </row>
    <row r="11" spans="1:207" s="136" customFormat="1">
      <c r="A11" s="139" t="s">
        <v>517</v>
      </c>
      <c r="B11" s="139" t="s">
        <v>525</v>
      </c>
      <c r="C11" s="139" t="s">
        <v>518</v>
      </c>
      <c r="D11" s="139" t="s">
        <v>4</v>
      </c>
      <c r="E11" s="149" t="s">
        <v>519</v>
      </c>
      <c r="F11" s="139" t="s">
        <v>520</v>
      </c>
      <c r="G11" s="139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42">
        <f>1000-1000</f>
        <v>0</v>
      </c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50"/>
      <c r="CG11" s="150"/>
      <c r="CH11" s="150"/>
      <c r="CI11" s="150"/>
      <c r="CJ11" s="150"/>
      <c r="CK11" s="150"/>
      <c r="CL11" s="150"/>
      <c r="CM11" s="150"/>
      <c r="CN11" s="150"/>
      <c r="CO11" s="150"/>
      <c r="CP11" s="150"/>
      <c r="CQ11" s="150"/>
      <c r="CR11" s="150"/>
      <c r="CS11" s="150"/>
      <c r="CT11" s="150"/>
      <c r="CU11" s="150"/>
      <c r="CV11" s="150"/>
      <c r="CW11" s="150"/>
      <c r="CX11" s="150"/>
      <c r="CY11" s="150"/>
      <c r="CZ11" s="150"/>
      <c r="DA11" s="150"/>
      <c r="DB11" s="150"/>
      <c r="DC11" s="150"/>
      <c r="DD11" s="150"/>
      <c r="DE11" s="150"/>
      <c r="DF11" s="150"/>
      <c r="DG11" s="150"/>
      <c r="DH11" s="150"/>
      <c r="DI11" s="150"/>
      <c r="DJ11" s="150"/>
      <c r="DK11" s="150"/>
      <c r="DL11" s="150"/>
      <c r="DM11" s="150"/>
      <c r="DN11" s="150"/>
      <c r="DO11" s="150"/>
      <c r="DP11" s="150"/>
      <c r="DQ11" s="150"/>
      <c r="DR11" s="150"/>
      <c r="DS11" s="150"/>
      <c r="DT11" s="150"/>
      <c r="DU11" s="150"/>
      <c r="DV11" s="150"/>
      <c r="DW11" s="150"/>
      <c r="DX11" s="150"/>
      <c r="DY11" s="150"/>
      <c r="DZ11" s="150"/>
      <c r="EA11" s="150"/>
      <c r="EB11" s="150"/>
      <c r="EC11" s="150"/>
      <c r="ED11" s="150"/>
      <c r="EE11" s="150"/>
      <c r="EF11" s="150"/>
      <c r="EG11" s="150"/>
      <c r="EH11" s="150"/>
      <c r="EI11" s="150"/>
      <c r="EJ11" s="150"/>
      <c r="EK11" s="150"/>
      <c r="EL11" s="150"/>
      <c r="EM11" s="150"/>
      <c r="EN11" s="150"/>
      <c r="EO11" s="150"/>
      <c r="EP11" s="150"/>
      <c r="EQ11" s="150"/>
      <c r="ER11" s="150"/>
      <c r="ES11" s="150"/>
      <c r="ET11" s="150"/>
      <c r="EU11" s="150"/>
      <c r="EV11" s="150"/>
      <c r="EW11" s="150"/>
      <c r="EX11" s="150"/>
      <c r="EY11" s="150"/>
      <c r="EZ11" s="150"/>
      <c r="FA11" s="150"/>
      <c r="FB11" s="150"/>
      <c r="FC11" s="150"/>
      <c r="FD11" s="150"/>
      <c r="FE11" s="150"/>
      <c r="FF11" s="150"/>
      <c r="FG11" s="150"/>
      <c r="FH11" s="150"/>
      <c r="FI11" s="150"/>
      <c r="FJ11" s="150"/>
      <c r="FK11" s="150"/>
      <c r="FL11" s="150"/>
      <c r="FM11" s="150"/>
      <c r="FN11" s="150"/>
      <c r="FO11" s="150"/>
      <c r="FP11" s="142">
        <f>3000-3000+950</f>
        <v>950</v>
      </c>
      <c r="FQ11" s="142">
        <f>3000-3000+320</f>
        <v>320</v>
      </c>
      <c r="FR11" s="146">
        <f>1000-1000+8-8</f>
        <v>0</v>
      </c>
      <c r="FS11" s="146">
        <f>1000-1000+950-220</f>
        <v>730</v>
      </c>
      <c r="FT11" s="146">
        <f>1000-1000+1425-260</f>
        <v>1165</v>
      </c>
      <c r="FU11" s="142">
        <f>1000-1000</f>
        <v>0</v>
      </c>
      <c r="FW11" s="150"/>
      <c r="FX11" s="150"/>
      <c r="FY11" s="150"/>
      <c r="FZ11" s="142">
        <f>2000-2000</f>
        <v>0</v>
      </c>
      <c r="GA11" s="150"/>
      <c r="GB11" s="150"/>
      <c r="GC11" s="150"/>
      <c r="GD11" s="150"/>
      <c r="GE11" s="150"/>
      <c r="GF11" s="150"/>
      <c r="GG11" s="150"/>
      <c r="GH11" s="150"/>
      <c r="GI11" s="150"/>
      <c r="GJ11" s="150"/>
      <c r="GK11" s="150"/>
      <c r="GL11" s="150"/>
      <c r="GM11" s="150"/>
      <c r="GN11" s="150"/>
      <c r="GO11" s="150"/>
      <c r="GP11" s="150"/>
      <c r="GQ11" s="150"/>
      <c r="GR11" s="161"/>
      <c r="GS11" s="162"/>
      <c r="GT11" s="159"/>
      <c r="GU11" s="159"/>
      <c r="GV11" s="159"/>
      <c r="GW11" s="239">
        <f t="shared" si="2"/>
        <v>3165</v>
      </c>
      <c r="GX11" s="136" t="s">
        <v>797</v>
      </c>
    </row>
    <row r="12" spans="1:207" s="136" customFormat="1">
      <c r="A12" s="139" t="s">
        <v>517</v>
      </c>
      <c r="B12" s="139" t="s">
        <v>525</v>
      </c>
      <c r="C12" s="139" t="s">
        <v>518</v>
      </c>
      <c r="D12" s="139" t="s">
        <v>3</v>
      </c>
      <c r="E12" s="149" t="s">
        <v>519</v>
      </c>
      <c r="F12" s="139" t="s">
        <v>520</v>
      </c>
      <c r="G12" s="139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  <c r="EN12" s="150"/>
      <c r="EO12" s="150"/>
      <c r="EP12" s="150"/>
      <c r="EQ12" s="150"/>
      <c r="ER12" s="150"/>
      <c r="ES12" s="150"/>
      <c r="ET12" s="150"/>
      <c r="EU12" s="150"/>
      <c r="EV12" s="150"/>
      <c r="EW12" s="150"/>
      <c r="EX12" s="150"/>
      <c r="EY12" s="150"/>
      <c r="EZ12" s="150"/>
      <c r="FA12" s="150"/>
      <c r="FB12" s="150"/>
      <c r="FC12" s="150"/>
      <c r="FD12" s="150"/>
      <c r="FE12" s="150"/>
      <c r="FF12" s="150"/>
      <c r="FG12" s="150"/>
      <c r="FH12" s="150"/>
      <c r="FI12" s="150"/>
      <c r="FJ12" s="150"/>
      <c r="FK12" s="150"/>
      <c r="FL12" s="150"/>
      <c r="FM12" s="150"/>
      <c r="FN12" s="150"/>
      <c r="FO12" s="150"/>
      <c r="FP12" s="150"/>
      <c r="FQ12" s="150"/>
      <c r="FR12" s="150"/>
      <c r="FS12" s="150"/>
      <c r="FT12" s="150"/>
      <c r="FU12" s="150"/>
      <c r="FV12" s="142">
        <v>260</v>
      </c>
      <c r="FW12" s="150"/>
      <c r="FX12" s="150"/>
      <c r="FY12" s="150"/>
      <c r="FZ12" s="150"/>
      <c r="GA12" s="150"/>
      <c r="GB12" s="150"/>
      <c r="GC12" s="150"/>
      <c r="GD12" s="150"/>
      <c r="GE12" s="150"/>
      <c r="GF12" s="150"/>
      <c r="GG12" s="150"/>
      <c r="GH12" s="150"/>
      <c r="GI12" s="150"/>
      <c r="GJ12" s="150"/>
      <c r="GK12" s="150"/>
      <c r="GL12" s="150"/>
      <c r="GM12" s="150"/>
      <c r="GN12" s="150"/>
      <c r="GO12" s="150"/>
      <c r="GP12" s="150"/>
      <c r="GQ12" s="150"/>
      <c r="GR12" s="161"/>
      <c r="GS12" s="162"/>
      <c r="GT12" s="158"/>
      <c r="GU12" s="159"/>
      <c r="GV12" s="159"/>
      <c r="GW12" s="239">
        <f t="shared" si="2"/>
        <v>260</v>
      </c>
      <c r="GX12" s="136" t="s">
        <v>797</v>
      </c>
    </row>
    <row r="13" spans="1:207" s="136" customFormat="1" hidden="1">
      <c r="A13" s="154"/>
      <c r="B13" s="139" t="s">
        <v>517</v>
      </c>
      <c r="C13" s="139" t="s">
        <v>527</v>
      </c>
      <c r="D13" s="139" t="s">
        <v>8</v>
      </c>
      <c r="E13" s="160" t="s">
        <v>528</v>
      </c>
      <c r="F13" s="139" t="s">
        <v>520</v>
      </c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  <c r="EG13" s="154"/>
      <c r="EH13" s="154"/>
      <c r="EI13" s="154"/>
      <c r="EJ13" s="154"/>
      <c r="EK13" s="154"/>
      <c r="EL13" s="154"/>
      <c r="EM13" s="154"/>
      <c r="EN13" s="154"/>
      <c r="EO13" s="154"/>
      <c r="EP13" s="154"/>
      <c r="EQ13" s="154"/>
      <c r="ER13" s="154"/>
      <c r="ES13" s="154"/>
      <c r="ET13" s="154"/>
      <c r="EU13" s="154"/>
      <c r="EV13" s="154"/>
      <c r="EW13" s="154"/>
      <c r="EX13" s="154"/>
      <c r="EY13" s="154"/>
      <c r="EZ13" s="154"/>
      <c r="FA13" s="154"/>
      <c r="FB13" s="154"/>
      <c r="FC13" s="154"/>
      <c r="FD13" s="154"/>
      <c r="FE13" s="154"/>
      <c r="FF13" s="154"/>
      <c r="FG13" s="154"/>
      <c r="FH13" s="154"/>
      <c r="FI13" s="154"/>
      <c r="FJ13" s="154"/>
      <c r="FK13" s="154"/>
      <c r="FL13" s="154"/>
      <c r="FM13" s="154"/>
      <c r="FN13" s="154"/>
      <c r="FO13" s="154"/>
      <c r="FP13" s="154"/>
      <c r="FQ13" s="154"/>
      <c r="FR13" s="154"/>
      <c r="FS13" s="154"/>
      <c r="FT13" s="154"/>
      <c r="FU13" s="154"/>
      <c r="FV13" s="154"/>
      <c r="FW13" s="154"/>
      <c r="FX13" s="154"/>
      <c r="FY13" s="154"/>
      <c r="FZ13" s="154"/>
      <c r="GA13" s="154"/>
      <c r="GB13" s="154"/>
      <c r="GC13" s="154"/>
      <c r="GD13" s="154"/>
      <c r="GE13" s="154"/>
      <c r="GF13" s="154"/>
      <c r="GG13" s="154"/>
      <c r="GH13" s="154"/>
      <c r="GI13" s="154"/>
      <c r="GJ13" s="154"/>
      <c r="GK13" s="154"/>
      <c r="GL13" s="154"/>
      <c r="GM13" s="154"/>
      <c r="GN13" s="154"/>
      <c r="GO13" s="154"/>
      <c r="GP13" s="154"/>
      <c r="GQ13" s="154"/>
      <c r="GR13" s="154"/>
      <c r="GS13" s="154"/>
      <c r="GT13" s="154"/>
      <c r="GU13" s="154"/>
      <c r="GV13" s="158" t="s">
        <v>529</v>
      </c>
      <c r="GW13" s="239">
        <f t="shared" si="2"/>
        <v>0</v>
      </c>
      <c r="GX13" s="145" t="s">
        <v>530</v>
      </c>
    </row>
    <row r="14" spans="1:207" s="136" customFormat="1" hidden="1">
      <c r="A14" s="154"/>
      <c r="B14" s="139" t="s">
        <v>517</v>
      </c>
      <c r="C14" s="139" t="s">
        <v>527</v>
      </c>
      <c r="D14" s="139" t="s">
        <v>4</v>
      </c>
      <c r="E14" s="160" t="s">
        <v>528</v>
      </c>
      <c r="F14" s="139" t="s">
        <v>520</v>
      </c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  <c r="EG14" s="154"/>
      <c r="EH14" s="154"/>
      <c r="EI14" s="154"/>
      <c r="EJ14" s="154"/>
      <c r="EK14" s="154"/>
      <c r="EL14" s="154"/>
      <c r="EM14" s="154"/>
      <c r="EN14" s="154"/>
      <c r="EO14" s="154"/>
      <c r="EP14" s="154"/>
      <c r="EQ14" s="154"/>
      <c r="ER14" s="154"/>
      <c r="ES14" s="154"/>
      <c r="ET14" s="154"/>
      <c r="EU14" s="154"/>
      <c r="EV14" s="156">
        <f>100-100</f>
        <v>0</v>
      </c>
      <c r="EW14" s="156">
        <f>100-100</f>
        <v>0</v>
      </c>
      <c r="EX14" s="154"/>
      <c r="EY14" s="154"/>
      <c r="EZ14" s="156">
        <f>50-50</f>
        <v>0</v>
      </c>
      <c r="FA14" s="156">
        <f>200-200</f>
        <v>0</v>
      </c>
      <c r="FB14" s="156">
        <f>20-20</f>
        <v>0</v>
      </c>
      <c r="FC14" s="154"/>
      <c r="FD14" s="154"/>
      <c r="FE14" s="154"/>
      <c r="FF14" s="156">
        <f>50-50</f>
        <v>0</v>
      </c>
      <c r="FG14" s="156">
        <f>50-50</f>
        <v>0</v>
      </c>
      <c r="FH14" s="154"/>
      <c r="FI14" s="156">
        <f>200-200</f>
        <v>0</v>
      </c>
      <c r="FJ14" s="154"/>
      <c r="FK14" s="154"/>
      <c r="FL14" s="154"/>
      <c r="FM14" s="154"/>
      <c r="FN14" s="154"/>
      <c r="FO14" s="154"/>
      <c r="FP14" s="154"/>
      <c r="FQ14" s="154"/>
      <c r="FR14" s="154"/>
      <c r="FS14" s="154"/>
      <c r="FT14" s="154"/>
      <c r="FU14" s="154"/>
      <c r="FV14" s="154"/>
      <c r="FW14" s="154"/>
      <c r="FX14" s="154"/>
      <c r="FY14" s="154"/>
      <c r="FZ14" s="154"/>
      <c r="GA14" s="154"/>
      <c r="GB14" s="154"/>
      <c r="GC14" s="154"/>
      <c r="GD14" s="154"/>
      <c r="GE14" s="154"/>
      <c r="GF14" s="154"/>
      <c r="GG14" s="154"/>
      <c r="GH14" s="154"/>
      <c r="GI14" s="154"/>
      <c r="GJ14" s="154"/>
      <c r="GK14" s="154"/>
      <c r="GL14" s="154"/>
      <c r="GM14" s="154"/>
      <c r="GN14" s="154"/>
      <c r="GO14" s="154"/>
      <c r="GP14" s="154"/>
      <c r="GQ14" s="154"/>
      <c r="GR14" s="154"/>
      <c r="GS14" s="154"/>
      <c r="GT14" s="154"/>
      <c r="GU14" s="154"/>
      <c r="GV14" s="158" t="s">
        <v>529</v>
      </c>
      <c r="GW14" s="239">
        <f t="shared" si="2"/>
        <v>0</v>
      </c>
      <c r="GX14" s="145" t="s">
        <v>530</v>
      </c>
    </row>
    <row r="15" spans="1:207" s="136" customFormat="1" hidden="1">
      <c r="A15" s="154"/>
      <c r="B15" s="139" t="s">
        <v>517</v>
      </c>
      <c r="C15" s="139" t="s">
        <v>527</v>
      </c>
      <c r="D15" s="139" t="s">
        <v>632</v>
      </c>
      <c r="E15" s="160" t="s">
        <v>528</v>
      </c>
      <c r="F15" s="139" t="s">
        <v>520</v>
      </c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  <c r="CH15" s="154"/>
      <c r="CI15" s="154"/>
      <c r="CJ15" s="154"/>
      <c r="CK15" s="154"/>
      <c r="CL15" s="154"/>
      <c r="CM15" s="154"/>
      <c r="CN15" s="154"/>
      <c r="CO15" s="154"/>
      <c r="CP15" s="154"/>
      <c r="CQ15" s="154"/>
      <c r="CR15" s="154"/>
      <c r="CS15" s="154"/>
      <c r="CT15" s="154"/>
      <c r="CU15" s="154"/>
      <c r="CV15" s="154"/>
      <c r="CW15" s="154"/>
      <c r="CX15" s="154"/>
      <c r="CY15" s="154"/>
      <c r="CZ15" s="154"/>
      <c r="DA15" s="154"/>
      <c r="DB15" s="154"/>
      <c r="DC15" s="154"/>
      <c r="DD15" s="154"/>
      <c r="DE15" s="154"/>
      <c r="DF15" s="154"/>
      <c r="DG15" s="154"/>
      <c r="DH15" s="154"/>
      <c r="DI15" s="154"/>
      <c r="DJ15" s="154"/>
      <c r="DK15" s="154"/>
      <c r="DL15" s="154"/>
      <c r="DM15" s="154"/>
      <c r="DN15" s="154"/>
      <c r="DO15" s="154"/>
      <c r="DP15" s="154"/>
      <c r="DQ15" s="154"/>
      <c r="DR15" s="154"/>
      <c r="DS15" s="154"/>
      <c r="DT15" s="154"/>
      <c r="DU15" s="154"/>
      <c r="DV15" s="154"/>
      <c r="DW15" s="154"/>
      <c r="DX15" s="154"/>
      <c r="DY15" s="154"/>
      <c r="DZ15" s="154"/>
      <c r="EA15" s="154"/>
      <c r="EB15" s="154"/>
      <c r="EC15" s="154"/>
      <c r="ED15" s="154"/>
      <c r="EE15" s="154"/>
      <c r="EF15" s="154"/>
      <c r="EG15" s="154"/>
      <c r="EH15" s="154"/>
      <c r="EI15" s="154"/>
      <c r="EJ15" s="154"/>
      <c r="EK15" s="154"/>
      <c r="EL15" s="154"/>
      <c r="EM15" s="154"/>
      <c r="EN15" s="154"/>
      <c r="EO15" s="154"/>
      <c r="EP15" s="154"/>
      <c r="EQ15" s="154"/>
      <c r="ER15" s="154"/>
      <c r="ES15" s="154"/>
      <c r="ET15" s="154"/>
      <c r="EU15" s="154"/>
      <c r="EV15" s="154"/>
      <c r="EW15" s="154"/>
      <c r="EX15" s="154"/>
      <c r="EY15" s="154"/>
      <c r="EZ15" s="154"/>
      <c r="FA15" s="154"/>
      <c r="FB15" s="154"/>
      <c r="FC15" s="154"/>
      <c r="FD15" s="154"/>
      <c r="FE15" s="154"/>
      <c r="FF15" s="154"/>
      <c r="FG15" s="154"/>
      <c r="FH15" s="154"/>
      <c r="FI15" s="154"/>
      <c r="FJ15" s="154"/>
      <c r="FK15" s="154"/>
      <c r="FL15" s="154"/>
      <c r="FM15" s="154"/>
      <c r="FN15" s="154"/>
      <c r="FO15" s="154"/>
      <c r="FP15" s="154"/>
      <c r="FQ15" s="154"/>
      <c r="FR15" s="154"/>
      <c r="FS15" s="154"/>
      <c r="FT15" s="154"/>
      <c r="FU15" s="154"/>
      <c r="FV15" s="154"/>
      <c r="FW15" s="154"/>
      <c r="FX15" s="154"/>
      <c r="FY15" s="154"/>
      <c r="FZ15" s="154"/>
      <c r="GA15" s="154"/>
      <c r="GB15" s="154"/>
      <c r="GC15" s="154"/>
      <c r="GD15" s="154"/>
      <c r="GE15" s="154"/>
      <c r="GF15" s="154"/>
      <c r="GG15" s="154"/>
      <c r="GH15" s="154"/>
      <c r="GI15" s="154"/>
      <c r="GJ15" s="154"/>
      <c r="GK15" s="154"/>
      <c r="GL15" s="154"/>
      <c r="GM15" s="154"/>
      <c r="GN15" s="154"/>
      <c r="GO15" s="154"/>
      <c r="GP15" s="154"/>
      <c r="GQ15" s="154"/>
      <c r="GR15" s="154"/>
      <c r="GS15" s="154"/>
      <c r="GT15" s="154"/>
      <c r="GU15" s="154"/>
      <c r="GV15" s="158" t="s">
        <v>529</v>
      </c>
      <c r="GW15" s="239">
        <f t="shared" ref="GW15:GW16" si="3">SUM(H15:GQ15)</f>
        <v>0</v>
      </c>
      <c r="GX15" s="145" t="s">
        <v>798</v>
      </c>
      <c r="GY15" s="240" t="s">
        <v>799</v>
      </c>
    </row>
    <row r="16" spans="1:207" s="136" customFormat="1" hidden="1">
      <c r="A16" s="139"/>
      <c r="B16" s="241" t="s">
        <v>517</v>
      </c>
      <c r="C16" s="139" t="s">
        <v>527</v>
      </c>
      <c r="D16" s="139" t="s">
        <v>636</v>
      </c>
      <c r="E16" s="160" t="s">
        <v>532</v>
      </c>
      <c r="F16" s="139" t="s">
        <v>520</v>
      </c>
      <c r="G16" s="139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50"/>
      <c r="CG16" s="150"/>
      <c r="CH16" s="150"/>
      <c r="CI16" s="150"/>
      <c r="CJ16" s="150"/>
      <c r="CK16" s="150"/>
      <c r="CL16" s="150"/>
      <c r="CM16" s="150"/>
      <c r="CN16" s="150"/>
      <c r="CO16" s="150"/>
      <c r="CP16" s="150"/>
      <c r="CQ16" s="150"/>
      <c r="CR16" s="150"/>
      <c r="CS16" s="150"/>
      <c r="CT16" s="150"/>
      <c r="CU16" s="150"/>
      <c r="CV16" s="150"/>
      <c r="CW16" s="150"/>
      <c r="CX16" s="150"/>
      <c r="CY16" s="150"/>
      <c r="CZ16" s="150"/>
      <c r="DA16" s="150"/>
      <c r="DB16" s="150"/>
      <c r="DC16" s="150"/>
      <c r="DD16" s="150"/>
      <c r="DE16" s="150"/>
      <c r="DF16" s="150"/>
      <c r="DG16" s="150"/>
      <c r="DH16" s="150"/>
      <c r="DI16" s="150"/>
      <c r="DJ16" s="150"/>
      <c r="DK16" s="150"/>
      <c r="DL16" s="150"/>
      <c r="DM16" s="150"/>
      <c r="DN16" s="150"/>
      <c r="DO16" s="150"/>
      <c r="DP16" s="150"/>
      <c r="DQ16" s="150"/>
      <c r="DR16" s="150"/>
      <c r="DS16" s="150"/>
      <c r="DT16" s="150"/>
      <c r="DU16" s="150"/>
      <c r="DV16" s="150"/>
      <c r="DW16" s="150"/>
      <c r="DX16" s="150"/>
      <c r="DY16" s="150"/>
      <c r="DZ16" s="150"/>
      <c r="EA16" s="150"/>
      <c r="EB16" s="150"/>
      <c r="EC16" s="150"/>
      <c r="ED16" s="150"/>
      <c r="EE16" s="150"/>
      <c r="EF16" s="150"/>
      <c r="EG16" s="150"/>
      <c r="EH16" s="150"/>
      <c r="EI16" s="150"/>
      <c r="EJ16" s="150"/>
      <c r="EK16" s="150"/>
      <c r="EL16" s="150"/>
      <c r="EM16" s="150"/>
      <c r="EN16" s="150"/>
      <c r="EO16" s="150"/>
      <c r="EP16" s="150"/>
      <c r="EQ16" s="150"/>
      <c r="ER16" s="150"/>
      <c r="ES16" s="150"/>
      <c r="ET16" s="150"/>
      <c r="EU16" s="150"/>
      <c r="EV16" s="150"/>
      <c r="EW16" s="150"/>
      <c r="EX16" s="150"/>
      <c r="EY16" s="150"/>
      <c r="EZ16" s="150"/>
      <c r="FA16" s="150"/>
      <c r="FB16" s="150"/>
      <c r="FC16" s="150"/>
      <c r="FD16" s="150"/>
      <c r="FE16" s="150"/>
      <c r="FF16" s="150"/>
      <c r="FG16" s="150"/>
      <c r="FH16" s="150"/>
      <c r="FI16" s="150"/>
      <c r="FJ16" s="150"/>
      <c r="FK16" s="150"/>
      <c r="FL16" s="150"/>
      <c r="FM16" s="150"/>
      <c r="FN16" s="150"/>
      <c r="FO16" s="150"/>
      <c r="FP16" s="150"/>
      <c r="FQ16" s="150"/>
      <c r="FR16" s="150"/>
      <c r="FS16" s="150"/>
      <c r="FT16" s="150"/>
      <c r="FU16" s="150"/>
      <c r="FV16" s="150"/>
      <c r="FW16" s="150"/>
      <c r="FX16" s="150"/>
      <c r="FY16" s="150"/>
      <c r="FZ16" s="150"/>
      <c r="GA16" s="150"/>
      <c r="GB16" s="150"/>
      <c r="GC16" s="150"/>
      <c r="GD16" s="150"/>
      <c r="GE16" s="150"/>
      <c r="GF16" s="150"/>
      <c r="GG16" s="150"/>
      <c r="GH16" s="150"/>
      <c r="GI16" s="150"/>
      <c r="GJ16" s="150"/>
      <c r="GK16" s="150"/>
      <c r="GL16" s="150"/>
      <c r="GM16" s="150"/>
      <c r="GN16" s="150"/>
      <c r="GO16" s="150"/>
      <c r="GP16" s="150"/>
      <c r="GQ16" s="150"/>
      <c r="GR16" s="161"/>
      <c r="GS16" s="162"/>
      <c r="GT16" s="143" t="s">
        <v>522</v>
      </c>
      <c r="GU16" s="154"/>
      <c r="GV16" s="158" t="s">
        <v>533</v>
      </c>
      <c r="GW16" s="239">
        <f t="shared" si="3"/>
        <v>0</v>
      </c>
      <c r="GX16" s="145" t="s">
        <v>800</v>
      </c>
      <c r="GY16" s="136" t="s">
        <v>799</v>
      </c>
    </row>
    <row r="17" spans="1:207" s="136" customFormat="1" hidden="1">
      <c r="A17" s="92"/>
      <c r="B17" s="241" t="s">
        <v>517</v>
      </c>
      <c r="C17" s="139" t="s">
        <v>527</v>
      </c>
      <c r="D17" s="139" t="s">
        <v>4</v>
      </c>
      <c r="E17" s="160" t="s">
        <v>532</v>
      </c>
      <c r="F17" s="139" t="s">
        <v>520</v>
      </c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268">
        <f>50-50</f>
        <v>0</v>
      </c>
      <c r="AX17" s="268">
        <f>50-50</f>
        <v>0</v>
      </c>
      <c r="AY17" s="268">
        <f>50-50</f>
        <v>0</v>
      </c>
      <c r="AZ17" s="268">
        <f>50-50</f>
        <v>0</v>
      </c>
      <c r="BA17" s="268">
        <f>200-200</f>
        <v>0</v>
      </c>
      <c r="BB17" s="268">
        <f>50-50</f>
        <v>0</v>
      </c>
      <c r="BC17" s="268">
        <f>100-100</f>
        <v>0</v>
      </c>
      <c r="BD17" s="268">
        <f>100-100</f>
        <v>0</v>
      </c>
      <c r="BE17" s="92"/>
      <c r="BF17" s="92"/>
      <c r="BG17" s="92"/>
      <c r="BH17" s="92"/>
      <c r="BI17" s="92"/>
      <c r="BJ17" s="92"/>
      <c r="BK17" s="92"/>
      <c r="BL17" s="268">
        <f t="shared" ref="BL17:BS17" si="4">200-200</f>
        <v>0</v>
      </c>
      <c r="BM17" s="268">
        <f t="shared" si="4"/>
        <v>0</v>
      </c>
      <c r="BN17" s="268">
        <f t="shared" si="4"/>
        <v>0</v>
      </c>
      <c r="BO17" s="268">
        <f t="shared" si="4"/>
        <v>0</v>
      </c>
      <c r="BP17" s="268">
        <f t="shared" si="4"/>
        <v>0</v>
      </c>
      <c r="BQ17" s="268">
        <f t="shared" si="4"/>
        <v>0</v>
      </c>
      <c r="BR17" s="268">
        <f t="shared" si="4"/>
        <v>0</v>
      </c>
      <c r="BS17" s="268">
        <f t="shared" si="4"/>
        <v>0</v>
      </c>
      <c r="BT17" s="92"/>
      <c r="BU17" s="92"/>
      <c r="BV17" s="92"/>
      <c r="BW17" s="92"/>
      <c r="BX17" s="92"/>
      <c r="BY17" s="268">
        <f t="shared" ref="BY17:CL17" si="5">200-200</f>
        <v>0</v>
      </c>
      <c r="BZ17" s="268">
        <f t="shared" si="5"/>
        <v>0</v>
      </c>
      <c r="CA17" s="268">
        <f t="shared" si="5"/>
        <v>0</v>
      </c>
      <c r="CB17" s="268">
        <f t="shared" si="5"/>
        <v>0</v>
      </c>
      <c r="CC17" s="268">
        <f t="shared" si="5"/>
        <v>0</v>
      </c>
      <c r="CD17" s="268">
        <f t="shared" si="5"/>
        <v>0</v>
      </c>
      <c r="CE17" s="268">
        <f t="shared" si="5"/>
        <v>0</v>
      </c>
      <c r="CF17" s="268">
        <f t="shared" si="5"/>
        <v>0</v>
      </c>
      <c r="CG17" s="268">
        <f t="shared" si="5"/>
        <v>0</v>
      </c>
      <c r="CH17" s="268">
        <f t="shared" si="5"/>
        <v>0</v>
      </c>
      <c r="CI17" s="268">
        <f t="shared" si="5"/>
        <v>0</v>
      </c>
      <c r="CJ17" s="268">
        <f t="shared" si="5"/>
        <v>0</v>
      </c>
      <c r="CK17" s="268">
        <f t="shared" si="5"/>
        <v>0</v>
      </c>
      <c r="CL17" s="268">
        <f t="shared" si="5"/>
        <v>0</v>
      </c>
      <c r="CM17" s="92"/>
      <c r="CN17" s="92"/>
      <c r="CO17" s="92"/>
      <c r="CP17" s="92"/>
      <c r="CQ17" s="92"/>
      <c r="CR17" s="268">
        <f>300-300</f>
        <v>0</v>
      </c>
      <c r="CS17" s="268">
        <f>300-300</f>
        <v>0</v>
      </c>
      <c r="CT17" s="268">
        <f>300-300</f>
        <v>0</v>
      </c>
      <c r="CU17" s="268">
        <f>300-300</f>
        <v>0</v>
      </c>
      <c r="CV17" s="268">
        <f>300-300</f>
        <v>0</v>
      </c>
      <c r="CW17" s="92"/>
      <c r="CX17" s="92"/>
      <c r="CY17" s="268">
        <f>300-300</f>
        <v>0</v>
      </c>
      <c r="CZ17" s="268">
        <f>300-300</f>
        <v>0</v>
      </c>
      <c r="DA17" s="268">
        <f>300-300</f>
        <v>0</v>
      </c>
      <c r="DB17" s="268">
        <f>300-300</f>
        <v>0</v>
      </c>
      <c r="DC17" s="268">
        <f>300-300</f>
        <v>0</v>
      </c>
      <c r="DD17" s="92"/>
      <c r="DE17" s="268">
        <f>300-300</f>
        <v>0</v>
      </c>
      <c r="DF17" s="268">
        <f>300-300</f>
        <v>0</v>
      </c>
      <c r="DG17" s="92"/>
      <c r="DH17" s="268">
        <f>300-300</f>
        <v>0</v>
      </c>
      <c r="DI17" s="92"/>
      <c r="DJ17" s="268">
        <f>500-500</f>
        <v>0</v>
      </c>
      <c r="DK17" s="268">
        <f>500-500</f>
        <v>0</v>
      </c>
      <c r="DL17" s="268">
        <f>500-500</f>
        <v>0</v>
      </c>
      <c r="DM17" s="268">
        <f>500-500</f>
        <v>0</v>
      </c>
      <c r="DN17" s="268">
        <f>500-500</f>
        <v>0</v>
      </c>
      <c r="DO17" s="92"/>
      <c r="DP17" s="92"/>
      <c r="DQ17" s="92"/>
      <c r="DR17" s="92"/>
      <c r="DS17" s="92"/>
      <c r="DT17" s="92"/>
      <c r="DU17" s="92"/>
      <c r="DV17" s="92"/>
      <c r="DW17" s="268">
        <f>50-50</f>
        <v>0</v>
      </c>
      <c r="DX17" s="268">
        <f>50-50</f>
        <v>0</v>
      </c>
      <c r="DY17" s="92"/>
      <c r="DZ17" s="92"/>
      <c r="EA17" s="92"/>
      <c r="EB17" s="92"/>
      <c r="EC17" s="92"/>
      <c r="ED17" s="92"/>
      <c r="EE17" s="269">
        <f>200-200+200</f>
        <v>200</v>
      </c>
      <c r="EF17" s="92"/>
      <c r="EG17" s="92"/>
      <c r="EH17" s="92"/>
      <c r="EI17" s="92"/>
      <c r="EJ17" s="92"/>
      <c r="EK17" s="268">
        <f>200-200</f>
        <v>0</v>
      </c>
      <c r="EL17" s="268">
        <f>200-200</f>
        <v>0</v>
      </c>
      <c r="EM17" s="92"/>
      <c r="EN17" s="268">
        <f>200-200</f>
        <v>0</v>
      </c>
      <c r="EO17" s="268">
        <f>200-200</f>
        <v>0</v>
      </c>
      <c r="EP17" s="92"/>
      <c r="EQ17" s="92"/>
      <c r="ER17" s="92"/>
      <c r="ES17" s="268">
        <f>200-200</f>
        <v>0</v>
      </c>
      <c r="ET17" s="92"/>
      <c r="EU17" s="268">
        <f>200-200</f>
        <v>0</v>
      </c>
      <c r="EV17" s="268">
        <f t="shared" ref="EV17:FG17" si="6">500-500</f>
        <v>0</v>
      </c>
      <c r="EW17" s="268">
        <f t="shared" si="6"/>
        <v>0</v>
      </c>
      <c r="EX17" s="269">
        <f>500-500+20</f>
        <v>20</v>
      </c>
      <c r="EY17" s="268">
        <f t="shared" si="6"/>
        <v>0</v>
      </c>
      <c r="EZ17" s="268">
        <f t="shared" si="6"/>
        <v>0</v>
      </c>
      <c r="FA17" s="268">
        <f t="shared" si="6"/>
        <v>0</v>
      </c>
      <c r="FB17" s="268">
        <f t="shared" si="6"/>
        <v>0</v>
      </c>
      <c r="FC17" s="268">
        <f t="shared" si="6"/>
        <v>0</v>
      </c>
      <c r="FD17" s="268">
        <f t="shared" si="6"/>
        <v>0</v>
      </c>
      <c r="FE17" s="268">
        <f t="shared" si="6"/>
        <v>0</v>
      </c>
      <c r="FF17" s="268">
        <f t="shared" si="6"/>
        <v>0</v>
      </c>
      <c r="FG17" s="268">
        <f t="shared" si="6"/>
        <v>0</v>
      </c>
      <c r="FH17" s="92"/>
      <c r="FI17" s="268">
        <f>500-500</f>
        <v>0</v>
      </c>
      <c r="FJ17" s="268">
        <f>500-500</f>
        <v>0</v>
      </c>
      <c r="FK17" s="268">
        <f>500-500</f>
        <v>0</v>
      </c>
      <c r="FL17" s="92"/>
      <c r="FM17" s="268">
        <f>500-500</f>
        <v>0</v>
      </c>
      <c r="FN17" s="268">
        <f>500-500</f>
        <v>0</v>
      </c>
      <c r="FO17" s="268">
        <f>200-200</f>
        <v>0</v>
      </c>
      <c r="FP17" s="268">
        <f>200-200</f>
        <v>0</v>
      </c>
      <c r="FQ17" s="268">
        <f>200-200</f>
        <v>0</v>
      </c>
      <c r="FR17" s="268">
        <f>200-200</f>
        <v>0</v>
      </c>
      <c r="FS17" s="92"/>
      <c r="FT17" s="92"/>
      <c r="FU17" s="92"/>
      <c r="FV17" s="92"/>
      <c r="FW17" s="92"/>
      <c r="FX17" s="92"/>
      <c r="FY17" s="92"/>
      <c r="FZ17" s="92"/>
      <c r="GA17" s="92"/>
      <c r="GB17" s="92"/>
      <c r="GC17" s="92"/>
      <c r="GD17" s="92"/>
      <c r="GE17" s="92"/>
      <c r="GF17" s="92"/>
      <c r="GG17" s="92"/>
      <c r="GH17" s="92"/>
      <c r="GI17" s="92"/>
      <c r="GJ17" s="92"/>
      <c r="GK17" s="92"/>
      <c r="GL17" s="92"/>
      <c r="GM17" s="92"/>
      <c r="GN17" s="92"/>
      <c r="GO17" s="92"/>
      <c r="GP17" s="92"/>
      <c r="GQ17" s="92"/>
      <c r="GR17" s="154"/>
      <c r="GS17" s="154"/>
      <c r="GT17" s="143" t="s">
        <v>522</v>
      </c>
      <c r="GU17" s="154"/>
      <c r="GV17" s="158" t="s">
        <v>533</v>
      </c>
      <c r="GW17" s="239">
        <f t="shared" si="2"/>
        <v>220</v>
      </c>
      <c r="GX17" s="145" t="s">
        <v>800</v>
      </c>
    </row>
    <row r="18" spans="1:207" s="136" customFormat="1" hidden="1">
      <c r="A18" s="92"/>
      <c r="B18" s="241" t="s">
        <v>517</v>
      </c>
      <c r="C18" s="139" t="s">
        <v>527</v>
      </c>
      <c r="D18" s="139" t="s">
        <v>632</v>
      </c>
      <c r="E18" s="160" t="s">
        <v>532</v>
      </c>
      <c r="F18" s="139" t="s">
        <v>520</v>
      </c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  <c r="EJ18" s="92"/>
      <c r="EK18" s="92"/>
      <c r="EL18" s="92"/>
      <c r="EM18" s="92"/>
      <c r="EN18" s="92"/>
      <c r="EO18" s="92"/>
      <c r="EP18" s="92"/>
      <c r="EQ18" s="92"/>
      <c r="ER18" s="92"/>
      <c r="ES18" s="92"/>
      <c r="ET18" s="92"/>
      <c r="EU18" s="92"/>
      <c r="EV18" s="92"/>
      <c r="EW18" s="92"/>
      <c r="EX18" s="92"/>
      <c r="EY18" s="92"/>
      <c r="EZ18" s="92"/>
      <c r="FA18" s="92"/>
      <c r="FB18" s="92"/>
      <c r="FC18" s="92"/>
      <c r="FD18" s="92"/>
      <c r="FE18" s="92"/>
      <c r="FF18" s="92"/>
      <c r="FG18" s="92"/>
      <c r="FH18" s="92"/>
      <c r="FI18" s="92"/>
      <c r="FJ18" s="92"/>
      <c r="FK18" s="92"/>
      <c r="FL18" s="92"/>
      <c r="FM18" s="92"/>
      <c r="FN18" s="92"/>
      <c r="FO18" s="92"/>
      <c r="FP18" s="92"/>
      <c r="FQ18" s="92"/>
      <c r="FR18" s="92"/>
      <c r="FS18" s="92"/>
      <c r="FT18" s="92"/>
      <c r="FU18" s="92"/>
      <c r="FV18" s="92"/>
      <c r="FW18" s="92"/>
      <c r="FX18" s="92"/>
      <c r="FY18" s="92"/>
      <c r="FZ18" s="92"/>
      <c r="GA18" s="92"/>
      <c r="GB18" s="92"/>
      <c r="GC18" s="92"/>
      <c r="GD18" s="92"/>
      <c r="GE18" s="92"/>
      <c r="GF18" s="92"/>
      <c r="GG18" s="92"/>
      <c r="GH18" s="92"/>
      <c r="GI18" s="92"/>
      <c r="GJ18" s="92"/>
      <c r="GK18" s="92"/>
      <c r="GL18" s="92"/>
      <c r="GM18" s="92"/>
      <c r="GN18" s="92"/>
      <c r="GO18" s="92"/>
      <c r="GP18" s="92"/>
      <c r="GQ18" s="92"/>
      <c r="GR18" s="154"/>
      <c r="GS18" s="154"/>
      <c r="GT18" s="143" t="s">
        <v>522</v>
      </c>
      <c r="GU18" s="154"/>
      <c r="GV18" s="158" t="s">
        <v>533</v>
      </c>
      <c r="GW18" s="239">
        <f t="shared" ref="GW18" si="7">SUM(H18:GQ18)</f>
        <v>0</v>
      </c>
      <c r="GX18" s="145" t="s">
        <v>800</v>
      </c>
      <c r="GY18" s="136" t="s">
        <v>799</v>
      </c>
    </row>
    <row r="19" spans="1:207" s="136" customFormat="1" hidden="1">
      <c r="A19" s="154"/>
      <c r="B19" s="139" t="s">
        <v>517</v>
      </c>
      <c r="C19" s="139" t="s">
        <v>527</v>
      </c>
      <c r="D19" s="139" t="s">
        <v>8</v>
      </c>
      <c r="E19" s="160" t="s">
        <v>704</v>
      </c>
      <c r="F19" s="139" t="s">
        <v>520</v>
      </c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  <c r="BA19" s="154"/>
      <c r="BB19" s="154"/>
      <c r="BC19" s="154"/>
      <c r="BD19" s="154"/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  <c r="CH19" s="154"/>
      <c r="CI19" s="154"/>
      <c r="CJ19" s="154"/>
      <c r="CK19" s="154"/>
      <c r="CL19" s="154"/>
      <c r="CM19" s="154"/>
      <c r="CN19" s="154"/>
      <c r="CO19" s="154"/>
      <c r="CP19" s="154"/>
      <c r="CQ19" s="154"/>
      <c r="CR19" s="154"/>
      <c r="CS19" s="154"/>
      <c r="CT19" s="154"/>
      <c r="CU19" s="154"/>
      <c r="CV19" s="154"/>
      <c r="CW19" s="154"/>
      <c r="CX19" s="154"/>
      <c r="CY19" s="154"/>
      <c r="CZ19" s="154"/>
      <c r="DA19" s="154"/>
      <c r="DB19" s="154"/>
      <c r="DC19" s="154"/>
      <c r="DD19" s="154"/>
      <c r="DE19" s="154"/>
      <c r="DF19" s="154"/>
      <c r="DG19" s="154"/>
      <c r="DH19" s="154"/>
      <c r="DI19" s="154"/>
      <c r="DJ19" s="154"/>
      <c r="DK19" s="154"/>
      <c r="DL19" s="154"/>
      <c r="DM19" s="154"/>
      <c r="DN19" s="154"/>
      <c r="DO19" s="154"/>
      <c r="DP19" s="154"/>
      <c r="DQ19" s="154"/>
      <c r="DR19" s="154"/>
      <c r="DS19" s="154"/>
      <c r="DT19" s="154"/>
      <c r="DU19" s="154"/>
      <c r="DV19" s="154"/>
      <c r="DW19" s="154"/>
      <c r="DX19" s="154"/>
      <c r="DY19" s="154"/>
      <c r="DZ19" s="154"/>
      <c r="EA19" s="154"/>
      <c r="EB19" s="154"/>
      <c r="EC19" s="154"/>
      <c r="ED19" s="154"/>
      <c r="EE19" s="154"/>
      <c r="EF19" s="154"/>
      <c r="EG19" s="154"/>
      <c r="EH19" s="154"/>
      <c r="EI19" s="154"/>
      <c r="EJ19" s="154"/>
      <c r="EK19" s="154"/>
      <c r="EL19" s="154"/>
      <c r="EM19" s="154"/>
      <c r="EN19" s="154"/>
      <c r="EO19" s="154"/>
      <c r="EP19" s="154"/>
      <c r="EQ19" s="154"/>
      <c r="ER19" s="154"/>
      <c r="ES19" s="154"/>
      <c r="ET19" s="154"/>
      <c r="EU19" s="154"/>
      <c r="EV19" s="154"/>
      <c r="EW19" s="154"/>
      <c r="EX19" s="154"/>
      <c r="EY19" s="154"/>
      <c r="EZ19" s="154"/>
      <c r="FA19" s="154"/>
      <c r="FB19" s="154"/>
      <c r="FC19" s="154"/>
      <c r="FD19" s="154"/>
      <c r="FE19" s="154"/>
      <c r="FF19" s="154"/>
      <c r="FG19" s="154"/>
      <c r="FH19" s="154"/>
      <c r="FI19" s="154"/>
      <c r="FJ19" s="154"/>
      <c r="FK19" s="154"/>
      <c r="FL19" s="154"/>
      <c r="FM19" s="154"/>
      <c r="FN19" s="154"/>
      <c r="FO19" s="154"/>
      <c r="FP19" s="154"/>
      <c r="FQ19" s="154"/>
      <c r="FR19" s="154"/>
      <c r="FS19" s="154"/>
      <c r="FT19" s="154"/>
      <c r="FU19" s="154"/>
      <c r="FV19" s="154"/>
      <c r="FW19" s="154"/>
      <c r="FX19" s="154"/>
      <c r="FY19" s="154"/>
      <c r="FZ19" s="154"/>
      <c r="GA19" s="154"/>
      <c r="GB19" s="154"/>
      <c r="GC19" s="154"/>
      <c r="GD19" s="154"/>
      <c r="GE19" s="154"/>
      <c r="GF19" s="154"/>
      <c r="GG19" s="154"/>
      <c r="GH19" s="154"/>
      <c r="GI19" s="154"/>
      <c r="GJ19" s="154"/>
      <c r="GK19" s="154"/>
      <c r="GL19" s="154"/>
      <c r="GM19" s="154"/>
      <c r="GN19" s="154"/>
      <c r="GO19" s="154"/>
      <c r="GP19" s="154"/>
      <c r="GQ19" s="154"/>
      <c r="GR19" s="154"/>
      <c r="GS19" s="154"/>
      <c r="GT19" s="154"/>
      <c r="GU19" s="154"/>
      <c r="GV19" s="158" t="s">
        <v>535</v>
      </c>
      <c r="GW19" s="239">
        <f t="shared" si="2"/>
        <v>0</v>
      </c>
      <c r="GX19" s="145" t="s">
        <v>530</v>
      </c>
    </row>
    <row r="20" spans="1:207" s="136" customFormat="1" hidden="1">
      <c r="A20" s="154"/>
      <c r="B20" s="139" t="s">
        <v>517</v>
      </c>
      <c r="C20" s="139" t="s">
        <v>527</v>
      </c>
      <c r="D20" s="139" t="s">
        <v>4</v>
      </c>
      <c r="E20" s="160" t="s">
        <v>704</v>
      </c>
      <c r="F20" s="139" t="s">
        <v>520</v>
      </c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54"/>
      <c r="CT20" s="154"/>
      <c r="CU20" s="154"/>
      <c r="CV20" s="154"/>
      <c r="CW20" s="154"/>
      <c r="CX20" s="154"/>
      <c r="CY20" s="154"/>
      <c r="CZ20" s="154"/>
      <c r="DA20" s="154"/>
      <c r="DB20" s="154"/>
      <c r="DC20" s="154"/>
      <c r="DD20" s="154"/>
      <c r="DE20" s="154"/>
      <c r="DF20" s="154"/>
      <c r="DG20" s="154"/>
      <c r="DH20" s="154"/>
      <c r="DI20" s="154"/>
      <c r="DJ20" s="154"/>
      <c r="DK20" s="154"/>
      <c r="DL20" s="154"/>
      <c r="DM20" s="154"/>
      <c r="DN20" s="154"/>
      <c r="DO20" s="154"/>
      <c r="DP20" s="154"/>
      <c r="DQ20" s="154"/>
      <c r="DR20" s="154"/>
      <c r="DS20" s="154"/>
      <c r="DT20" s="154"/>
      <c r="DU20" s="154"/>
      <c r="DV20" s="154"/>
      <c r="DW20" s="154"/>
      <c r="DX20" s="154"/>
      <c r="DY20" s="154"/>
      <c r="DZ20" s="154"/>
      <c r="EA20" s="154"/>
      <c r="EB20" s="154"/>
      <c r="EC20" s="154"/>
      <c r="ED20" s="154"/>
      <c r="EE20" s="154"/>
      <c r="EF20" s="154"/>
      <c r="EG20" s="154"/>
      <c r="EH20" s="154"/>
      <c r="EI20" s="154"/>
      <c r="EJ20" s="154"/>
      <c r="EK20" s="154"/>
      <c r="EL20" s="154"/>
      <c r="EM20" s="154"/>
      <c r="EN20" s="154"/>
      <c r="EO20" s="154"/>
      <c r="EP20" s="154"/>
      <c r="EQ20" s="154"/>
      <c r="ER20" s="154"/>
      <c r="ES20" s="154"/>
      <c r="ET20" s="154"/>
      <c r="EU20" s="154"/>
      <c r="EV20" s="156">
        <f>50-50</f>
        <v>0</v>
      </c>
      <c r="EW20" s="156">
        <f>100-100</f>
        <v>0</v>
      </c>
      <c r="EX20" s="154"/>
      <c r="EY20" s="154"/>
      <c r="EZ20" s="157">
        <f>50-50+30</f>
        <v>30</v>
      </c>
      <c r="FA20" s="156">
        <f>100-100</f>
        <v>0</v>
      </c>
      <c r="FB20" s="156">
        <f>50-50</f>
        <v>0</v>
      </c>
      <c r="FC20" s="154"/>
      <c r="FD20" s="154"/>
      <c r="FE20" s="156">
        <f>50-50</f>
        <v>0</v>
      </c>
      <c r="FF20" s="156">
        <f>20-20</f>
        <v>0</v>
      </c>
      <c r="FG20" s="156">
        <f>20-20</f>
        <v>0</v>
      </c>
      <c r="FH20" s="154"/>
      <c r="FI20" s="156">
        <f>50-50</f>
        <v>0</v>
      </c>
      <c r="FJ20" s="154"/>
      <c r="FK20" s="154"/>
      <c r="FL20" s="154"/>
      <c r="FM20" s="154"/>
      <c r="FN20" s="154"/>
      <c r="FO20" s="154"/>
      <c r="FP20" s="154"/>
      <c r="FQ20" s="156">
        <f>50-50</f>
        <v>0</v>
      </c>
      <c r="FR20" s="154"/>
      <c r="FS20" s="154"/>
      <c r="FT20" s="154"/>
      <c r="FU20" s="154"/>
      <c r="FV20" s="154"/>
      <c r="FW20" s="154"/>
      <c r="FX20" s="154"/>
      <c r="FY20" s="154"/>
      <c r="FZ20" s="154"/>
      <c r="GA20" s="154"/>
      <c r="GB20" s="154"/>
      <c r="GC20" s="154"/>
      <c r="GD20" s="154"/>
      <c r="GE20" s="154"/>
      <c r="GF20" s="154"/>
      <c r="GG20" s="154"/>
      <c r="GH20" s="154"/>
      <c r="GI20" s="154"/>
      <c r="GJ20" s="154"/>
      <c r="GK20" s="154"/>
      <c r="GL20" s="154"/>
      <c r="GM20" s="154"/>
      <c r="GN20" s="154"/>
      <c r="GO20" s="154"/>
      <c r="GP20" s="154"/>
      <c r="GQ20" s="154"/>
      <c r="GR20" s="154"/>
      <c r="GS20" s="154"/>
      <c r="GT20" s="154"/>
      <c r="GU20" s="154"/>
      <c r="GV20" s="158" t="s">
        <v>535</v>
      </c>
      <c r="GW20" s="239">
        <f t="shared" si="2"/>
        <v>30</v>
      </c>
      <c r="GX20" s="145" t="s">
        <v>530</v>
      </c>
    </row>
    <row r="21" spans="1:207" s="136" customFormat="1" hidden="1">
      <c r="A21" s="139" t="s">
        <v>526</v>
      </c>
      <c r="B21" s="139" t="s">
        <v>517</v>
      </c>
      <c r="C21" s="139" t="s">
        <v>527</v>
      </c>
      <c r="D21" s="139" t="s">
        <v>8</v>
      </c>
      <c r="E21" s="160" t="s">
        <v>536</v>
      </c>
      <c r="F21" s="139" t="s">
        <v>520</v>
      </c>
      <c r="G21" s="139" t="s">
        <v>801</v>
      </c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  <c r="CL21" s="154"/>
      <c r="CM21" s="154"/>
      <c r="CN21" s="154"/>
      <c r="CO21" s="154"/>
      <c r="CP21" s="154"/>
      <c r="CQ21" s="154"/>
      <c r="CR21" s="154"/>
      <c r="CS21" s="154"/>
      <c r="CT21" s="154"/>
      <c r="CU21" s="154"/>
      <c r="CV21" s="154"/>
      <c r="CW21" s="154"/>
      <c r="CX21" s="154"/>
      <c r="CY21" s="154"/>
      <c r="CZ21" s="154"/>
      <c r="DA21" s="154"/>
      <c r="DB21" s="154"/>
      <c r="DC21" s="154"/>
      <c r="DD21" s="154"/>
      <c r="DE21" s="154"/>
      <c r="DF21" s="154"/>
      <c r="DG21" s="154"/>
      <c r="DH21" s="154"/>
      <c r="DI21" s="154"/>
      <c r="DJ21" s="154"/>
      <c r="DK21" s="154"/>
      <c r="DL21" s="154"/>
      <c r="DM21" s="154"/>
      <c r="DN21" s="154"/>
      <c r="DO21" s="154"/>
      <c r="DP21" s="154"/>
      <c r="DQ21" s="154"/>
      <c r="DR21" s="154"/>
      <c r="DS21" s="154"/>
      <c r="DT21" s="154"/>
      <c r="DU21" s="154"/>
      <c r="DV21" s="154"/>
      <c r="DW21" s="154"/>
      <c r="DX21" s="154"/>
      <c r="DY21" s="154"/>
      <c r="DZ21" s="154"/>
      <c r="EA21" s="242">
        <f>500</f>
        <v>500</v>
      </c>
      <c r="EB21" s="243"/>
      <c r="EC21" s="154"/>
      <c r="ED21" s="154"/>
      <c r="EE21" s="154"/>
      <c r="EF21" s="154"/>
      <c r="EG21" s="154"/>
      <c r="EH21" s="154"/>
      <c r="EI21" s="154"/>
      <c r="EJ21" s="154"/>
      <c r="EK21" s="156">
        <f>1000-1000</f>
        <v>0</v>
      </c>
      <c r="EL21" s="154"/>
      <c r="EM21" s="243"/>
      <c r="EN21" s="154"/>
      <c r="EO21" s="154"/>
      <c r="EP21" s="154"/>
      <c r="EQ21" s="154"/>
      <c r="ER21" s="154"/>
      <c r="ES21" s="154"/>
      <c r="ET21" s="154"/>
      <c r="EU21" s="154"/>
      <c r="EV21" s="156">
        <f>1000-1000</f>
        <v>0</v>
      </c>
      <c r="EW21" s="154"/>
      <c r="EX21" s="154"/>
      <c r="EY21" s="154"/>
      <c r="EZ21" s="154"/>
      <c r="FA21" s="154"/>
      <c r="FB21" s="154"/>
      <c r="FC21" s="154"/>
      <c r="FD21" s="154"/>
      <c r="FE21" s="154"/>
      <c r="FF21" s="154"/>
      <c r="FG21" s="154"/>
      <c r="FH21" s="154"/>
      <c r="FI21" s="154"/>
      <c r="FJ21" s="154"/>
      <c r="FK21" s="154"/>
      <c r="FL21" s="154"/>
      <c r="FM21" s="154"/>
      <c r="FN21" s="154"/>
      <c r="FO21" s="156">
        <f>500-500</f>
        <v>0</v>
      </c>
      <c r="FP21" s="154"/>
      <c r="FQ21" s="154"/>
      <c r="FR21" s="154"/>
      <c r="FS21" s="154"/>
      <c r="FT21" s="154"/>
      <c r="FU21" s="154"/>
      <c r="FV21" s="154"/>
      <c r="FW21" s="154"/>
      <c r="FX21" s="154"/>
      <c r="FY21" s="154"/>
      <c r="FZ21" s="154"/>
      <c r="GA21" s="154"/>
      <c r="GB21" s="154"/>
      <c r="GC21" s="154"/>
      <c r="GD21" s="154"/>
      <c r="GE21" s="154"/>
      <c r="GF21" s="92"/>
      <c r="GG21" s="92"/>
      <c r="GH21" s="92"/>
      <c r="GI21" s="92"/>
      <c r="GJ21" s="92"/>
      <c r="GK21" s="92"/>
      <c r="GL21" s="92"/>
      <c r="GM21" s="92"/>
      <c r="GN21" s="92"/>
      <c r="GO21" s="92"/>
      <c r="GP21" s="92"/>
      <c r="GQ21" s="92"/>
      <c r="GR21" s="154"/>
      <c r="GS21" s="154"/>
      <c r="GT21" s="143" t="s">
        <v>522</v>
      </c>
      <c r="GU21" s="154"/>
      <c r="GV21" s="158" t="s">
        <v>538</v>
      </c>
      <c r="GW21" s="239">
        <f t="shared" si="2"/>
        <v>500</v>
      </c>
      <c r="GX21" s="145" t="s">
        <v>539</v>
      </c>
    </row>
    <row r="22" spans="1:207" s="136" customFormat="1" hidden="1">
      <c r="A22" s="139" t="s">
        <v>526</v>
      </c>
      <c r="B22" s="139" t="s">
        <v>517</v>
      </c>
      <c r="C22" s="139" t="s">
        <v>527</v>
      </c>
      <c r="D22" s="139" t="s">
        <v>4</v>
      </c>
      <c r="E22" s="160" t="s">
        <v>536</v>
      </c>
      <c r="F22" s="139" t="s">
        <v>520</v>
      </c>
      <c r="G22" s="139" t="s">
        <v>801</v>
      </c>
      <c r="H22" s="154"/>
      <c r="I22" s="154"/>
      <c r="J22" s="156">
        <f>10-10</f>
        <v>0</v>
      </c>
      <c r="K22" s="156">
        <f>10-10</f>
        <v>0</v>
      </c>
      <c r="L22" s="154"/>
      <c r="M22" s="156">
        <f>20-20</f>
        <v>0</v>
      </c>
      <c r="N22" s="156">
        <f>20-20</f>
        <v>0</v>
      </c>
      <c r="O22" s="156">
        <f>50-50</f>
        <v>0</v>
      </c>
      <c r="P22" s="154"/>
      <c r="Q22" s="154"/>
      <c r="R22" s="156">
        <f>10-10</f>
        <v>0</v>
      </c>
      <c r="S22" s="156">
        <f>50-50</f>
        <v>0</v>
      </c>
      <c r="T22" s="154"/>
      <c r="U22" s="154"/>
      <c r="V22" s="156">
        <f>20-20</f>
        <v>0</v>
      </c>
      <c r="W22" s="156">
        <f>50-50</f>
        <v>0</v>
      </c>
      <c r="X22" s="154"/>
      <c r="Y22" s="156">
        <f>50-50</f>
        <v>0</v>
      </c>
      <c r="Z22" s="154"/>
      <c r="AA22" s="154"/>
      <c r="AB22" s="154"/>
      <c r="AC22" s="154"/>
      <c r="AD22" s="156">
        <f>500-500</f>
        <v>0</v>
      </c>
      <c r="AE22" s="156">
        <f>500-500</f>
        <v>0</v>
      </c>
      <c r="AF22" s="154"/>
      <c r="AG22" s="154"/>
      <c r="AH22" s="154"/>
      <c r="AI22" s="156">
        <f>500-500</f>
        <v>0</v>
      </c>
      <c r="AJ22" s="156">
        <f>500-500</f>
        <v>0</v>
      </c>
      <c r="AK22" s="156">
        <f>500-500</f>
        <v>0</v>
      </c>
      <c r="AL22" s="154"/>
      <c r="AM22" s="156">
        <f>500-500</f>
        <v>0</v>
      </c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154"/>
      <c r="BX22" s="154"/>
      <c r="BY22" s="154"/>
      <c r="BZ22" s="154"/>
      <c r="CA22" s="154"/>
      <c r="CB22" s="154"/>
      <c r="CC22" s="154"/>
      <c r="CD22" s="154"/>
      <c r="CE22" s="154"/>
      <c r="CF22" s="154"/>
      <c r="CG22" s="154"/>
      <c r="CH22" s="154"/>
      <c r="CI22" s="154"/>
      <c r="CJ22" s="154"/>
      <c r="CK22" s="154"/>
      <c r="CL22" s="154"/>
      <c r="CM22" s="154"/>
      <c r="CN22" s="154"/>
      <c r="CO22" s="154"/>
      <c r="CP22" s="154"/>
      <c r="CQ22" s="154"/>
      <c r="CR22" s="154"/>
      <c r="CS22" s="154"/>
      <c r="CT22" s="154"/>
      <c r="CU22" s="154"/>
      <c r="CV22" s="154"/>
      <c r="CW22" s="154"/>
      <c r="CX22" s="154"/>
      <c r="CY22" s="154"/>
      <c r="CZ22" s="154"/>
      <c r="DA22" s="154"/>
      <c r="DB22" s="154"/>
      <c r="DC22" s="154"/>
      <c r="DD22" s="154"/>
      <c r="DE22" s="154"/>
      <c r="DF22" s="154"/>
      <c r="DG22" s="154"/>
      <c r="DH22" s="154"/>
      <c r="DI22" s="154"/>
      <c r="DJ22" s="154"/>
      <c r="DK22" s="154"/>
      <c r="DL22" s="154"/>
      <c r="DM22" s="154"/>
      <c r="DN22" s="154"/>
      <c r="DO22" s="154"/>
      <c r="DP22" s="154"/>
      <c r="DQ22" s="154"/>
      <c r="DR22" s="154"/>
      <c r="DS22" s="154"/>
      <c r="DT22" s="154"/>
      <c r="DU22" s="154"/>
      <c r="DV22" s="154"/>
      <c r="DW22" s="154"/>
      <c r="DX22" s="154"/>
      <c r="DY22" s="154"/>
      <c r="DZ22" s="154"/>
      <c r="EA22" s="155">
        <f>600-600</f>
        <v>0</v>
      </c>
      <c r="EB22" s="155">
        <f>600-600</f>
        <v>0</v>
      </c>
      <c r="EC22" s="154"/>
      <c r="ED22" s="154"/>
      <c r="EE22" s="154"/>
      <c r="EF22" s="154"/>
      <c r="EG22" s="154"/>
      <c r="EH22" s="154"/>
      <c r="EI22" s="154"/>
      <c r="EJ22" s="154"/>
      <c r="EK22" s="154"/>
      <c r="EL22" s="154"/>
      <c r="EM22" s="243"/>
      <c r="EN22" s="156">
        <f>1000-1000</f>
        <v>0</v>
      </c>
      <c r="EO22" s="154"/>
      <c r="EP22" s="154"/>
      <c r="EQ22" s="154"/>
      <c r="ER22" s="154"/>
      <c r="ES22" s="156">
        <f>1000-1000</f>
        <v>0</v>
      </c>
      <c r="ET22" s="154"/>
      <c r="EU22" s="154"/>
      <c r="EV22" s="154"/>
      <c r="EW22" s="154"/>
      <c r="EX22" s="154"/>
      <c r="EY22" s="156">
        <f>1000-1000</f>
        <v>0</v>
      </c>
      <c r="EZ22" s="154"/>
      <c r="FA22" s="156">
        <f>1000-1000</f>
        <v>0</v>
      </c>
      <c r="FB22" s="154"/>
      <c r="FC22" s="154"/>
      <c r="FD22" s="154"/>
      <c r="FE22" s="154"/>
      <c r="FF22" s="154"/>
      <c r="FG22" s="154"/>
      <c r="FH22" s="154"/>
      <c r="FI22" s="154"/>
      <c r="FJ22" s="154"/>
      <c r="FK22" s="154"/>
      <c r="FL22" s="154"/>
      <c r="FM22" s="154"/>
      <c r="FN22" s="154"/>
      <c r="FO22" s="154"/>
      <c r="FP22" s="154"/>
      <c r="FQ22" s="154"/>
      <c r="FR22" s="154"/>
      <c r="FS22" s="154"/>
      <c r="FT22" s="154"/>
      <c r="FU22" s="154"/>
      <c r="FV22" s="154"/>
      <c r="FW22" s="154"/>
      <c r="FX22" s="154"/>
      <c r="FY22" s="154"/>
      <c r="FZ22" s="154"/>
      <c r="GA22" s="154"/>
      <c r="GB22" s="154"/>
      <c r="GC22" s="154"/>
      <c r="GD22" s="154"/>
      <c r="GE22" s="154"/>
      <c r="GF22" s="92"/>
      <c r="GG22" s="92"/>
      <c r="GH22" s="92"/>
      <c r="GI22" s="92"/>
      <c r="GJ22" s="92"/>
      <c r="GK22" s="92"/>
      <c r="GL22" s="92"/>
      <c r="GM22" s="92"/>
      <c r="GN22" s="92"/>
      <c r="GO22" s="92"/>
      <c r="GP22" s="92"/>
      <c r="GQ22" s="92"/>
      <c r="GR22" s="154"/>
      <c r="GS22" s="154"/>
      <c r="GT22" s="143" t="s">
        <v>522</v>
      </c>
      <c r="GU22" s="154"/>
      <c r="GV22" s="158" t="s">
        <v>538</v>
      </c>
      <c r="GW22" s="239">
        <f t="shared" si="2"/>
        <v>0</v>
      </c>
      <c r="GX22" s="145" t="s">
        <v>539</v>
      </c>
    </row>
    <row r="23" spans="1:207" s="136" customFormat="1" hidden="1">
      <c r="A23" s="154"/>
      <c r="B23" s="139" t="s">
        <v>517</v>
      </c>
      <c r="C23" s="139" t="s">
        <v>527</v>
      </c>
      <c r="D23" s="139" t="s">
        <v>8</v>
      </c>
      <c r="E23" s="160" t="s">
        <v>541</v>
      </c>
      <c r="F23" s="139" t="s">
        <v>520</v>
      </c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/>
      <c r="CF23" s="154"/>
      <c r="CG23" s="154"/>
      <c r="CH23" s="154"/>
      <c r="CI23" s="154"/>
      <c r="CJ23" s="154"/>
      <c r="CK23" s="154"/>
      <c r="CL23" s="154"/>
      <c r="CM23" s="154"/>
      <c r="CN23" s="154"/>
      <c r="CO23" s="154"/>
      <c r="CP23" s="154"/>
      <c r="CQ23" s="154"/>
      <c r="CR23" s="154"/>
      <c r="CS23" s="154"/>
      <c r="CT23" s="154"/>
      <c r="CU23" s="154"/>
      <c r="CV23" s="154"/>
      <c r="CW23" s="154"/>
      <c r="CX23" s="154"/>
      <c r="CY23" s="154"/>
      <c r="CZ23" s="154"/>
      <c r="DA23" s="154"/>
      <c r="DB23" s="154"/>
      <c r="DC23" s="154"/>
      <c r="DD23" s="154"/>
      <c r="DE23" s="154"/>
      <c r="DF23" s="154"/>
      <c r="DG23" s="154"/>
      <c r="DH23" s="154"/>
      <c r="DI23" s="154"/>
      <c r="DJ23" s="154"/>
      <c r="DK23" s="154"/>
      <c r="DL23" s="154"/>
      <c r="DM23" s="154"/>
      <c r="DN23" s="154"/>
      <c r="DO23" s="154"/>
      <c r="DP23" s="154"/>
      <c r="DQ23" s="154"/>
      <c r="DR23" s="154"/>
      <c r="DS23" s="154"/>
      <c r="DT23" s="154"/>
      <c r="DU23" s="154"/>
      <c r="DV23" s="154"/>
      <c r="DW23" s="154"/>
      <c r="DX23" s="154"/>
      <c r="DY23" s="154"/>
      <c r="DZ23" s="154"/>
      <c r="EA23" s="154"/>
      <c r="EB23" s="154"/>
      <c r="EC23" s="154"/>
      <c r="ED23" s="154"/>
      <c r="EE23" s="154"/>
      <c r="EF23" s="154"/>
      <c r="EG23" s="154"/>
      <c r="EH23" s="154"/>
      <c r="EI23" s="154"/>
      <c r="EJ23" s="154"/>
      <c r="EK23" s="154"/>
      <c r="EL23" s="154"/>
      <c r="EM23" s="154"/>
      <c r="EN23" s="154"/>
      <c r="EO23" s="154"/>
      <c r="EP23" s="154"/>
      <c r="EQ23" s="154"/>
      <c r="ER23" s="154"/>
      <c r="ES23" s="154"/>
      <c r="ET23" s="154"/>
      <c r="EU23" s="154"/>
      <c r="EV23" s="154"/>
      <c r="EW23" s="154"/>
      <c r="EX23" s="154"/>
      <c r="EY23" s="154"/>
      <c r="EZ23" s="154"/>
      <c r="FA23" s="154"/>
      <c r="FB23" s="154"/>
      <c r="FC23" s="154"/>
      <c r="FD23" s="154"/>
      <c r="FE23" s="154"/>
      <c r="FF23" s="154"/>
      <c r="FG23" s="154"/>
      <c r="FH23" s="154"/>
      <c r="FI23" s="154"/>
      <c r="FJ23" s="154"/>
      <c r="FK23" s="154"/>
      <c r="FL23" s="154"/>
      <c r="FM23" s="154"/>
      <c r="FN23" s="154"/>
      <c r="FO23" s="154"/>
      <c r="FP23" s="154"/>
      <c r="FQ23" s="154"/>
      <c r="FR23" s="154"/>
      <c r="FS23" s="154"/>
      <c r="FT23" s="154"/>
      <c r="FU23" s="154"/>
      <c r="FV23" s="154"/>
      <c r="FW23" s="154"/>
      <c r="FX23" s="154"/>
      <c r="FY23" s="154"/>
      <c r="FZ23" s="154"/>
      <c r="GA23" s="154"/>
      <c r="GB23" s="154"/>
      <c r="GC23" s="154"/>
      <c r="GD23" s="154"/>
      <c r="GE23" s="154"/>
      <c r="GF23" s="154"/>
      <c r="GG23" s="154"/>
      <c r="GH23" s="154"/>
      <c r="GI23" s="154"/>
      <c r="GJ23" s="154"/>
      <c r="GK23" s="154"/>
      <c r="GL23" s="154"/>
      <c r="GM23" s="154"/>
      <c r="GN23" s="154"/>
      <c r="GO23" s="154"/>
      <c r="GP23" s="154"/>
      <c r="GQ23" s="154"/>
      <c r="GR23" s="154"/>
      <c r="GS23" s="154"/>
      <c r="GT23" s="154"/>
      <c r="GU23" s="154"/>
      <c r="GV23" s="158" t="s">
        <v>542</v>
      </c>
      <c r="GW23" s="239">
        <f t="shared" si="2"/>
        <v>0</v>
      </c>
      <c r="GX23" s="145" t="s">
        <v>530</v>
      </c>
    </row>
    <row r="24" spans="1:207" s="136" customFormat="1" hidden="1">
      <c r="A24" s="154"/>
      <c r="B24" s="139" t="s">
        <v>517</v>
      </c>
      <c r="C24" s="139" t="s">
        <v>527</v>
      </c>
      <c r="D24" s="139" t="s">
        <v>4</v>
      </c>
      <c r="E24" s="160" t="s">
        <v>541</v>
      </c>
      <c r="F24" s="139" t="s">
        <v>520</v>
      </c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  <c r="BE24" s="154"/>
      <c r="BF24" s="154"/>
      <c r="BG24" s="154"/>
      <c r="BH24" s="154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4"/>
      <c r="BT24" s="154"/>
      <c r="BU24" s="154"/>
      <c r="BV24" s="154"/>
      <c r="BW24" s="154"/>
      <c r="BX24" s="154"/>
      <c r="BY24" s="154"/>
      <c r="BZ24" s="154"/>
      <c r="CA24" s="154"/>
      <c r="CB24" s="154"/>
      <c r="CC24" s="154"/>
      <c r="CD24" s="154"/>
      <c r="CE24" s="154"/>
      <c r="CF24" s="154"/>
      <c r="CG24" s="154"/>
      <c r="CH24" s="154"/>
      <c r="CI24" s="154"/>
      <c r="CJ24" s="154"/>
      <c r="CK24" s="154"/>
      <c r="CL24" s="154"/>
      <c r="CM24" s="154"/>
      <c r="CN24" s="154"/>
      <c r="CO24" s="154"/>
      <c r="CP24" s="154"/>
      <c r="CQ24" s="154"/>
      <c r="CR24" s="154"/>
      <c r="CS24" s="154"/>
      <c r="CT24" s="154"/>
      <c r="CU24" s="154"/>
      <c r="CV24" s="154"/>
      <c r="CW24" s="154"/>
      <c r="CX24" s="154"/>
      <c r="CY24" s="154"/>
      <c r="CZ24" s="154"/>
      <c r="DA24" s="154"/>
      <c r="DB24" s="154"/>
      <c r="DC24" s="154"/>
      <c r="DD24" s="154"/>
      <c r="DE24" s="154"/>
      <c r="DF24" s="154"/>
      <c r="DG24" s="154"/>
      <c r="DH24" s="154"/>
      <c r="DI24" s="154"/>
      <c r="DJ24" s="154"/>
      <c r="DK24" s="154"/>
      <c r="DL24" s="154"/>
      <c r="DM24" s="154"/>
      <c r="DN24" s="154"/>
      <c r="DO24" s="154"/>
      <c r="DP24" s="154"/>
      <c r="DQ24" s="154"/>
      <c r="DR24" s="154"/>
      <c r="DS24" s="154"/>
      <c r="DT24" s="154"/>
      <c r="DU24" s="154"/>
      <c r="DV24" s="154"/>
      <c r="DW24" s="154"/>
      <c r="DX24" s="154"/>
      <c r="DY24" s="154"/>
      <c r="DZ24" s="154"/>
      <c r="EA24" s="154"/>
      <c r="EB24" s="154"/>
      <c r="EC24" s="154"/>
      <c r="ED24" s="154"/>
      <c r="EE24" s="154"/>
      <c r="EF24" s="154"/>
      <c r="EG24" s="154"/>
      <c r="EH24" s="154"/>
      <c r="EI24" s="154"/>
      <c r="EJ24" s="154"/>
      <c r="EK24" s="154"/>
      <c r="EL24" s="154"/>
      <c r="EM24" s="154"/>
      <c r="EN24" s="154"/>
      <c r="EO24" s="154"/>
      <c r="EP24" s="154"/>
      <c r="EQ24" s="154"/>
      <c r="ER24" s="154"/>
      <c r="ES24" s="154"/>
      <c r="ET24" s="154"/>
      <c r="EU24" s="154"/>
      <c r="EV24" s="156">
        <f>50-50</f>
        <v>0</v>
      </c>
      <c r="EW24" s="154"/>
      <c r="EX24" s="154"/>
      <c r="EY24" s="154"/>
      <c r="EZ24" s="156">
        <f>50-50</f>
        <v>0</v>
      </c>
      <c r="FA24" s="156">
        <f>100-100</f>
        <v>0</v>
      </c>
      <c r="FB24" s="154"/>
      <c r="FC24" s="154"/>
      <c r="FD24" s="154"/>
      <c r="FE24" s="156">
        <f>20-20</f>
        <v>0</v>
      </c>
      <c r="FF24" s="156">
        <f>20-20</f>
        <v>0</v>
      </c>
      <c r="FG24" s="156">
        <f>20-20</f>
        <v>0</v>
      </c>
      <c r="FH24" s="154"/>
      <c r="FI24" s="156">
        <f>50-50</f>
        <v>0</v>
      </c>
      <c r="FJ24" s="154"/>
      <c r="FK24" s="154"/>
      <c r="FL24" s="154"/>
      <c r="FM24" s="154"/>
      <c r="FN24" s="154"/>
      <c r="FO24" s="154"/>
      <c r="FP24" s="154"/>
      <c r="FQ24" s="156">
        <f>100-100</f>
        <v>0</v>
      </c>
      <c r="FR24" s="154"/>
      <c r="FS24" s="154"/>
      <c r="FT24" s="154"/>
      <c r="FU24" s="154"/>
      <c r="FV24" s="154"/>
      <c r="FW24" s="154"/>
      <c r="FX24" s="154"/>
      <c r="FY24" s="154"/>
      <c r="FZ24" s="154"/>
      <c r="GA24" s="154"/>
      <c r="GB24" s="154"/>
      <c r="GC24" s="154"/>
      <c r="GD24" s="154"/>
      <c r="GE24" s="154"/>
      <c r="GF24" s="154"/>
      <c r="GG24" s="154"/>
      <c r="GH24" s="154"/>
      <c r="GI24" s="154"/>
      <c r="GJ24" s="154"/>
      <c r="GK24" s="154"/>
      <c r="GL24" s="154"/>
      <c r="GM24" s="154"/>
      <c r="GN24" s="154"/>
      <c r="GO24" s="154"/>
      <c r="GP24" s="154"/>
      <c r="GQ24" s="154"/>
      <c r="GR24" s="154"/>
      <c r="GS24" s="154"/>
      <c r="GT24" s="154"/>
      <c r="GU24" s="154"/>
      <c r="GV24" s="158" t="s">
        <v>542</v>
      </c>
      <c r="GW24" s="239">
        <f t="shared" si="2"/>
        <v>0</v>
      </c>
      <c r="GX24" s="145" t="s">
        <v>530</v>
      </c>
    </row>
    <row r="25" spans="1:207" s="136" customFormat="1" hidden="1">
      <c r="A25" s="92"/>
      <c r="B25" s="241" t="s">
        <v>517</v>
      </c>
      <c r="C25" s="139" t="s">
        <v>527</v>
      </c>
      <c r="D25" s="139" t="s">
        <v>4</v>
      </c>
      <c r="E25" s="160" t="s">
        <v>543</v>
      </c>
      <c r="F25" s="139" t="s">
        <v>520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268">
        <f>50-50</f>
        <v>0</v>
      </c>
      <c r="AX25" s="268">
        <f>50-50</f>
        <v>0</v>
      </c>
      <c r="AY25" s="268">
        <f>50-50</f>
        <v>0</v>
      </c>
      <c r="AZ25" s="268">
        <f>50-50</f>
        <v>0</v>
      </c>
      <c r="BA25" s="268">
        <f>200-200</f>
        <v>0</v>
      </c>
      <c r="BB25" s="268">
        <f>50-50</f>
        <v>0</v>
      </c>
      <c r="BC25" s="268">
        <f>100-100</f>
        <v>0</v>
      </c>
      <c r="BD25" s="268">
        <f>100-100</f>
        <v>0</v>
      </c>
      <c r="BE25" s="92"/>
      <c r="BF25" s="92"/>
      <c r="BG25" s="92"/>
      <c r="BH25" s="92"/>
      <c r="BI25" s="92"/>
      <c r="BJ25" s="92"/>
      <c r="BK25" s="92"/>
      <c r="BL25" s="268">
        <f t="shared" ref="BL25:BS25" si="8">200-200</f>
        <v>0</v>
      </c>
      <c r="BM25" s="268">
        <f t="shared" si="8"/>
        <v>0</v>
      </c>
      <c r="BN25" s="268">
        <f t="shared" si="8"/>
        <v>0</v>
      </c>
      <c r="BO25" s="268">
        <f t="shared" si="8"/>
        <v>0</v>
      </c>
      <c r="BP25" s="268">
        <f t="shared" si="8"/>
        <v>0</v>
      </c>
      <c r="BQ25" s="268">
        <f t="shared" si="8"/>
        <v>0</v>
      </c>
      <c r="BR25" s="268">
        <f t="shared" si="8"/>
        <v>0</v>
      </c>
      <c r="BS25" s="268">
        <f t="shared" si="8"/>
        <v>0</v>
      </c>
      <c r="BT25" s="92"/>
      <c r="BU25" s="92"/>
      <c r="BV25" s="92"/>
      <c r="BW25" s="92"/>
      <c r="BX25" s="92"/>
      <c r="BY25" s="268">
        <f t="shared" ref="BY25:CL25" si="9">200-200</f>
        <v>0</v>
      </c>
      <c r="BZ25" s="268">
        <f t="shared" si="9"/>
        <v>0</v>
      </c>
      <c r="CA25" s="268">
        <f t="shared" si="9"/>
        <v>0</v>
      </c>
      <c r="CB25" s="268">
        <f t="shared" si="9"/>
        <v>0</v>
      </c>
      <c r="CC25" s="268">
        <f t="shared" si="9"/>
        <v>0</v>
      </c>
      <c r="CD25" s="268">
        <f t="shared" si="9"/>
        <v>0</v>
      </c>
      <c r="CE25" s="268">
        <f t="shared" si="9"/>
        <v>0</v>
      </c>
      <c r="CF25" s="268">
        <f t="shared" si="9"/>
        <v>0</v>
      </c>
      <c r="CG25" s="268">
        <f t="shared" si="9"/>
        <v>0</v>
      </c>
      <c r="CH25" s="268">
        <f t="shared" si="9"/>
        <v>0</v>
      </c>
      <c r="CI25" s="268">
        <f t="shared" si="9"/>
        <v>0</v>
      </c>
      <c r="CJ25" s="268">
        <f t="shared" si="9"/>
        <v>0</v>
      </c>
      <c r="CK25" s="268">
        <f t="shared" si="9"/>
        <v>0</v>
      </c>
      <c r="CL25" s="268">
        <f t="shared" si="9"/>
        <v>0</v>
      </c>
      <c r="CM25" s="92"/>
      <c r="CN25" s="92"/>
      <c r="CO25" s="92"/>
      <c r="CP25" s="92"/>
      <c r="CQ25" s="92"/>
      <c r="CR25" s="268">
        <f>300-300</f>
        <v>0</v>
      </c>
      <c r="CS25" s="268">
        <f>300-300</f>
        <v>0</v>
      </c>
      <c r="CT25" s="268">
        <f>300-300</f>
        <v>0</v>
      </c>
      <c r="CU25" s="268">
        <f>300-300</f>
        <v>0</v>
      </c>
      <c r="CV25" s="268">
        <f>300-300</f>
        <v>0</v>
      </c>
      <c r="CW25" s="92"/>
      <c r="CX25" s="92"/>
      <c r="CY25" s="268">
        <f>300-300</f>
        <v>0</v>
      </c>
      <c r="CZ25" s="268">
        <f>300-300</f>
        <v>0</v>
      </c>
      <c r="DA25" s="268">
        <f>300-300</f>
        <v>0</v>
      </c>
      <c r="DB25" s="268">
        <f>300-300</f>
        <v>0</v>
      </c>
      <c r="DC25" s="268">
        <f>300-300</f>
        <v>0</v>
      </c>
      <c r="DD25" s="92"/>
      <c r="DE25" s="268">
        <f>300-300</f>
        <v>0</v>
      </c>
      <c r="DF25" s="268">
        <f>300-300</f>
        <v>0</v>
      </c>
      <c r="DG25" s="92"/>
      <c r="DH25" s="268">
        <f>300-300</f>
        <v>0</v>
      </c>
      <c r="DI25" s="92"/>
      <c r="DJ25" s="268">
        <f>500-500</f>
        <v>0</v>
      </c>
      <c r="DK25" s="268">
        <f>500-500</f>
        <v>0</v>
      </c>
      <c r="DL25" s="268">
        <f>500-500</f>
        <v>0</v>
      </c>
      <c r="DM25" s="268">
        <f>500-500</f>
        <v>0</v>
      </c>
      <c r="DN25" s="268">
        <f>500-500</f>
        <v>0</v>
      </c>
      <c r="DO25" s="92"/>
      <c r="DP25" s="92"/>
      <c r="DQ25" s="92"/>
      <c r="DR25" s="92"/>
      <c r="DS25" s="92"/>
      <c r="DT25" s="92"/>
      <c r="DU25" s="92"/>
      <c r="DV25" s="92"/>
      <c r="DW25" s="268">
        <f>50-50</f>
        <v>0</v>
      </c>
      <c r="DX25" s="268">
        <f>50-50</f>
        <v>0</v>
      </c>
      <c r="DY25" s="92"/>
      <c r="DZ25" s="92"/>
      <c r="EA25" s="92"/>
      <c r="EB25" s="92"/>
      <c r="EC25" s="92"/>
      <c r="ED25" s="92"/>
      <c r="EE25" s="269">
        <f>200-200+200</f>
        <v>200</v>
      </c>
      <c r="EF25" s="92"/>
      <c r="EG25" s="92"/>
      <c r="EH25" s="92"/>
      <c r="EI25" s="92"/>
      <c r="EJ25" s="92"/>
      <c r="EK25" s="268">
        <f>200-200</f>
        <v>0</v>
      </c>
      <c r="EL25" s="268">
        <f>200-200</f>
        <v>0</v>
      </c>
      <c r="EM25" s="92"/>
      <c r="EN25" s="268">
        <f>200-200</f>
        <v>0</v>
      </c>
      <c r="EO25" s="268">
        <f>200-200</f>
        <v>0</v>
      </c>
      <c r="EP25" s="92"/>
      <c r="EQ25" s="92"/>
      <c r="ER25" s="92"/>
      <c r="ES25" s="268">
        <f>200-200</f>
        <v>0</v>
      </c>
      <c r="ET25" s="92"/>
      <c r="EU25" s="268">
        <f>200-200</f>
        <v>0</v>
      </c>
      <c r="EV25" s="268">
        <f t="shared" ref="EV25:FG25" si="10">500-500</f>
        <v>0</v>
      </c>
      <c r="EW25" s="268">
        <f t="shared" si="10"/>
        <v>0</v>
      </c>
      <c r="EX25" s="268">
        <f t="shared" si="10"/>
        <v>0</v>
      </c>
      <c r="EY25" s="268">
        <f t="shared" si="10"/>
        <v>0</v>
      </c>
      <c r="EZ25" s="268">
        <f t="shared" si="10"/>
        <v>0</v>
      </c>
      <c r="FA25" s="268">
        <f t="shared" si="10"/>
        <v>0</v>
      </c>
      <c r="FB25" s="268">
        <f t="shared" si="10"/>
        <v>0</v>
      </c>
      <c r="FC25" s="268">
        <f t="shared" si="10"/>
        <v>0</v>
      </c>
      <c r="FD25" s="268">
        <f t="shared" si="10"/>
        <v>0</v>
      </c>
      <c r="FE25" s="268">
        <f t="shared" si="10"/>
        <v>0</v>
      </c>
      <c r="FF25" s="268">
        <f t="shared" si="10"/>
        <v>0</v>
      </c>
      <c r="FG25" s="268">
        <f t="shared" si="10"/>
        <v>0</v>
      </c>
      <c r="FH25" s="92"/>
      <c r="FI25" s="268">
        <f>500-500</f>
        <v>0</v>
      </c>
      <c r="FJ25" s="268">
        <f>500-500</f>
        <v>0</v>
      </c>
      <c r="FK25" s="268">
        <f>500-500</f>
        <v>0</v>
      </c>
      <c r="FL25" s="92"/>
      <c r="FM25" s="268">
        <f>500-500</f>
        <v>0</v>
      </c>
      <c r="FN25" s="268">
        <f>500-500</f>
        <v>0</v>
      </c>
      <c r="FO25" s="268">
        <f>200-200</f>
        <v>0</v>
      </c>
      <c r="FP25" s="268">
        <f>200-200</f>
        <v>0</v>
      </c>
      <c r="FQ25" s="268">
        <f>200-200</f>
        <v>0</v>
      </c>
      <c r="FR25" s="268">
        <f>200-200</f>
        <v>0</v>
      </c>
      <c r="FS25" s="92"/>
      <c r="FT25" s="92"/>
      <c r="FU25" s="92"/>
      <c r="FV25" s="92"/>
      <c r="FW25" s="92"/>
      <c r="FX25" s="92"/>
      <c r="FY25" s="92"/>
      <c r="FZ25" s="92"/>
      <c r="GA25" s="92"/>
      <c r="GB25" s="92"/>
      <c r="GC25" s="92"/>
      <c r="GD25" s="92"/>
      <c r="GE25" s="92"/>
      <c r="GF25" s="92"/>
      <c r="GG25" s="92"/>
      <c r="GH25" s="92"/>
      <c r="GI25" s="92"/>
      <c r="GJ25" s="92"/>
      <c r="GK25" s="92"/>
      <c r="GL25" s="92"/>
      <c r="GM25" s="92"/>
      <c r="GN25" s="92"/>
      <c r="GO25" s="92"/>
      <c r="GP25" s="92"/>
      <c r="GQ25" s="92"/>
      <c r="GR25" s="154"/>
      <c r="GS25" s="154"/>
      <c r="GT25" s="143" t="s">
        <v>522</v>
      </c>
      <c r="GU25" s="154"/>
      <c r="GV25" s="158" t="s">
        <v>533</v>
      </c>
      <c r="GW25" s="239">
        <f t="shared" si="2"/>
        <v>200</v>
      </c>
      <c r="GX25" s="145" t="s">
        <v>800</v>
      </c>
    </row>
    <row r="26" spans="1:207" s="136" customFormat="1" hidden="1">
      <c r="A26" s="154"/>
      <c r="B26" s="139" t="s">
        <v>517</v>
      </c>
      <c r="C26" s="139" t="s">
        <v>544</v>
      </c>
      <c r="D26" s="139" t="s">
        <v>636</v>
      </c>
      <c r="E26" s="160" t="s">
        <v>802</v>
      </c>
      <c r="F26" s="139" t="s">
        <v>520</v>
      </c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  <c r="BE26" s="154"/>
      <c r="BF26" s="154"/>
      <c r="BG26" s="154"/>
      <c r="BH26" s="154"/>
      <c r="BI26" s="154"/>
      <c r="BJ26" s="154"/>
      <c r="BK26" s="154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  <c r="BW26" s="154"/>
      <c r="BX26" s="154"/>
      <c r="BY26" s="154"/>
      <c r="BZ26" s="154"/>
      <c r="CA26" s="154"/>
      <c r="CB26" s="154"/>
      <c r="CC26" s="154"/>
      <c r="CD26" s="154"/>
      <c r="CE26" s="154"/>
      <c r="CF26" s="154"/>
      <c r="CG26" s="154"/>
      <c r="CH26" s="154"/>
      <c r="CI26" s="154"/>
      <c r="CJ26" s="154"/>
      <c r="CK26" s="154"/>
      <c r="CL26" s="154"/>
      <c r="CM26" s="154"/>
      <c r="CN26" s="154"/>
      <c r="CO26" s="154"/>
      <c r="CP26" s="154"/>
      <c r="CQ26" s="154"/>
      <c r="CR26" s="154"/>
      <c r="CS26" s="154"/>
      <c r="CT26" s="154"/>
      <c r="CU26" s="154"/>
      <c r="CV26" s="154"/>
      <c r="CW26" s="154"/>
      <c r="CX26" s="154"/>
      <c r="CY26" s="154"/>
      <c r="CZ26" s="154"/>
      <c r="DA26" s="154"/>
      <c r="DB26" s="154"/>
      <c r="DC26" s="154"/>
      <c r="DD26" s="154"/>
      <c r="DE26" s="154"/>
      <c r="DF26" s="154"/>
      <c r="DG26" s="154"/>
      <c r="DH26" s="154"/>
      <c r="DI26" s="154"/>
      <c r="DJ26" s="154"/>
      <c r="DK26" s="154"/>
      <c r="DL26" s="154"/>
      <c r="DM26" s="154"/>
      <c r="DN26" s="154"/>
      <c r="DO26" s="154"/>
      <c r="DP26" s="154"/>
      <c r="DQ26" s="154"/>
      <c r="DR26" s="154"/>
      <c r="DS26" s="154"/>
      <c r="DT26" s="154"/>
      <c r="DU26" s="154"/>
      <c r="DV26" s="154"/>
      <c r="DW26" s="154"/>
      <c r="DX26" s="154"/>
      <c r="DY26" s="154"/>
      <c r="DZ26" s="154"/>
      <c r="EA26" s="154"/>
      <c r="EB26" s="154"/>
      <c r="EC26" s="154"/>
      <c r="ED26" s="154"/>
      <c r="EE26" s="154"/>
      <c r="EF26" s="154"/>
      <c r="EG26" s="154"/>
      <c r="EH26" s="154"/>
      <c r="EI26" s="154"/>
      <c r="EJ26" s="154"/>
      <c r="EK26" s="154"/>
      <c r="EL26" s="154"/>
      <c r="EM26" s="154"/>
      <c r="EN26" s="154"/>
      <c r="EO26" s="154"/>
      <c r="EP26" s="154"/>
      <c r="EQ26" s="154"/>
      <c r="ER26" s="154"/>
      <c r="ES26" s="154"/>
      <c r="ET26" s="154"/>
      <c r="EU26" s="154"/>
      <c r="EV26" s="154"/>
      <c r="EW26" s="154"/>
      <c r="EX26" s="154"/>
      <c r="EY26" s="154"/>
      <c r="EZ26" s="154"/>
      <c r="FA26" s="154"/>
      <c r="FB26" s="154"/>
      <c r="FC26" s="154"/>
      <c r="FD26" s="154"/>
      <c r="FE26" s="154"/>
      <c r="FF26" s="154"/>
      <c r="FG26" s="154"/>
      <c r="FH26" s="154"/>
      <c r="FI26" s="154"/>
      <c r="FJ26" s="154"/>
      <c r="FK26" s="154"/>
      <c r="FL26" s="154"/>
      <c r="FM26" s="154"/>
      <c r="FN26" s="154"/>
      <c r="FO26" s="154"/>
      <c r="FP26" s="154"/>
      <c r="FQ26" s="154"/>
      <c r="FR26" s="154"/>
      <c r="FS26" s="154"/>
      <c r="FT26" s="154"/>
      <c r="FU26" s="154"/>
      <c r="FV26" s="154"/>
      <c r="FW26" s="154"/>
      <c r="FX26" s="154"/>
      <c r="FY26" s="154"/>
      <c r="FZ26" s="154"/>
      <c r="GA26" s="154"/>
      <c r="GB26" s="154"/>
      <c r="GC26" s="154"/>
      <c r="GD26" s="154"/>
      <c r="GE26" s="154"/>
      <c r="GF26" s="154"/>
      <c r="GG26" s="154"/>
      <c r="GH26" s="154"/>
      <c r="GI26" s="154"/>
      <c r="GJ26" s="154"/>
      <c r="GK26" s="154"/>
      <c r="GL26" s="154"/>
      <c r="GM26" s="154"/>
      <c r="GN26" s="154"/>
      <c r="GO26" s="154"/>
      <c r="GP26" s="154"/>
      <c r="GQ26" s="154"/>
      <c r="GR26" s="154"/>
      <c r="GS26" s="154"/>
      <c r="GT26" s="154"/>
      <c r="GU26" s="154"/>
      <c r="GV26" s="158"/>
      <c r="GW26" s="239">
        <f t="shared" si="2"/>
        <v>0</v>
      </c>
      <c r="GX26" s="145" t="s">
        <v>547</v>
      </c>
      <c r="GY26" s="240" t="s">
        <v>799</v>
      </c>
    </row>
    <row r="27" spans="1:207" s="136" customFormat="1" hidden="1">
      <c r="A27" s="139"/>
      <c r="B27" s="139" t="s">
        <v>517</v>
      </c>
      <c r="C27" s="139" t="s">
        <v>544</v>
      </c>
      <c r="D27" s="139" t="s">
        <v>4</v>
      </c>
      <c r="E27" s="160" t="s">
        <v>802</v>
      </c>
      <c r="F27" s="139" t="s">
        <v>520</v>
      </c>
      <c r="G27" s="139"/>
      <c r="H27" s="154"/>
      <c r="I27" s="154"/>
      <c r="J27" s="156">
        <f>50-50</f>
        <v>0</v>
      </c>
      <c r="K27" s="156">
        <f>100-100</f>
        <v>0</v>
      </c>
      <c r="L27" s="154"/>
      <c r="M27" s="154"/>
      <c r="N27" s="156">
        <f>100-100</f>
        <v>0</v>
      </c>
      <c r="O27" s="156">
        <f>300-300</f>
        <v>0</v>
      </c>
      <c r="P27" s="154"/>
      <c r="Q27" s="154"/>
      <c r="R27" s="156">
        <f>40-40</f>
        <v>0</v>
      </c>
      <c r="S27" s="156">
        <f>80-80</f>
        <v>0</v>
      </c>
      <c r="T27" s="154"/>
      <c r="U27" s="154"/>
      <c r="V27" s="156">
        <f>40-40</f>
        <v>0</v>
      </c>
      <c r="W27" s="156">
        <f>50-50</f>
        <v>0</v>
      </c>
      <c r="X27" s="156">
        <f>100-100</f>
        <v>0</v>
      </c>
      <c r="Y27" s="156">
        <f>200-200</f>
        <v>0</v>
      </c>
      <c r="Z27" s="156">
        <f>150-150</f>
        <v>0</v>
      </c>
      <c r="AA27" s="156">
        <f>200-200</f>
        <v>0</v>
      </c>
      <c r="AB27" s="156">
        <f>300-300</f>
        <v>0</v>
      </c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6">
        <f>36-36</f>
        <v>0</v>
      </c>
      <c r="AX27" s="156">
        <f>20-20</f>
        <v>0</v>
      </c>
      <c r="AY27" s="156">
        <f>50-50</f>
        <v>0</v>
      </c>
      <c r="AZ27" s="156">
        <f>100-100</f>
        <v>0</v>
      </c>
      <c r="BA27" s="156">
        <f>200-200</f>
        <v>0</v>
      </c>
      <c r="BB27" s="156">
        <f>100-100</f>
        <v>0</v>
      </c>
      <c r="BC27" s="156">
        <f>200-200</f>
        <v>0</v>
      </c>
      <c r="BD27" s="156">
        <f>100-100</f>
        <v>0</v>
      </c>
      <c r="BE27" s="156">
        <f>300-300</f>
        <v>0</v>
      </c>
      <c r="BF27" s="154"/>
      <c r="BG27" s="154"/>
      <c r="BH27" s="154"/>
      <c r="BI27" s="154"/>
      <c r="BJ27" s="154"/>
      <c r="BK27" s="154"/>
      <c r="BL27" s="156">
        <f>40-40</f>
        <v>0</v>
      </c>
      <c r="BM27" s="156">
        <f>20-20</f>
        <v>0</v>
      </c>
      <c r="BN27" s="156">
        <f>40-40</f>
        <v>0</v>
      </c>
      <c r="BO27" s="156">
        <f>100-100</f>
        <v>0</v>
      </c>
      <c r="BP27" s="156">
        <f>200-200</f>
        <v>0</v>
      </c>
      <c r="BQ27" s="156">
        <f>100-100</f>
        <v>0</v>
      </c>
      <c r="BR27" s="156">
        <f>200-200</f>
        <v>0</v>
      </c>
      <c r="BS27" s="156">
        <f>200-200</f>
        <v>0</v>
      </c>
      <c r="BT27" s="154"/>
      <c r="BU27" s="154"/>
      <c r="BV27" s="154"/>
      <c r="BW27" s="154"/>
      <c r="BX27" s="154"/>
      <c r="BY27" s="156">
        <f>40-40</f>
        <v>0</v>
      </c>
      <c r="BZ27" s="156">
        <f>30-30</f>
        <v>0</v>
      </c>
      <c r="CA27" s="156">
        <f>30-30</f>
        <v>0</v>
      </c>
      <c r="CB27" s="156">
        <f>100-100</f>
        <v>0</v>
      </c>
      <c r="CC27" s="156">
        <f>200-200</f>
        <v>0</v>
      </c>
      <c r="CD27" s="156">
        <f>200-200</f>
        <v>0</v>
      </c>
      <c r="CE27" s="156">
        <f>200-200</f>
        <v>0</v>
      </c>
      <c r="CF27" s="154"/>
      <c r="CG27" s="156">
        <f>500-500</f>
        <v>0</v>
      </c>
      <c r="CH27" s="156">
        <f>400-400</f>
        <v>0</v>
      </c>
      <c r="CI27" s="156">
        <f>400-400</f>
        <v>0</v>
      </c>
      <c r="CJ27" s="156">
        <f>500-500</f>
        <v>0</v>
      </c>
      <c r="CK27" s="156">
        <f>200-200</f>
        <v>0</v>
      </c>
      <c r="CL27" s="156">
        <f>200-200</f>
        <v>0</v>
      </c>
      <c r="CM27" s="156">
        <f>150-150</f>
        <v>0</v>
      </c>
      <c r="CN27" s="156">
        <f>200-200</f>
        <v>0</v>
      </c>
      <c r="CO27" s="156">
        <f>200-200</f>
        <v>0</v>
      </c>
      <c r="CP27" s="156">
        <f>200-200</f>
        <v>0</v>
      </c>
      <c r="CQ27" s="156">
        <f>200-200</f>
        <v>0</v>
      </c>
      <c r="CR27" s="156">
        <f>200-200</f>
        <v>0</v>
      </c>
      <c r="CS27" s="156">
        <f>1000-1000</f>
        <v>0</v>
      </c>
      <c r="CT27" s="156">
        <f>300-300</f>
        <v>0</v>
      </c>
      <c r="CU27" s="156">
        <f>1000-1000</f>
        <v>0</v>
      </c>
      <c r="CV27" s="156">
        <f>200-200</f>
        <v>0</v>
      </c>
      <c r="CW27" s="154"/>
      <c r="CX27" s="154"/>
      <c r="CY27" s="156">
        <f>100-100</f>
        <v>0</v>
      </c>
      <c r="CZ27" s="156">
        <f>150-150</f>
        <v>0</v>
      </c>
      <c r="DA27" s="156">
        <f>250-250</f>
        <v>0</v>
      </c>
      <c r="DB27" s="156">
        <f>150-150</f>
        <v>0</v>
      </c>
      <c r="DC27" s="156">
        <f>500-500</f>
        <v>0</v>
      </c>
      <c r="DD27" s="154"/>
      <c r="DE27" s="154"/>
      <c r="DF27" s="154"/>
      <c r="DG27" s="154"/>
      <c r="DH27" s="154"/>
      <c r="DI27" s="154"/>
      <c r="DJ27" s="156">
        <f>100-100</f>
        <v>0</v>
      </c>
      <c r="DK27" s="156">
        <f>200-200</f>
        <v>0</v>
      </c>
      <c r="DL27" s="156">
        <f>100-100</f>
        <v>0</v>
      </c>
      <c r="DM27" s="156">
        <f>500-500</f>
        <v>0</v>
      </c>
      <c r="DN27" s="156">
        <f>500-500</f>
        <v>0</v>
      </c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243"/>
      <c r="EB27" s="243"/>
      <c r="EC27" s="154"/>
      <c r="ED27" s="154"/>
      <c r="EE27" s="154"/>
      <c r="EF27" s="154"/>
      <c r="EG27" s="154"/>
      <c r="EH27" s="154"/>
      <c r="EI27" s="154"/>
      <c r="EJ27" s="154"/>
      <c r="EK27" s="154"/>
      <c r="EL27" s="156">
        <f>50-50</f>
        <v>0</v>
      </c>
      <c r="EM27" s="243"/>
      <c r="EN27" s="154"/>
      <c r="EO27" s="154"/>
      <c r="EP27" s="154"/>
      <c r="EQ27" s="154"/>
      <c r="ER27" s="154"/>
      <c r="ES27" s="156">
        <f>50-50</f>
        <v>0</v>
      </c>
      <c r="ET27" s="154"/>
      <c r="EU27" s="154"/>
      <c r="EV27" s="154"/>
      <c r="EW27" s="154"/>
      <c r="EX27" s="154"/>
      <c r="EY27" s="154"/>
      <c r="EZ27" s="154"/>
      <c r="FA27" s="156">
        <f>500-500</f>
        <v>0</v>
      </c>
      <c r="FB27" s="156">
        <f>100-100</f>
        <v>0</v>
      </c>
      <c r="FC27" s="154"/>
      <c r="FD27" s="154"/>
      <c r="FE27" s="154"/>
      <c r="FF27" s="154"/>
      <c r="FG27" s="154"/>
      <c r="FH27" s="154"/>
      <c r="FI27" s="154"/>
      <c r="FJ27" s="154"/>
      <c r="FK27" s="154"/>
      <c r="FL27" s="154"/>
      <c r="FM27" s="154"/>
      <c r="FN27" s="154"/>
      <c r="FO27" s="154"/>
      <c r="FP27" s="154"/>
      <c r="FQ27" s="154"/>
      <c r="FR27" s="154"/>
      <c r="FS27" s="154"/>
      <c r="FT27" s="154"/>
      <c r="FU27" s="154"/>
      <c r="FV27" s="154"/>
      <c r="FW27" s="154"/>
      <c r="FX27" s="154"/>
      <c r="FY27" s="154"/>
      <c r="FZ27" s="154"/>
      <c r="GA27" s="154"/>
      <c r="GB27" s="154"/>
      <c r="GC27" s="154"/>
      <c r="GD27" s="154"/>
      <c r="GE27" s="154"/>
      <c r="GF27" s="92"/>
      <c r="GG27" s="92"/>
      <c r="GH27" s="92"/>
      <c r="GI27" s="92"/>
      <c r="GJ27" s="92"/>
      <c r="GK27" s="92"/>
      <c r="GL27" s="92"/>
      <c r="GM27" s="92"/>
      <c r="GN27" s="92"/>
      <c r="GO27" s="92"/>
      <c r="GP27" s="92"/>
      <c r="GQ27" s="92"/>
      <c r="GR27" s="154"/>
      <c r="GS27" s="154"/>
      <c r="GT27" s="143"/>
      <c r="GU27" s="154"/>
      <c r="GV27" s="158"/>
      <c r="GW27" s="239">
        <f t="shared" si="2"/>
        <v>0</v>
      </c>
      <c r="GX27" s="145" t="s">
        <v>547</v>
      </c>
    </row>
    <row r="28" spans="1:207" s="136" customFormat="1" hidden="1">
      <c r="A28" s="139"/>
      <c r="B28" s="139" t="s">
        <v>517</v>
      </c>
      <c r="C28" s="139" t="s">
        <v>548</v>
      </c>
      <c r="D28" s="139" t="s">
        <v>636</v>
      </c>
      <c r="E28" s="160" t="s">
        <v>549</v>
      </c>
      <c r="F28" s="139" t="s">
        <v>520</v>
      </c>
      <c r="G28" s="139" t="s">
        <v>550</v>
      </c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0"/>
      <c r="CT28" s="150"/>
      <c r="CU28" s="150"/>
      <c r="CV28" s="150"/>
      <c r="CW28" s="150"/>
      <c r="CX28" s="150"/>
      <c r="CY28" s="150"/>
      <c r="CZ28" s="150"/>
      <c r="DA28" s="150"/>
      <c r="DB28" s="150"/>
      <c r="DC28" s="150"/>
      <c r="DD28" s="150"/>
      <c r="DE28" s="150"/>
      <c r="DF28" s="150"/>
      <c r="DG28" s="150"/>
      <c r="DH28" s="150"/>
      <c r="DI28" s="150"/>
      <c r="DJ28" s="150"/>
      <c r="DK28" s="150"/>
      <c r="DL28" s="150"/>
      <c r="DM28" s="150"/>
      <c r="DN28" s="150"/>
      <c r="DO28" s="150"/>
      <c r="DP28" s="150"/>
      <c r="DQ28" s="150"/>
      <c r="DR28" s="150"/>
      <c r="DS28" s="150"/>
      <c r="DT28" s="150"/>
      <c r="DU28" s="150"/>
      <c r="DV28" s="150"/>
      <c r="DW28" s="150"/>
      <c r="DX28" s="150"/>
      <c r="DY28" s="150"/>
      <c r="DZ28" s="150"/>
      <c r="EA28" s="150"/>
      <c r="EB28" s="150"/>
      <c r="EC28" s="150"/>
      <c r="ED28" s="150"/>
      <c r="EE28" s="150"/>
      <c r="EF28" s="150"/>
      <c r="EG28" s="150"/>
      <c r="EH28" s="150"/>
      <c r="EI28" s="150"/>
      <c r="EJ28" s="150"/>
      <c r="EK28" s="150"/>
      <c r="EL28" s="150"/>
      <c r="EM28" s="150"/>
      <c r="EN28" s="150"/>
      <c r="EO28" s="150"/>
      <c r="EP28" s="150"/>
      <c r="EQ28" s="150"/>
      <c r="ER28" s="150"/>
      <c r="ES28" s="150"/>
      <c r="ET28" s="150"/>
      <c r="EU28" s="150"/>
      <c r="EV28" s="150"/>
      <c r="EW28" s="150"/>
      <c r="EX28" s="150"/>
      <c r="EY28" s="150"/>
      <c r="EZ28" s="150"/>
      <c r="FA28" s="150"/>
      <c r="FB28" s="150"/>
      <c r="FC28" s="150"/>
      <c r="FD28" s="150"/>
      <c r="FE28" s="150"/>
      <c r="FF28" s="150"/>
      <c r="FG28" s="150"/>
      <c r="FH28" s="150"/>
      <c r="FI28" s="150"/>
      <c r="FJ28" s="150"/>
      <c r="FK28" s="150"/>
      <c r="FL28" s="150"/>
      <c r="FM28" s="150"/>
      <c r="FN28" s="150"/>
      <c r="FO28" s="150"/>
      <c r="FP28" s="150"/>
      <c r="FQ28" s="150"/>
      <c r="FR28" s="150"/>
      <c r="FS28" s="150"/>
      <c r="FT28" s="150"/>
      <c r="FU28" s="150"/>
      <c r="FV28" s="150"/>
      <c r="FW28" s="150"/>
      <c r="FX28" s="150"/>
      <c r="FY28" s="150"/>
      <c r="FZ28" s="150"/>
      <c r="GA28" s="150"/>
      <c r="GB28" s="150"/>
      <c r="GC28" s="150"/>
      <c r="GD28" s="150"/>
      <c r="GE28" s="150"/>
      <c r="GF28" s="150"/>
      <c r="GG28" s="150"/>
      <c r="GH28" s="150"/>
      <c r="GI28" s="150"/>
      <c r="GJ28" s="150"/>
      <c r="GK28" s="150"/>
      <c r="GL28" s="150"/>
      <c r="GM28" s="150"/>
      <c r="GN28" s="150"/>
      <c r="GO28" s="150"/>
      <c r="GP28" s="150"/>
      <c r="GQ28" s="150"/>
      <c r="GR28" s="161"/>
      <c r="GS28" s="162"/>
      <c r="GT28" s="158"/>
      <c r="GU28" s="159"/>
      <c r="GV28" s="159"/>
      <c r="GW28" s="239">
        <f t="shared" si="2"/>
        <v>0</v>
      </c>
      <c r="GX28" s="145" t="s">
        <v>547</v>
      </c>
      <c r="GY28" s="136" t="s">
        <v>799</v>
      </c>
    </row>
    <row r="29" spans="1:207" s="136" customFormat="1" hidden="1">
      <c r="A29" s="139"/>
      <c r="B29" s="139" t="s">
        <v>517</v>
      </c>
      <c r="C29" s="139" t="s">
        <v>548</v>
      </c>
      <c r="D29" s="139" t="s">
        <v>4</v>
      </c>
      <c r="E29" s="160" t="s">
        <v>549</v>
      </c>
      <c r="F29" s="139" t="s">
        <v>520</v>
      </c>
      <c r="G29" s="139" t="s">
        <v>550</v>
      </c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6">
        <f>50-50</f>
        <v>0</v>
      </c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  <c r="BO29" s="154"/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4"/>
      <c r="CC29" s="154"/>
      <c r="CD29" s="154"/>
      <c r="CE29" s="154"/>
      <c r="CF29" s="154"/>
      <c r="CG29" s="154"/>
      <c r="CH29" s="154"/>
      <c r="CI29" s="154"/>
      <c r="CJ29" s="154"/>
      <c r="CK29" s="154"/>
      <c r="CL29" s="154"/>
      <c r="CM29" s="154"/>
      <c r="CN29" s="154"/>
      <c r="CO29" s="154"/>
      <c r="CP29" s="154"/>
      <c r="CQ29" s="154"/>
      <c r="CR29" s="154"/>
      <c r="CS29" s="154"/>
      <c r="CT29" s="154"/>
      <c r="CU29" s="154"/>
      <c r="CV29" s="154"/>
      <c r="CW29" s="154"/>
      <c r="CX29" s="154"/>
      <c r="CY29" s="154"/>
      <c r="CZ29" s="154"/>
      <c r="DA29" s="154"/>
      <c r="DB29" s="154"/>
      <c r="DC29" s="154"/>
      <c r="DD29" s="154"/>
      <c r="DE29" s="154"/>
      <c r="DF29" s="154"/>
      <c r="DG29" s="154"/>
      <c r="DH29" s="154"/>
      <c r="DI29" s="154"/>
      <c r="DJ29" s="154"/>
      <c r="DK29" s="154"/>
      <c r="DL29" s="154"/>
      <c r="DM29" s="154"/>
      <c r="DN29" s="154"/>
      <c r="DO29" s="154"/>
      <c r="DP29" s="154"/>
      <c r="DQ29" s="154"/>
      <c r="DR29" s="154"/>
      <c r="DS29" s="154"/>
      <c r="DT29" s="154"/>
      <c r="DU29" s="154"/>
      <c r="DV29" s="154"/>
      <c r="DW29" s="154"/>
      <c r="DX29" s="154"/>
      <c r="DY29" s="154"/>
      <c r="DZ29" s="154"/>
      <c r="EA29" s="243"/>
      <c r="EB29" s="243"/>
      <c r="EC29" s="154"/>
      <c r="ED29" s="154"/>
      <c r="EE29" s="154"/>
      <c r="EF29" s="154"/>
      <c r="EG29" s="154"/>
      <c r="EH29" s="154"/>
      <c r="EI29" s="154"/>
      <c r="EJ29" s="154"/>
      <c r="EK29" s="154"/>
      <c r="EL29" s="154"/>
      <c r="EM29" s="243"/>
      <c r="EN29" s="154"/>
      <c r="EO29" s="154"/>
      <c r="EP29" s="154"/>
      <c r="EQ29" s="154"/>
      <c r="ER29" s="154"/>
      <c r="ES29" s="154"/>
      <c r="ET29" s="154"/>
      <c r="EU29" s="154"/>
      <c r="EV29" s="154"/>
      <c r="EW29" s="154"/>
      <c r="EX29" s="154"/>
      <c r="EY29" s="154"/>
      <c r="EZ29" s="154"/>
      <c r="FA29" s="154"/>
      <c r="FB29" s="154"/>
      <c r="FC29" s="154"/>
      <c r="FD29" s="154"/>
      <c r="FE29" s="154"/>
      <c r="FF29" s="154"/>
      <c r="FG29" s="154"/>
      <c r="FH29" s="154"/>
      <c r="FI29" s="154"/>
      <c r="FJ29" s="154"/>
      <c r="FK29" s="154"/>
      <c r="FL29" s="154"/>
      <c r="FM29" s="154"/>
      <c r="FN29" s="154"/>
      <c r="FO29" s="154"/>
      <c r="FP29" s="154"/>
      <c r="FQ29" s="154"/>
      <c r="FR29" s="154"/>
      <c r="FS29" s="154"/>
      <c r="FT29" s="154"/>
      <c r="FU29" s="154"/>
      <c r="FV29" s="154"/>
      <c r="FW29" s="154"/>
      <c r="FX29" s="154"/>
      <c r="FY29" s="154"/>
      <c r="FZ29" s="154"/>
      <c r="GA29" s="154"/>
      <c r="GB29" s="154"/>
      <c r="GC29" s="154"/>
      <c r="GD29" s="154"/>
      <c r="GE29" s="154"/>
      <c r="GF29" s="92"/>
      <c r="GG29" s="92"/>
      <c r="GH29" s="92"/>
      <c r="GI29" s="92"/>
      <c r="GJ29" s="92"/>
      <c r="GK29" s="92"/>
      <c r="GL29" s="92"/>
      <c r="GM29" s="92"/>
      <c r="GN29" s="92"/>
      <c r="GO29" s="92"/>
      <c r="GP29" s="92"/>
      <c r="GQ29" s="92"/>
      <c r="GR29" s="154"/>
      <c r="GS29" s="154"/>
      <c r="GT29" s="143"/>
      <c r="GU29" s="154"/>
      <c r="GV29" s="158"/>
      <c r="GW29" s="239">
        <f t="shared" si="2"/>
        <v>0</v>
      </c>
      <c r="GX29" s="145" t="s">
        <v>547</v>
      </c>
    </row>
    <row r="30" spans="1:207" s="136" customFormat="1">
      <c r="A30" s="139"/>
      <c r="B30" s="139" t="s">
        <v>517</v>
      </c>
      <c r="C30" s="139" t="s">
        <v>555</v>
      </c>
      <c r="D30" s="139" t="s">
        <v>8</v>
      </c>
      <c r="E30" s="244" t="s">
        <v>803</v>
      </c>
      <c r="F30" s="139" t="s">
        <v>520</v>
      </c>
      <c r="G30" s="139" t="s">
        <v>804</v>
      </c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154"/>
      <c r="BW30" s="154"/>
      <c r="BX30" s="154"/>
      <c r="BY30" s="154"/>
      <c r="BZ30" s="154"/>
      <c r="CA30" s="154"/>
      <c r="CB30" s="154"/>
      <c r="CC30" s="154"/>
      <c r="CD30" s="154"/>
      <c r="CE30" s="154"/>
      <c r="CF30" s="154"/>
      <c r="CG30" s="154"/>
      <c r="CH30" s="154"/>
      <c r="CI30" s="154"/>
      <c r="CJ30" s="154"/>
      <c r="CK30" s="154"/>
      <c r="CL30" s="154"/>
      <c r="CM30" s="154"/>
      <c r="CN30" s="154"/>
      <c r="CO30" s="154"/>
      <c r="CP30" s="154"/>
      <c r="CQ30" s="154"/>
      <c r="CR30" s="154"/>
      <c r="CS30" s="154"/>
      <c r="CT30" s="154"/>
      <c r="CU30" s="154"/>
      <c r="CV30" s="154"/>
      <c r="CW30" s="154"/>
      <c r="CX30" s="154"/>
      <c r="CY30" s="154"/>
      <c r="CZ30" s="154"/>
      <c r="DA30" s="154"/>
      <c r="DB30" s="154"/>
      <c r="DC30" s="154"/>
      <c r="DD30" s="154"/>
      <c r="DE30" s="154"/>
      <c r="DF30" s="154"/>
      <c r="DG30" s="154"/>
      <c r="DH30" s="202">
        <v>20</v>
      </c>
      <c r="DI30" s="154"/>
      <c r="DJ30" s="154"/>
      <c r="DK30" s="154"/>
      <c r="DL30" s="154"/>
      <c r="DM30" s="154"/>
      <c r="DN30" s="154"/>
      <c r="DO30" s="154"/>
      <c r="DP30" s="154"/>
      <c r="DQ30" s="154"/>
      <c r="DR30" s="154"/>
      <c r="DS30" s="154"/>
      <c r="DT30" s="154"/>
      <c r="DU30" s="154"/>
      <c r="DV30" s="154"/>
      <c r="DW30" s="154"/>
      <c r="DX30" s="156">
        <f>30-30</f>
        <v>0</v>
      </c>
      <c r="DY30" s="154"/>
      <c r="DZ30" s="154"/>
      <c r="EA30" s="154"/>
      <c r="EB30" s="154"/>
      <c r="EC30" s="154"/>
      <c r="ED30" s="154"/>
      <c r="EE30" s="154"/>
      <c r="EF30" s="154"/>
      <c r="EG30" s="154"/>
      <c r="EH30" s="154"/>
      <c r="EI30" s="154"/>
      <c r="EJ30" s="154"/>
      <c r="EK30" s="154"/>
      <c r="EL30" s="154"/>
      <c r="EM30" s="154"/>
      <c r="EN30" s="154"/>
      <c r="EO30" s="154"/>
      <c r="EP30" s="154"/>
      <c r="EQ30" s="154"/>
      <c r="ER30" s="154"/>
      <c r="ES30" s="154"/>
      <c r="ET30" s="154"/>
      <c r="EU30" s="154"/>
      <c r="EV30" s="156">
        <f>60-60</f>
        <v>0</v>
      </c>
      <c r="EW30" s="156">
        <f>60-60</f>
        <v>0</v>
      </c>
      <c r="EX30" s="154"/>
      <c r="EY30" s="154"/>
      <c r="EZ30" s="156">
        <f>20-20</f>
        <v>0</v>
      </c>
      <c r="FA30" s="154"/>
      <c r="FB30" s="154"/>
      <c r="FC30" s="154"/>
      <c r="FD30" s="154"/>
      <c r="FE30" s="154"/>
      <c r="FF30" s="154"/>
      <c r="FG30" s="154"/>
      <c r="FH30" s="154"/>
      <c r="FI30" s="154"/>
      <c r="FJ30" s="154"/>
      <c r="FK30" s="154"/>
      <c r="FL30" s="154"/>
      <c r="FM30" s="154"/>
      <c r="FN30" s="154"/>
      <c r="FO30" s="154"/>
      <c r="FP30" s="154"/>
      <c r="FQ30" s="154"/>
      <c r="FR30" s="154"/>
      <c r="FS30" s="154"/>
      <c r="FT30" s="154"/>
      <c r="FU30" s="154"/>
      <c r="FV30" s="154"/>
      <c r="FW30" s="154"/>
      <c r="FX30" s="154"/>
      <c r="FY30" s="154"/>
      <c r="FZ30" s="154"/>
      <c r="GA30" s="154"/>
      <c r="GB30" s="154"/>
      <c r="GC30" s="154"/>
      <c r="GD30" s="154"/>
      <c r="GE30" s="154"/>
      <c r="GF30" s="154"/>
      <c r="GG30" s="154"/>
      <c r="GH30" s="154"/>
      <c r="GI30" s="154"/>
      <c r="GJ30" s="154"/>
      <c r="GK30" s="154"/>
      <c r="GL30" s="154"/>
      <c r="GM30" s="154"/>
      <c r="GN30" s="154"/>
      <c r="GO30" s="154"/>
      <c r="GP30" s="154"/>
      <c r="GQ30" s="154"/>
      <c r="GR30" s="161"/>
      <c r="GS30" s="162"/>
      <c r="GT30" s="159" t="s">
        <v>522</v>
      </c>
      <c r="GU30" s="159" t="s">
        <v>558</v>
      </c>
      <c r="GV30" s="159"/>
      <c r="GW30" s="239">
        <f t="shared" ref="GW30:GW93" si="11">SUM(H30:GQ30)</f>
        <v>20</v>
      </c>
      <c r="GX30" s="136" t="s">
        <v>560</v>
      </c>
    </row>
    <row r="31" spans="1:207" s="136" customFormat="1">
      <c r="A31" s="139"/>
      <c r="B31" s="139" t="s">
        <v>517</v>
      </c>
      <c r="C31" s="139" t="s">
        <v>555</v>
      </c>
      <c r="D31" s="139" t="s">
        <v>4</v>
      </c>
      <c r="E31" s="244" t="s">
        <v>803</v>
      </c>
      <c r="F31" s="139" t="s">
        <v>520</v>
      </c>
      <c r="G31" s="139" t="s">
        <v>804</v>
      </c>
      <c r="H31" s="154"/>
      <c r="I31" s="154"/>
      <c r="J31" s="154"/>
      <c r="K31" s="154"/>
      <c r="L31" s="154"/>
      <c r="M31" s="156">
        <f>5-5</f>
        <v>0</v>
      </c>
      <c r="N31" s="156">
        <f>5-5</f>
        <v>0</v>
      </c>
      <c r="O31" s="154"/>
      <c r="P31" s="154"/>
      <c r="Q31" s="154"/>
      <c r="R31" s="156">
        <f>5-5</f>
        <v>0</v>
      </c>
      <c r="S31" s="156">
        <f>5-5</f>
        <v>0</v>
      </c>
      <c r="T31" s="154"/>
      <c r="U31" s="154"/>
      <c r="V31" s="156">
        <f>30-30+2</f>
        <v>2</v>
      </c>
      <c r="W31" s="156">
        <f>30-30+5</f>
        <v>5</v>
      </c>
      <c r="X31" s="154"/>
      <c r="Y31" s="156">
        <f>20-20</f>
        <v>0</v>
      </c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6">
        <f>10-10</f>
        <v>0</v>
      </c>
      <c r="BA31" s="154"/>
      <c r="BB31" s="156">
        <f>5-5+5</f>
        <v>5</v>
      </c>
      <c r="BC31" s="156">
        <f>5-5+2</f>
        <v>2</v>
      </c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6">
        <f>5-5+5</f>
        <v>5</v>
      </c>
      <c r="BP31" s="156">
        <f>5-5+5</f>
        <v>5</v>
      </c>
      <c r="BQ31" s="154"/>
      <c r="BR31" s="154"/>
      <c r="BS31" s="154"/>
      <c r="BT31" s="154"/>
      <c r="BU31" s="154"/>
      <c r="BV31" s="154"/>
      <c r="BW31" s="154"/>
      <c r="BX31" s="154"/>
      <c r="BY31" s="156">
        <f>10-10+1</f>
        <v>1</v>
      </c>
      <c r="BZ31" s="154"/>
      <c r="CA31" s="154"/>
      <c r="CB31" s="156">
        <f>10-10+2</f>
        <v>2</v>
      </c>
      <c r="CC31" s="156">
        <f>40-40+1</f>
        <v>1</v>
      </c>
      <c r="CD31" s="156">
        <f>40-40</f>
        <v>0</v>
      </c>
      <c r="CE31" s="156">
        <f>40-40</f>
        <v>0</v>
      </c>
      <c r="CF31" s="154"/>
      <c r="CG31" s="156">
        <f>100-100+5</f>
        <v>5</v>
      </c>
      <c r="CH31" s="156">
        <f>10-10+1</f>
        <v>1</v>
      </c>
      <c r="CI31" s="156">
        <f>10-10</f>
        <v>0</v>
      </c>
      <c r="CJ31" s="156">
        <f>20-20</f>
        <v>0</v>
      </c>
      <c r="CK31" s="156">
        <f>10-10+1</f>
        <v>1</v>
      </c>
      <c r="CL31" s="156">
        <f>10-10+10</f>
        <v>10</v>
      </c>
      <c r="CM31" s="154"/>
      <c r="CN31" s="154"/>
      <c r="CO31" s="156">
        <f>5-5+2</f>
        <v>2</v>
      </c>
      <c r="CP31" s="156">
        <f>5-5</f>
        <v>0</v>
      </c>
      <c r="CQ31" s="154"/>
      <c r="CR31" s="156">
        <f>100-100+3</f>
        <v>3</v>
      </c>
      <c r="CS31" s="156">
        <f>50-50+3</f>
        <v>3</v>
      </c>
      <c r="CT31" s="156">
        <f>30-30</f>
        <v>0</v>
      </c>
      <c r="CU31" s="156">
        <f>30-30+1</f>
        <v>1</v>
      </c>
      <c r="CV31" s="156">
        <f>30-30</f>
        <v>0</v>
      </c>
      <c r="CW31" s="154"/>
      <c r="CX31" s="156">
        <f>40-40</f>
        <v>0</v>
      </c>
      <c r="CY31" s="156">
        <f>30-30+20</f>
        <v>20</v>
      </c>
      <c r="CZ31" s="156">
        <f>30-30+10</f>
        <v>10</v>
      </c>
      <c r="DA31" s="156">
        <f>30-30+20</f>
        <v>20</v>
      </c>
      <c r="DB31" s="156">
        <f>30-30</f>
        <v>0</v>
      </c>
      <c r="DC31" s="156">
        <f>30-30+20</f>
        <v>20</v>
      </c>
      <c r="DD31" s="154"/>
      <c r="DE31" s="156">
        <f>30-30</f>
        <v>0</v>
      </c>
      <c r="DF31" s="156">
        <f>30-30</f>
        <v>0</v>
      </c>
      <c r="DG31" s="154"/>
      <c r="DH31" s="156">
        <f>30-30</f>
        <v>0</v>
      </c>
      <c r="DI31" s="154"/>
      <c r="DJ31" s="156">
        <f>20-20+5</f>
        <v>5</v>
      </c>
      <c r="DK31" s="156">
        <f>50-50+10</f>
        <v>10</v>
      </c>
      <c r="DL31" s="156">
        <f>50-50+5</f>
        <v>5</v>
      </c>
      <c r="DM31" s="156">
        <f>50-50+10</f>
        <v>10</v>
      </c>
      <c r="DN31" s="154"/>
      <c r="DO31" s="154"/>
      <c r="DP31" s="154"/>
      <c r="DQ31" s="154"/>
      <c r="DR31" s="154"/>
      <c r="DS31" s="154"/>
      <c r="DT31" s="154"/>
      <c r="DU31" s="154"/>
      <c r="DV31" s="154"/>
      <c r="DW31" s="154"/>
      <c r="DX31" s="154"/>
      <c r="DY31" s="154"/>
      <c r="DZ31" s="154"/>
      <c r="EA31" s="154"/>
      <c r="EB31" s="154"/>
      <c r="EC31" s="154"/>
      <c r="ED31" s="154"/>
      <c r="EE31" s="154"/>
      <c r="EF31" s="154"/>
      <c r="EG31" s="154"/>
      <c r="EH31" s="154"/>
      <c r="EI31" s="154"/>
      <c r="EJ31" s="154"/>
      <c r="EK31" s="154"/>
      <c r="EL31" s="156">
        <f>30-30+5</f>
        <v>5</v>
      </c>
      <c r="EM31" s="154"/>
      <c r="EN31" s="154"/>
      <c r="EO31" s="156">
        <f>30-30+20</f>
        <v>20</v>
      </c>
      <c r="EP31" s="154"/>
      <c r="EQ31" s="154"/>
      <c r="ER31" s="154"/>
      <c r="ES31" s="154"/>
      <c r="ET31" s="154"/>
      <c r="EU31" s="154"/>
      <c r="EV31" s="154"/>
      <c r="EW31" s="154"/>
      <c r="EX31" s="156">
        <f>60-60</f>
        <v>0</v>
      </c>
      <c r="EY31" s="154"/>
      <c r="EZ31" s="154"/>
      <c r="FA31" s="156">
        <f>20-20</f>
        <v>0</v>
      </c>
      <c r="FB31" s="156">
        <f>20-20</f>
        <v>0</v>
      </c>
      <c r="FC31" s="154"/>
      <c r="FD31" s="156">
        <f>20-20</f>
        <v>0</v>
      </c>
      <c r="FE31" s="156">
        <f>20-20</f>
        <v>0</v>
      </c>
      <c r="FF31" s="156">
        <f>20-20+10</f>
        <v>10</v>
      </c>
      <c r="FG31" s="156">
        <f>20-20</f>
        <v>0</v>
      </c>
      <c r="FH31" s="154"/>
      <c r="FI31" s="154"/>
      <c r="FJ31" s="154"/>
      <c r="FK31" s="154"/>
      <c r="FL31" s="154"/>
      <c r="FM31" s="154"/>
      <c r="FN31" s="154"/>
      <c r="FO31" s="154"/>
      <c r="FP31" s="154"/>
      <c r="FQ31" s="154"/>
      <c r="FR31" s="154"/>
      <c r="FS31" s="154"/>
      <c r="FT31" s="154"/>
      <c r="FU31" s="154"/>
      <c r="FV31" s="154"/>
      <c r="FW31" s="154"/>
      <c r="FX31" s="154"/>
      <c r="FY31" s="154"/>
      <c r="FZ31" s="154"/>
      <c r="GA31" s="154"/>
      <c r="GB31" s="154"/>
      <c r="GC31" s="154"/>
      <c r="GD31" s="154"/>
      <c r="GE31" s="154"/>
      <c r="GF31" s="154"/>
      <c r="GG31" s="154"/>
      <c r="GH31" s="154"/>
      <c r="GI31" s="154"/>
      <c r="GJ31" s="154"/>
      <c r="GK31" s="154"/>
      <c r="GL31" s="154"/>
      <c r="GM31" s="154"/>
      <c r="GN31" s="154"/>
      <c r="GO31" s="154"/>
      <c r="GP31" s="154"/>
      <c r="GQ31" s="154"/>
      <c r="GR31" s="161"/>
      <c r="GS31" s="162"/>
      <c r="GT31" s="159" t="s">
        <v>522</v>
      </c>
      <c r="GU31" s="159" t="s">
        <v>558</v>
      </c>
      <c r="GV31" s="159"/>
      <c r="GW31" s="239">
        <f t="shared" si="11"/>
        <v>189</v>
      </c>
      <c r="GX31" s="136" t="s">
        <v>560</v>
      </c>
    </row>
    <row r="32" spans="1:207" s="136" customFormat="1">
      <c r="A32" s="139"/>
      <c r="B32" s="139" t="s">
        <v>517</v>
      </c>
      <c r="C32" s="139" t="s">
        <v>555</v>
      </c>
      <c r="D32" s="139" t="s">
        <v>3</v>
      </c>
      <c r="E32" s="244" t="s">
        <v>803</v>
      </c>
      <c r="F32" s="139" t="s">
        <v>520</v>
      </c>
      <c r="G32" s="139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6">
        <f>5-5</f>
        <v>0</v>
      </c>
      <c r="U32" s="156">
        <f>20-20</f>
        <v>0</v>
      </c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  <c r="BW32" s="154"/>
      <c r="BX32" s="154"/>
      <c r="BY32" s="154"/>
      <c r="BZ32" s="154"/>
      <c r="CA32" s="154"/>
      <c r="CB32" s="154"/>
      <c r="CC32" s="154"/>
      <c r="CD32" s="154"/>
      <c r="CE32" s="154"/>
      <c r="CF32" s="154"/>
      <c r="CG32" s="154"/>
      <c r="CH32" s="154"/>
      <c r="CI32" s="154"/>
      <c r="CJ32" s="154"/>
      <c r="CK32" s="154"/>
      <c r="CL32" s="154"/>
      <c r="CM32" s="154"/>
      <c r="CN32" s="154"/>
      <c r="CO32" s="154"/>
      <c r="CP32" s="154"/>
      <c r="CQ32" s="154"/>
      <c r="CR32" s="154"/>
      <c r="CS32" s="154"/>
      <c r="CT32" s="154"/>
      <c r="CU32" s="154"/>
      <c r="CV32" s="154"/>
      <c r="CW32" s="154"/>
      <c r="CX32" s="154"/>
      <c r="CY32" s="154"/>
      <c r="CZ32" s="154"/>
      <c r="DA32" s="154"/>
      <c r="DB32" s="154"/>
      <c r="DC32" s="154"/>
      <c r="DD32" s="154"/>
      <c r="DE32" s="154"/>
      <c r="DF32" s="154"/>
      <c r="DG32" s="154"/>
      <c r="DH32" s="154"/>
      <c r="DI32" s="154"/>
      <c r="DJ32" s="154"/>
      <c r="DK32" s="154"/>
      <c r="DL32" s="154"/>
      <c r="DM32" s="154"/>
      <c r="DN32" s="154"/>
      <c r="DO32" s="154"/>
      <c r="DP32" s="154"/>
      <c r="DQ32" s="154"/>
      <c r="DR32" s="154"/>
      <c r="DS32" s="154"/>
      <c r="DT32" s="154"/>
      <c r="DU32" s="154"/>
      <c r="DV32" s="154"/>
      <c r="DW32" s="154"/>
      <c r="DX32" s="154"/>
      <c r="DY32" s="154"/>
      <c r="DZ32" s="154"/>
      <c r="EA32" s="154"/>
      <c r="EB32" s="154"/>
      <c r="EC32" s="154"/>
      <c r="ED32" s="154"/>
      <c r="EE32" s="154"/>
      <c r="EF32" s="154"/>
      <c r="EG32" s="154"/>
      <c r="EH32" s="154"/>
      <c r="EI32" s="154"/>
      <c r="EJ32" s="154"/>
      <c r="EK32" s="154"/>
      <c r="EL32" s="154"/>
      <c r="EM32" s="154"/>
      <c r="EN32" s="154"/>
      <c r="EO32" s="154"/>
      <c r="EP32" s="154"/>
      <c r="EQ32" s="154"/>
      <c r="ER32" s="154"/>
      <c r="ES32" s="154"/>
      <c r="ET32" s="154"/>
      <c r="EU32" s="154"/>
      <c r="EV32" s="154"/>
      <c r="EW32" s="154"/>
      <c r="EX32" s="154"/>
      <c r="EY32" s="154"/>
      <c r="EZ32" s="154"/>
      <c r="FA32" s="154"/>
      <c r="FB32" s="154"/>
      <c r="FC32" s="156">
        <f>20-20</f>
        <v>0</v>
      </c>
      <c r="FD32" s="154"/>
      <c r="FE32" s="154"/>
      <c r="FF32" s="154"/>
      <c r="FG32" s="154"/>
      <c r="FH32" s="154"/>
      <c r="FI32" s="154"/>
      <c r="FJ32" s="154"/>
      <c r="FK32" s="154"/>
      <c r="FL32" s="154"/>
      <c r="FM32" s="154"/>
      <c r="FN32" s="154"/>
      <c r="FO32" s="154"/>
      <c r="FP32" s="154"/>
      <c r="FQ32" s="154"/>
      <c r="FR32" s="154"/>
      <c r="FS32" s="154"/>
      <c r="FT32" s="154"/>
      <c r="FU32" s="154"/>
      <c r="FV32" s="154"/>
      <c r="FW32" s="154"/>
      <c r="FX32" s="154"/>
      <c r="FY32" s="154"/>
      <c r="FZ32" s="154"/>
      <c r="GA32" s="154"/>
      <c r="GB32" s="154"/>
      <c r="GC32" s="154"/>
      <c r="GD32" s="154"/>
      <c r="GE32" s="154"/>
      <c r="GF32" s="154"/>
      <c r="GG32" s="154"/>
      <c r="GH32" s="154"/>
      <c r="GI32" s="154"/>
      <c r="GJ32" s="154"/>
      <c r="GK32" s="154"/>
      <c r="GL32" s="154"/>
      <c r="GM32" s="154"/>
      <c r="GN32" s="154"/>
      <c r="GO32" s="154"/>
      <c r="GP32" s="154"/>
      <c r="GQ32" s="154"/>
      <c r="GR32" s="161"/>
      <c r="GS32" s="162"/>
      <c r="GT32" s="159" t="s">
        <v>522</v>
      </c>
      <c r="GU32" s="159" t="s">
        <v>558</v>
      </c>
      <c r="GV32" s="159"/>
      <c r="GW32" s="239">
        <f t="shared" si="11"/>
        <v>0</v>
      </c>
      <c r="GX32" s="136" t="s">
        <v>560</v>
      </c>
    </row>
    <row r="33" spans="1:206" s="136" customFormat="1">
      <c r="A33" s="139"/>
      <c r="B33" s="139" t="s">
        <v>517</v>
      </c>
      <c r="C33" s="139" t="s">
        <v>555</v>
      </c>
      <c r="D33" s="139" t="s">
        <v>8</v>
      </c>
      <c r="E33" s="160" t="s">
        <v>805</v>
      </c>
      <c r="F33" s="139" t="s">
        <v>520</v>
      </c>
      <c r="G33" s="139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R33" s="150"/>
      <c r="CS33" s="150"/>
      <c r="CU33" s="150"/>
      <c r="CV33" s="150"/>
      <c r="CW33" s="150"/>
      <c r="CX33" s="150"/>
      <c r="CY33" s="150"/>
      <c r="CZ33" s="150"/>
      <c r="DA33" s="150"/>
      <c r="DB33" s="150"/>
      <c r="DC33" s="150"/>
      <c r="DD33" s="150"/>
      <c r="DE33" s="150"/>
      <c r="DF33" s="150"/>
      <c r="DG33" s="150"/>
      <c r="DH33" s="150"/>
      <c r="DI33" s="150"/>
      <c r="DJ33" s="150"/>
      <c r="DK33" s="150"/>
      <c r="DM33" s="150"/>
      <c r="DN33" s="150"/>
      <c r="DO33" s="150"/>
      <c r="DP33" s="150"/>
      <c r="DQ33" s="150"/>
      <c r="DR33" s="150"/>
      <c r="DS33" s="150"/>
      <c r="DT33" s="150"/>
      <c r="DU33" s="150"/>
      <c r="DV33" s="150"/>
      <c r="DW33" s="150"/>
      <c r="DX33" s="150"/>
      <c r="DY33" s="150"/>
      <c r="DZ33" s="150"/>
      <c r="EA33" s="150"/>
      <c r="EB33" s="150"/>
      <c r="EC33" s="150"/>
      <c r="ED33" s="142">
        <f>20-20</f>
        <v>0</v>
      </c>
      <c r="EE33" s="150"/>
      <c r="EF33" s="150"/>
      <c r="EG33" s="142">
        <f>20-20</f>
        <v>0</v>
      </c>
      <c r="EI33" s="150"/>
      <c r="EJ33" s="150"/>
      <c r="EK33" s="150"/>
      <c r="EL33" s="150"/>
      <c r="EM33" s="150"/>
      <c r="EN33" s="150"/>
      <c r="EO33" s="150"/>
      <c r="EP33" s="150"/>
      <c r="EQ33" s="150"/>
      <c r="ER33" s="150"/>
      <c r="ET33" s="150"/>
      <c r="EU33" s="142">
        <f>30-30</f>
        <v>0</v>
      </c>
      <c r="EV33" s="150"/>
      <c r="EW33" s="150"/>
      <c r="EY33" s="150"/>
      <c r="EZ33" s="150"/>
      <c r="FB33" s="150"/>
      <c r="FC33" s="150"/>
      <c r="FE33" s="150"/>
      <c r="FF33" s="150"/>
      <c r="FG33" s="150"/>
      <c r="FH33" s="150"/>
      <c r="FI33" s="150"/>
      <c r="FJ33" s="150"/>
      <c r="FK33" s="150"/>
      <c r="FL33" s="142">
        <f>40-40</f>
        <v>0</v>
      </c>
      <c r="FM33" s="150"/>
      <c r="FN33" s="142">
        <f>60-60</f>
        <v>0</v>
      </c>
      <c r="FO33" s="150"/>
      <c r="FP33" s="150"/>
      <c r="FQ33" s="150"/>
      <c r="FR33" s="150"/>
      <c r="FS33" s="150"/>
      <c r="FT33" s="150"/>
      <c r="FU33" s="150"/>
      <c r="FV33" s="150"/>
      <c r="FW33" s="150"/>
      <c r="FX33" s="150"/>
      <c r="FY33" s="150"/>
      <c r="FZ33" s="150"/>
      <c r="GA33" s="150"/>
      <c r="GB33" s="150"/>
      <c r="GC33" s="150"/>
      <c r="GD33" s="150"/>
      <c r="GE33" s="150"/>
      <c r="GF33" s="150"/>
      <c r="GG33" s="150"/>
      <c r="GH33" s="150"/>
      <c r="GI33" s="150"/>
      <c r="GJ33" s="150"/>
      <c r="GK33" s="150"/>
      <c r="GL33" s="150"/>
      <c r="GM33" s="150"/>
      <c r="GN33" s="150"/>
      <c r="GO33" s="150"/>
      <c r="GP33" s="150"/>
      <c r="GQ33" s="150"/>
      <c r="GR33" s="150"/>
      <c r="GS33" s="150"/>
      <c r="GT33" s="143"/>
      <c r="GU33" s="143"/>
      <c r="GV33" s="143"/>
      <c r="GW33" s="239">
        <f t="shared" si="11"/>
        <v>0</v>
      </c>
      <c r="GX33" s="145" t="s">
        <v>563</v>
      </c>
    </row>
    <row r="34" spans="1:206" s="136" customFormat="1">
      <c r="A34" s="139"/>
      <c r="B34" s="139" t="s">
        <v>517</v>
      </c>
      <c r="C34" s="139" t="s">
        <v>555</v>
      </c>
      <c r="D34" s="139" t="s">
        <v>4</v>
      </c>
      <c r="E34" s="160" t="s">
        <v>805</v>
      </c>
      <c r="F34" s="139" t="s">
        <v>520</v>
      </c>
      <c r="G34" s="139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W34" s="150"/>
      <c r="X34" s="150"/>
      <c r="Y34" s="150"/>
      <c r="Z34" s="150"/>
      <c r="AA34" s="150"/>
      <c r="AB34" s="150"/>
      <c r="AC34" s="150"/>
      <c r="AD34" s="142">
        <f>40-40</f>
        <v>0</v>
      </c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42">
        <f>5-5+5</f>
        <v>5</v>
      </c>
      <c r="AZ34" s="245">
        <f>10-10</f>
        <v>0</v>
      </c>
      <c r="BA34" s="142">
        <f>10-10+2</f>
        <v>2</v>
      </c>
      <c r="BB34" s="142">
        <f>10-10+2</f>
        <v>2</v>
      </c>
      <c r="BC34" s="142">
        <f>10-10+1</f>
        <v>1</v>
      </c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42">
        <f>10-10</f>
        <v>0</v>
      </c>
      <c r="CG34" s="142">
        <f>10-10+5</f>
        <v>5</v>
      </c>
      <c r="CH34" s="142">
        <f>10-10</f>
        <v>0</v>
      </c>
      <c r="CI34" s="142">
        <f>10-10</f>
        <v>0</v>
      </c>
      <c r="CJ34" s="150"/>
      <c r="CK34" s="150"/>
      <c r="CL34" s="150"/>
      <c r="CM34" s="150"/>
      <c r="CN34" s="150"/>
      <c r="CO34" s="150"/>
      <c r="CP34" s="150"/>
      <c r="CR34" s="142">
        <f>10-10+1</f>
        <v>1</v>
      </c>
      <c r="CS34" s="142">
        <f>10-10+2</f>
        <v>2</v>
      </c>
      <c r="CT34" s="245">
        <f>10-10</f>
        <v>0</v>
      </c>
      <c r="CU34" s="142">
        <f>10-10</f>
        <v>0</v>
      </c>
      <c r="CV34" s="150"/>
      <c r="CW34" s="150"/>
      <c r="CX34" s="150"/>
      <c r="CY34" s="150"/>
      <c r="CZ34" s="142">
        <f>20-20+5</f>
        <v>5</v>
      </c>
      <c r="DA34" s="150"/>
      <c r="DB34" s="142">
        <f>20-20</f>
        <v>0</v>
      </c>
      <c r="DC34" s="150"/>
      <c r="DD34" s="150"/>
      <c r="DE34" s="150"/>
      <c r="DF34" s="142">
        <f>10-10</f>
        <v>0</v>
      </c>
      <c r="DG34" s="150"/>
      <c r="DH34" s="150"/>
      <c r="DI34" s="150"/>
      <c r="DJ34" s="142">
        <f>20-20+2</f>
        <v>2</v>
      </c>
      <c r="DK34" s="142">
        <f>10-10+10</f>
        <v>10</v>
      </c>
      <c r="DL34" s="245">
        <f>20-20+2</f>
        <v>2</v>
      </c>
      <c r="DM34" s="142">
        <f>20-20+10</f>
        <v>10</v>
      </c>
      <c r="DN34" s="150"/>
      <c r="DO34" s="150"/>
      <c r="DP34" s="150"/>
      <c r="DQ34" s="150"/>
      <c r="DR34" s="150"/>
      <c r="DS34" s="150"/>
      <c r="DT34" s="150"/>
      <c r="DU34" s="150"/>
      <c r="DV34" s="150"/>
      <c r="DW34" s="142">
        <f>10-10</f>
        <v>0</v>
      </c>
      <c r="DX34" s="150"/>
      <c r="DY34" s="150"/>
      <c r="DZ34" s="142">
        <f>10-10</f>
        <v>0</v>
      </c>
      <c r="EA34" s="150"/>
      <c r="EB34" s="150"/>
      <c r="EC34" s="150"/>
      <c r="ED34" s="150"/>
      <c r="EE34" s="150"/>
      <c r="EF34" s="150"/>
      <c r="EG34" s="150"/>
      <c r="EI34" s="150"/>
      <c r="EJ34" s="150"/>
      <c r="EK34" s="142">
        <f>20-20</f>
        <v>0</v>
      </c>
      <c r="EL34" s="150"/>
      <c r="EM34" s="150"/>
      <c r="EN34" s="142">
        <f>20-20</f>
        <v>0</v>
      </c>
      <c r="EO34" s="150"/>
      <c r="EP34" s="150"/>
      <c r="EQ34" s="150"/>
      <c r="ER34" s="142">
        <f>10-10+10</f>
        <v>10</v>
      </c>
      <c r="ET34" s="142">
        <f>10-10</f>
        <v>0</v>
      </c>
      <c r="EU34" s="150"/>
      <c r="EV34" s="142">
        <f>50-50</f>
        <v>0</v>
      </c>
      <c r="EW34" s="142">
        <f>50-50</f>
        <v>0</v>
      </c>
      <c r="EY34" s="150"/>
      <c r="EZ34" s="150"/>
      <c r="FA34" s="245">
        <f>40-40</f>
        <v>0</v>
      </c>
      <c r="FB34" s="150"/>
      <c r="FC34" s="142">
        <f>40-40</f>
        <v>0</v>
      </c>
      <c r="FD34" s="245">
        <f>40-40</f>
        <v>0</v>
      </c>
      <c r="FE34" s="142">
        <f>100-100</f>
        <v>0</v>
      </c>
      <c r="FF34" s="150"/>
      <c r="FG34" s="150"/>
      <c r="FH34" s="142">
        <f>100-100</f>
        <v>0</v>
      </c>
      <c r="FI34" s="142">
        <f>40-40+5</f>
        <v>5</v>
      </c>
      <c r="FJ34" s="150"/>
      <c r="FK34" s="150"/>
      <c r="FL34" s="150"/>
      <c r="FM34" s="150"/>
      <c r="FN34" s="150"/>
      <c r="FO34" s="142">
        <f>300-300</f>
        <v>0</v>
      </c>
      <c r="FP34" s="142">
        <f>60-60+20</f>
        <v>20</v>
      </c>
      <c r="FQ34" s="150"/>
      <c r="FR34" s="150"/>
      <c r="FS34" s="150"/>
      <c r="FT34" s="150"/>
      <c r="FU34" s="150"/>
      <c r="FV34" s="150"/>
      <c r="FW34" s="150"/>
      <c r="FX34" s="150"/>
      <c r="FY34" s="150"/>
      <c r="FZ34" s="150"/>
      <c r="GA34" s="150"/>
      <c r="GB34" s="150"/>
      <c r="GC34" s="150"/>
      <c r="GD34" s="150"/>
      <c r="GE34" s="150"/>
      <c r="GF34" s="150"/>
      <c r="GG34" s="150"/>
      <c r="GH34" s="150"/>
      <c r="GI34" s="150"/>
      <c r="GJ34" s="150"/>
      <c r="GK34" s="150"/>
      <c r="GL34" s="150"/>
      <c r="GM34" s="150"/>
      <c r="GN34" s="150"/>
      <c r="GO34" s="150"/>
      <c r="GP34" s="150"/>
      <c r="GQ34" s="150"/>
      <c r="GR34" s="150"/>
      <c r="GS34" s="150"/>
      <c r="GT34" s="143"/>
      <c r="GU34" s="143"/>
      <c r="GV34" s="143"/>
      <c r="GW34" s="239">
        <f t="shared" si="11"/>
        <v>82</v>
      </c>
      <c r="GX34" s="145" t="s">
        <v>563</v>
      </c>
    </row>
    <row r="35" spans="1:206" s="136" customFormat="1">
      <c r="A35" s="139"/>
      <c r="B35" s="139" t="s">
        <v>517</v>
      </c>
      <c r="C35" s="139" t="s">
        <v>555</v>
      </c>
      <c r="D35" s="139" t="s">
        <v>8</v>
      </c>
      <c r="E35" s="160" t="s">
        <v>564</v>
      </c>
      <c r="F35" s="139" t="s">
        <v>520</v>
      </c>
      <c r="G35" s="139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R35" s="150"/>
      <c r="CS35" s="150"/>
      <c r="CU35" s="150"/>
      <c r="CV35" s="150"/>
      <c r="CW35" s="150"/>
      <c r="CX35" s="150"/>
      <c r="CY35" s="150"/>
      <c r="CZ35" s="150"/>
      <c r="DA35" s="150"/>
      <c r="DB35" s="150"/>
      <c r="DC35" s="150"/>
      <c r="DD35" s="150"/>
      <c r="DE35" s="150"/>
      <c r="DF35" s="150"/>
      <c r="DG35" s="150"/>
      <c r="DH35" s="202">
        <v>10</v>
      </c>
      <c r="DI35" s="150"/>
      <c r="DJ35" s="150"/>
      <c r="DK35" s="150"/>
      <c r="DM35" s="150"/>
      <c r="DN35" s="150"/>
      <c r="DO35" s="150"/>
      <c r="DP35" s="150"/>
      <c r="DQ35" s="150"/>
      <c r="DR35" s="150"/>
      <c r="DS35" s="150"/>
      <c r="DT35" s="150"/>
      <c r="DU35" s="150"/>
      <c r="DV35" s="150"/>
      <c r="DW35" s="150"/>
      <c r="DX35" s="150"/>
      <c r="DY35" s="150"/>
      <c r="DZ35" s="150"/>
      <c r="EA35" s="150"/>
      <c r="EB35" s="150"/>
      <c r="EC35" s="150"/>
      <c r="ED35" s="150"/>
      <c r="EE35" s="142">
        <f>10-10</f>
        <v>0</v>
      </c>
      <c r="EF35" s="150"/>
      <c r="EG35" s="142">
        <f>10-10</f>
        <v>0</v>
      </c>
      <c r="EI35" s="150"/>
      <c r="EJ35" s="150"/>
      <c r="EK35" s="142">
        <f>50-50</f>
        <v>0</v>
      </c>
      <c r="EL35" s="150"/>
      <c r="EM35" s="150"/>
      <c r="EN35" s="142">
        <f>50-50</f>
        <v>0</v>
      </c>
      <c r="EO35" s="150"/>
      <c r="EP35" s="150"/>
      <c r="EQ35" s="150"/>
      <c r="ER35" s="150"/>
      <c r="ET35" s="150"/>
      <c r="EU35" s="150"/>
      <c r="EV35" s="142">
        <f>100-100</f>
        <v>0</v>
      </c>
      <c r="EW35" s="150"/>
      <c r="EY35" s="150"/>
      <c r="EZ35" s="142">
        <f>100-100</f>
        <v>0</v>
      </c>
      <c r="FA35" s="245">
        <f>100-100</f>
        <v>0</v>
      </c>
      <c r="FB35" s="150"/>
      <c r="FC35" s="150"/>
      <c r="FE35" s="150"/>
      <c r="FF35" s="150"/>
      <c r="FG35" s="150"/>
      <c r="FH35" s="142">
        <f>50-50</f>
        <v>0</v>
      </c>
      <c r="FI35" s="150"/>
      <c r="FJ35" s="150"/>
      <c r="FK35" s="150"/>
      <c r="FL35" s="150"/>
      <c r="FM35" s="142">
        <f>5-5</f>
        <v>0</v>
      </c>
      <c r="FN35" s="150"/>
      <c r="FO35" s="150"/>
      <c r="FP35" s="150"/>
      <c r="FQ35" s="150"/>
      <c r="FR35" s="150"/>
      <c r="FS35" s="150"/>
      <c r="FT35" s="150"/>
      <c r="FU35" s="150"/>
      <c r="FV35" s="150"/>
      <c r="FW35" s="150"/>
      <c r="FX35" s="150"/>
      <c r="FY35" s="150"/>
      <c r="FZ35" s="150"/>
      <c r="GA35" s="150"/>
      <c r="GB35" s="150"/>
      <c r="GC35" s="150"/>
      <c r="GD35" s="150"/>
      <c r="GE35" s="150"/>
      <c r="GF35" s="150"/>
      <c r="GG35" s="150"/>
      <c r="GH35" s="150"/>
      <c r="GI35" s="150"/>
      <c r="GJ35" s="150"/>
      <c r="GK35" s="150"/>
      <c r="GL35" s="150"/>
      <c r="GM35" s="150"/>
      <c r="GN35" s="150"/>
      <c r="GO35" s="150"/>
      <c r="GP35" s="150"/>
      <c r="GQ35" s="150"/>
      <c r="GR35" s="150"/>
      <c r="GS35" s="150"/>
      <c r="GT35" s="143"/>
      <c r="GU35" s="143"/>
      <c r="GV35" s="143"/>
      <c r="GW35" s="239">
        <f t="shared" si="11"/>
        <v>10</v>
      </c>
      <c r="GX35" s="145" t="s">
        <v>563</v>
      </c>
    </row>
    <row r="36" spans="1:206" s="136" customFormat="1">
      <c r="A36" s="139"/>
      <c r="B36" s="139" t="s">
        <v>517</v>
      </c>
      <c r="C36" s="139" t="s">
        <v>555</v>
      </c>
      <c r="D36" s="139" t="s">
        <v>4</v>
      </c>
      <c r="E36" s="160" t="s">
        <v>564</v>
      </c>
      <c r="F36" s="139" t="s">
        <v>520</v>
      </c>
      <c r="G36" s="139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W36" s="150"/>
      <c r="X36" s="150"/>
      <c r="Y36" s="150"/>
      <c r="Z36" s="142">
        <f>5-5+5</f>
        <v>5</v>
      </c>
      <c r="AA36" s="142">
        <f>5-5+5</f>
        <v>5</v>
      </c>
      <c r="AB36" s="142">
        <f>5-5</f>
        <v>0</v>
      </c>
      <c r="AC36" s="150"/>
      <c r="AD36" s="142">
        <f>10-10</f>
        <v>0</v>
      </c>
      <c r="AE36" s="142">
        <f>10-10</f>
        <v>0</v>
      </c>
      <c r="AF36" s="142">
        <f>10-10+2</f>
        <v>2</v>
      </c>
      <c r="AG36" s="142">
        <f>10-10</f>
        <v>0</v>
      </c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42">
        <f>5-5+5</f>
        <v>5</v>
      </c>
      <c r="AZ36" s="245">
        <f t="shared" ref="AZ36:BD36" si="12">5-5</f>
        <v>0</v>
      </c>
      <c r="BA36" s="142">
        <f>5-5+2</f>
        <v>2</v>
      </c>
      <c r="BB36" s="142">
        <f>5-5+2</f>
        <v>2</v>
      </c>
      <c r="BC36" s="142">
        <f>5-5+1</f>
        <v>1</v>
      </c>
      <c r="BD36" s="142">
        <f t="shared" si="12"/>
        <v>0</v>
      </c>
      <c r="BE36" s="150"/>
      <c r="BF36" s="150"/>
      <c r="BG36" s="150"/>
      <c r="BH36" s="150"/>
      <c r="BI36" s="150"/>
      <c r="BJ36" s="150"/>
      <c r="BK36" s="150"/>
      <c r="BL36" s="150"/>
      <c r="BM36" s="150"/>
      <c r="BN36" s="142">
        <f t="shared" ref="BN36:BR36" si="13">10-10</f>
        <v>0</v>
      </c>
      <c r="BO36" s="142">
        <f>10-10+5</f>
        <v>5</v>
      </c>
      <c r="BP36" s="142">
        <f>10-10+2</f>
        <v>2</v>
      </c>
      <c r="BQ36" s="142">
        <f>10-10+1</f>
        <v>1</v>
      </c>
      <c r="BR36" s="142">
        <f t="shared" si="13"/>
        <v>0</v>
      </c>
      <c r="BS36" s="142">
        <f>10-10+10</f>
        <v>10</v>
      </c>
      <c r="BU36" s="150"/>
      <c r="BV36" s="150"/>
      <c r="BW36" s="150"/>
      <c r="BX36" s="150"/>
      <c r="BY36" s="150"/>
      <c r="BZ36" s="150"/>
      <c r="CA36" s="150"/>
      <c r="CB36" s="142">
        <f>10-10+1</f>
        <v>1</v>
      </c>
      <c r="CC36" s="142">
        <f>10-10+1</f>
        <v>1</v>
      </c>
      <c r="CD36" s="142">
        <f>10-10</f>
        <v>0</v>
      </c>
      <c r="CE36" s="142">
        <f>10-10</f>
        <v>0</v>
      </c>
      <c r="CF36" s="150"/>
      <c r="CG36" s="142">
        <f>10-10+2</f>
        <v>2</v>
      </c>
      <c r="CH36" s="142">
        <f>10-10</f>
        <v>0</v>
      </c>
      <c r="CI36" s="142">
        <f>10-10</f>
        <v>0</v>
      </c>
      <c r="CJ36" s="142">
        <f>10-10</f>
        <v>0</v>
      </c>
      <c r="CK36" s="142">
        <f>10-10</f>
        <v>0</v>
      </c>
      <c r="CL36" s="142">
        <f>5-5+5</f>
        <v>5</v>
      </c>
      <c r="CM36" s="142">
        <f t="shared" ref="CM36:CV36" si="14">10-10</f>
        <v>0</v>
      </c>
      <c r="CN36" s="142">
        <f>10-10+1</f>
        <v>1</v>
      </c>
      <c r="CO36" s="142">
        <f t="shared" si="14"/>
        <v>0</v>
      </c>
      <c r="CP36" s="142">
        <f t="shared" si="14"/>
        <v>0</v>
      </c>
      <c r="CQ36" s="245">
        <f>10-10+1</f>
        <v>1</v>
      </c>
      <c r="CR36" s="142">
        <f>10-10+1</f>
        <v>1</v>
      </c>
      <c r="CS36" s="142">
        <f>10-10+2</f>
        <v>2</v>
      </c>
      <c r="CT36" s="245">
        <f t="shared" si="14"/>
        <v>0</v>
      </c>
      <c r="CU36" s="142">
        <f t="shared" si="14"/>
        <v>0</v>
      </c>
      <c r="CV36" s="142">
        <f t="shared" si="14"/>
        <v>0</v>
      </c>
      <c r="CW36" s="150"/>
      <c r="CX36" s="150"/>
      <c r="CY36" s="142">
        <f>20-20+5</f>
        <v>5</v>
      </c>
      <c r="CZ36" s="142">
        <f>20-20+5</f>
        <v>5</v>
      </c>
      <c r="DA36" s="142">
        <f>20-20+5</f>
        <v>5</v>
      </c>
      <c r="DB36" s="142">
        <f>20-20</f>
        <v>0</v>
      </c>
      <c r="DC36" s="142">
        <f>20-20+5</f>
        <v>5</v>
      </c>
      <c r="DD36" s="150"/>
      <c r="DE36" s="142">
        <f>20-20</f>
        <v>0</v>
      </c>
      <c r="DF36" s="150"/>
      <c r="DG36" s="142">
        <f>20-20</f>
        <v>0</v>
      </c>
      <c r="DH36" s="142">
        <f>20-20</f>
        <v>0</v>
      </c>
      <c r="DI36" s="150"/>
      <c r="DJ36" s="142">
        <f>20-20+2</f>
        <v>2</v>
      </c>
      <c r="DK36" s="142">
        <f>20-20+5</f>
        <v>5</v>
      </c>
      <c r="DL36" s="245">
        <f>20-20+2</f>
        <v>2</v>
      </c>
      <c r="DM36" s="142">
        <f>20-20+10</f>
        <v>10</v>
      </c>
      <c r="DN36" s="142">
        <f>20-20</f>
        <v>0</v>
      </c>
      <c r="DO36" s="150"/>
      <c r="DP36" s="150"/>
      <c r="DQ36" s="150"/>
      <c r="DR36" s="150"/>
      <c r="DS36" s="150"/>
      <c r="DT36" s="150"/>
      <c r="DU36" s="150"/>
      <c r="DV36" s="150"/>
      <c r="DW36" s="150"/>
      <c r="DX36" s="150"/>
      <c r="DY36" s="150"/>
      <c r="DZ36" s="150"/>
      <c r="EA36" s="150"/>
      <c r="EB36" s="150"/>
      <c r="EC36" s="150"/>
      <c r="ED36" s="150"/>
      <c r="EE36" s="146">
        <f>10</f>
        <v>10</v>
      </c>
      <c r="EF36" s="150"/>
      <c r="EG36" s="150"/>
      <c r="EI36" s="150"/>
      <c r="EJ36" s="150"/>
      <c r="EK36" s="150"/>
      <c r="EL36" s="142">
        <f>50-50+5</f>
        <v>5</v>
      </c>
      <c r="EM36" s="150"/>
      <c r="EN36" s="150"/>
      <c r="EO36" s="150"/>
      <c r="EP36" s="150"/>
      <c r="EQ36" s="150"/>
      <c r="ER36" s="150"/>
      <c r="ES36" s="245">
        <f>50-50</f>
        <v>0</v>
      </c>
      <c r="ET36" s="150"/>
      <c r="EU36" s="150"/>
      <c r="EV36" s="150"/>
      <c r="EW36" s="142">
        <f>100-100</f>
        <v>0</v>
      </c>
      <c r="EX36" s="245">
        <f>50-50</f>
        <v>0</v>
      </c>
      <c r="EY36" s="142">
        <f>50-50</f>
        <v>0</v>
      </c>
      <c r="EZ36" s="150"/>
      <c r="FB36" s="142">
        <f>100-100</f>
        <v>0</v>
      </c>
      <c r="FC36" s="142">
        <f>50-50</f>
        <v>0</v>
      </c>
      <c r="FD36" s="245">
        <f>100-100</f>
        <v>0</v>
      </c>
      <c r="FE36" s="142">
        <f>50-50</f>
        <v>0</v>
      </c>
      <c r="FF36" s="142">
        <f>50-50</f>
        <v>0</v>
      </c>
      <c r="FG36" s="142">
        <f>50-50</f>
        <v>0</v>
      </c>
      <c r="FH36" s="150"/>
      <c r="FI36" s="142">
        <f>50-50+5</f>
        <v>5</v>
      </c>
      <c r="FJ36" s="142">
        <f>50-50</f>
        <v>0</v>
      </c>
      <c r="FK36" s="150"/>
      <c r="FL36" s="150"/>
      <c r="FM36" s="150"/>
      <c r="FN36" s="150"/>
      <c r="FO36" s="150"/>
      <c r="FP36" s="150"/>
      <c r="FQ36" s="142">
        <f>100-100</f>
        <v>0</v>
      </c>
      <c r="FR36" s="150"/>
      <c r="FS36" s="150"/>
      <c r="FT36" s="150"/>
      <c r="FU36" s="150"/>
      <c r="FV36" s="150"/>
      <c r="FW36" s="150"/>
      <c r="FX36" s="150"/>
      <c r="FY36" s="150"/>
      <c r="FZ36" s="150"/>
      <c r="GA36" s="150"/>
      <c r="GB36" s="150"/>
      <c r="GC36" s="150"/>
      <c r="GD36" s="150"/>
      <c r="GE36" s="150"/>
      <c r="GF36" s="150"/>
      <c r="GG36" s="150"/>
      <c r="GH36" s="150"/>
      <c r="GI36" s="150"/>
      <c r="GJ36" s="150"/>
      <c r="GK36" s="150"/>
      <c r="GL36" s="150"/>
      <c r="GM36" s="150"/>
      <c r="GN36" s="150"/>
      <c r="GO36" s="150"/>
      <c r="GP36" s="150"/>
      <c r="GQ36" s="150"/>
      <c r="GR36" s="150"/>
      <c r="GS36" s="150"/>
      <c r="GT36" s="143"/>
      <c r="GU36" s="143"/>
      <c r="GV36" s="143"/>
      <c r="GW36" s="239">
        <f t="shared" si="11"/>
        <v>113</v>
      </c>
      <c r="GX36" s="145" t="s">
        <v>563</v>
      </c>
    </row>
    <row r="37" spans="1:206" s="136" customFormat="1">
      <c r="A37" s="139"/>
      <c r="B37" s="139" t="s">
        <v>517</v>
      </c>
      <c r="C37" s="139" t="s">
        <v>555</v>
      </c>
      <c r="D37" s="139" t="s">
        <v>4</v>
      </c>
      <c r="E37" s="160" t="s">
        <v>806</v>
      </c>
      <c r="F37" s="139" t="s">
        <v>520</v>
      </c>
      <c r="G37" s="139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42">
        <f>20-20+20</f>
        <v>20</v>
      </c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0"/>
      <c r="CT37" s="150"/>
      <c r="CU37" s="150"/>
      <c r="CV37" s="150"/>
      <c r="CW37" s="150"/>
      <c r="CX37" s="150"/>
      <c r="CY37" s="150"/>
      <c r="CZ37" s="150"/>
      <c r="DA37" s="150"/>
      <c r="DB37" s="150"/>
      <c r="DC37" s="150"/>
      <c r="DD37" s="150"/>
      <c r="DE37" s="150"/>
      <c r="DF37" s="150"/>
      <c r="DG37" s="150"/>
      <c r="DH37" s="150"/>
      <c r="DI37" s="150"/>
      <c r="DJ37" s="150"/>
      <c r="DK37" s="150"/>
      <c r="DL37" s="150"/>
      <c r="DM37" s="150"/>
      <c r="DN37" s="150"/>
      <c r="DO37" s="150"/>
      <c r="DP37" s="150"/>
      <c r="DQ37" s="150"/>
      <c r="DR37" s="150"/>
      <c r="DS37" s="150"/>
      <c r="DT37" s="150"/>
      <c r="DU37" s="150"/>
      <c r="DV37" s="150"/>
      <c r="DW37" s="150"/>
      <c r="DX37" s="150"/>
      <c r="DY37" s="150"/>
      <c r="DZ37" s="150"/>
      <c r="EA37" s="150"/>
      <c r="EB37" s="150"/>
      <c r="EC37" s="150"/>
      <c r="ED37" s="150"/>
      <c r="EE37" s="150"/>
      <c r="EF37" s="150"/>
      <c r="EG37" s="150"/>
      <c r="EH37" s="150"/>
      <c r="EI37" s="150"/>
      <c r="EJ37" s="150"/>
      <c r="EK37" s="150"/>
      <c r="EL37" s="150"/>
      <c r="EM37" s="150"/>
      <c r="EN37" s="150"/>
      <c r="EO37" s="150"/>
      <c r="EP37" s="150"/>
      <c r="EQ37" s="150"/>
      <c r="ER37" s="150"/>
      <c r="ES37" s="150"/>
      <c r="ET37" s="150"/>
      <c r="EU37" s="150"/>
      <c r="EV37" s="150"/>
      <c r="EW37" s="150"/>
      <c r="EX37" s="150"/>
      <c r="EY37" s="150"/>
      <c r="EZ37" s="150"/>
      <c r="FA37" s="150"/>
      <c r="FB37" s="150"/>
      <c r="FC37" s="150"/>
      <c r="FD37" s="150"/>
      <c r="FE37" s="150"/>
      <c r="FF37" s="150"/>
      <c r="FG37" s="150"/>
      <c r="FH37" s="150"/>
      <c r="FI37" s="150"/>
      <c r="FJ37" s="150"/>
      <c r="FK37" s="150"/>
      <c r="FL37" s="150"/>
      <c r="FM37" s="150"/>
      <c r="FN37" s="150"/>
      <c r="FO37" s="150"/>
      <c r="FP37" s="150"/>
      <c r="FQ37" s="150"/>
      <c r="FR37" s="150"/>
      <c r="FS37" s="150"/>
      <c r="FT37" s="150"/>
      <c r="FU37" s="150"/>
      <c r="FV37" s="150"/>
      <c r="FW37" s="150"/>
      <c r="FX37" s="150"/>
      <c r="FY37" s="150"/>
      <c r="FZ37" s="150"/>
      <c r="GA37" s="150"/>
      <c r="GB37" s="150"/>
      <c r="GC37" s="150"/>
      <c r="GD37" s="150"/>
      <c r="GE37" s="150"/>
      <c r="GF37" s="150"/>
      <c r="GG37" s="150"/>
      <c r="GH37" s="150"/>
      <c r="GI37" s="150"/>
      <c r="GJ37" s="150"/>
      <c r="GK37" s="150"/>
      <c r="GL37" s="150"/>
      <c r="GM37" s="150"/>
      <c r="GN37" s="150"/>
      <c r="GO37" s="150"/>
      <c r="GP37" s="150"/>
      <c r="GQ37" s="150"/>
      <c r="GR37" s="161"/>
      <c r="GS37" s="162"/>
      <c r="GT37" s="158"/>
      <c r="GU37" s="159"/>
      <c r="GV37" s="159" t="s">
        <v>585</v>
      </c>
      <c r="GW37" s="239">
        <f t="shared" si="11"/>
        <v>20</v>
      </c>
      <c r="GX37" s="145" t="s">
        <v>580</v>
      </c>
    </row>
    <row r="38" spans="1:206" s="136" customFormat="1">
      <c r="A38" s="139"/>
      <c r="B38" s="139" t="s">
        <v>517</v>
      </c>
      <c r="C38" s="139" t="s">
        <v>555</v>
      </c>
      <c r="D38" s="139" t="s">
        <v>8</v>
      </c>
      <c r="E38" s="160" t="s">
        <v>568</v>
      </c>
      <c r="F38" s="139" t="s">
        <v>520</v>
      </c>
      <c r="G38" s="139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R38" s="150"/>
      <c r="CS38" s="150"/>
      <c r="CU38" s="150"/>
      <c r="CV38" s="150"/>
      <c r="CW38" s="150"/>
      <c r="CX38" s="150"/>
      <c r="CY38" s="150"/>
      <c r="CZ38" s="150"/>
      <c r="DA38" s="150"/>
      <c r="DB38" s="150"/>
      <c r="DC38" s="150"/>
      <c r="DD38" s="150"/>
      <c r="DE38" s="150"/>
      <c r="DF38" s="150"/>
      <c r="DG38" s="150"/>
      <c r="DH38" s="150"/>
      <c r="DI38" s="150"/>
      <c r="DJ38" s="150"/>
      <c r="DK38" s="150"/>
      <c r="DM38" s="150"/>
      <c r="DN38" s="150"/>
      <c r="DO38" s="150"/>
      <c r="DP38" s="150"/>
      <c r="DQ38" s="150"/>
      <c r="DR38" s="150"/>
      <c r="DS38" s="150"/>
      <c r="DT38" s="150"/>
      <c r="DU38" s="150"/>
      <c r="DV38" s="150"/>
      <c r="DW38" s="150"/>
      <c r="DX38" s="150"/>
      <c r="DY38" s="150"/>
      <c r="DZ38" s="150"/>
      <c r="EA38" s="202">
        <v>30</v>
      </c>
      <c r="EB38" s="150"/>
      <c r="EC38" s="150"/>
      <c r="ED38" s="150"/>
      <c r="EE38" s="142">
        <f>50-50</f>
        <v>0</v>
      </c>
      <c r="EF38" s="150"/>
      <c r="EG38" s="142">
        <f>50-50</f>
        <v>0</v>
      </c>
      <c r="EH38" s="245">
        <f>50-50</f>
        <v>0</v>
      </c>
      <c r="EI38" s="150"/>
      <c r="EJ38" s="150"/>
      <c r="EK38" s="142">
        <f>300-300</f>
        <v>0</v>
      </c>
      <c r="EL38" s="150"/>
      <c r="EM38" s="150"/>
      <c r="EN38" s="142">
        <f>300-300</f>
        <v>0</v>
      </c>
      <c r="EO38" s="150"/>
      <c r="EP38" s="150"/>
      <c r="EQ38" s="150"/>
      <c r="ER38" s="150"/>
      <c r="ET38" s="150"/>
      <c r="EU38" s="150"/>
      <c r="EV38" s="142">
        <f>200-200</f>
        <v>0</v>
      </c>
      <c r="EW38" s="150"/>
      <c r="EY38" s="150"/>
      <c r="EZ38" s="142">
        <f>200-200</f>
        <v>0</v>
      </c>
      <c r="FA38" s="245">
        <f>200-200</f>
        <v>0</v>
      </c>
      <c r="FB38" s="150"/>
      <c r="FC38" s="150"/>
      <c r="FE38" s="150"/>
      <c r="FF38" s="150"/>
      <c r="FG38" s="150"/>
      <c r="FH38" s="142">
        <f>200-200</f>
        <v>0</v>
      </c>
      <c r="FI38" s="150"/>
      <c r="FJ38" s="150"/>
      <c r="FK38" s="150"/>
      <c r="FL38" s="150"/>
      <c r="FM38" s="142">
        <f>200-200</f>
        <v>0</v>
      </c>
      <c r="FN38" s="150"/>
      <c r="FO38" s="142">
        <f>200-200</f>
        <v>0</v>
      </c>
      <c r="FP38" s="150"/>
      <c r="FQ38" s="150"/>
      <c r="FR38" s="150"/>
      <c r="FS38" s="150"/>
      <c r="FT38" s="150"/>
      <c r="FU38" s="150"/>
      <c r="FV38" s="150"/>
      <c r="FW38" s="150"/>
      <c r="FX38" s="150"/>
      <c r="FY38" s="150"/>
      <c r="FZ38" s="150"/>
      <c r="GA38" s="150"/>
      <c r="GB38" s="150"/>
      <c r="GC38" s="150"/>
      <c r="GD38" s="150"/>
      <c r="GE38" s="150"/>
      <c r="GF38" s="150"/>
      <c r="GG38" s="150"/>
      <c r="GH38" s="150"/>
      <c r="GI38" s="150"/>
      <c r="GJ38" s="150"/>
      <c r="GK38" s="150"/>
      <c r="GL38" s="150"/>
      <c r="GM38" s="150"/>
      <c r="GN38" s="150"/>
      <c r="GO38" s="150"/>
      <c r="GP38" s="150"/>
      <c r="GQ38" s="150"/>
      <c r="GR38" s="150"/>
      <c r="GS38" s="150"/>
      <c r="GT38" s="143"/>
      <c r="GU38" s="143"/>
      <c r="GV38" s="143"/>
      <c r="GW38" s="239">
        <f t="shared" si="11"/>
        <v>30</v>
      </c>
      <c r="GX38" s="145" t="s">
        <v>563</v>
      </c>
    </row>
    <row r="39" spans="1:206" s="136" customFormat="1">
      <c r="A39" s="139"/>
      <c r="B39" s="139" t="s">
        <v>517</v>
      </c>
      <c r="C39" s="139" t="s">
        <v>555</v>
      </c>
      <c r="D39" s="139" t="s">
        <v>4</v>
      </c>
      <c r="E39" s="160" t="s">
        <v>568</v>
      </c>
      <c r="F39" s="139" t="s">
        <v>520</v>
      </c>
      <c r="G39" s="139"/>
      <c r="H39" s="150"/>
      <c r="I39" s="150"/>
      <c r="J39" s="150"/>
      <c r="K39" s="150"/>
      <c r="L39" s="150"/>
      <c r="M39" s="150"/>
      <c r="N39" s="142">
        <f>10-10</f>
        <v>0</v>
      </c>
      <c r="O39" s="142">
        <f>10-10+2</f>
        <v>2</v>
      </c>
      <c r="P39" s="142">
        <f>10-10</f>
        <v>0</v>
      </c>
      <c r="Q39" s="150"/>
      <c r="R39" s="142">
        <f>10-10</f>
        <v>0</v>
      </c>
      <c r="S39" s="142">
        <f>10-10</f>
        <v>0</v>
      </c>
      <c r="T39" s="142">
        <f>10-10</f>
        <v>0</v>
      </c>
      <c r="U39" s="150"/>
      <c r="V39" s="142">
        <f>20-20+2</f>
        <v>2</v>
      </c>
      <c r="W39" s="142">
        <f>20-20+5</f>
        <v>5</v>
      </c>
      <c r="X39" s="150"/>
      <c r="Y39" s="142">
        <f>20-20</f>
        <v>0</v>
      </c>
      <c r="Z39" s="142">
        <f>20-20+5</f>
        <v>5</v>
      </c>
      <c r="AA39" s="142">
        <f>20-20+5</f>
        <v>5</v>
      </c>
      <c r="AB39" s="142">
        <f>20-20</f>
        <v>0</v>
      </c>
      <c r="AC39" s="150"/>
      <c r="AD39" s="142">
        <f t="shared" ref="AD39:AI39" si="15">100-100</f>
        <v>0</v>
      </c>
      <c r="AE39" s="142">
        <f t="shared" si="15"/>
        <v>0</v>
      </c>
      <c r="AF39" s="142">
        <f>100-100+3</f>
        <v>3</v>
      </c>
      <c r="AG39" s="142">
        <f t="shared" si="15"/>
        <v>0</v>
      </c>
      <c r="AH39" s="142">
        <f t="shared" si="15"/>
        <v>0</v>
      </c>
      <c r="AI39" s="142">
        <f t="shared" si="15"/>
        <v>0</v>
      </c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42">
        <f>10-10+5</f>
        <v>5</v>
      </c>
      <c r="AZ39" s="142">
        <f>10-10</f>
        <v>0</v>
      </c>
      <c r="BA39" s="142">
        <f>10-10+3</f>
        <v>3</v>
      </c>
      <c r="BB39" s="142">
        <f>10-10+2</f>
        <v>2</v>
      </c>
      <c r="BC39" s="142">
        <f>10-10+2</f>
        <v>2</v>
      </c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42">
        <f>10-10</f>
        <v>0</v>
      </c>
      <c r="BO39" s="142">
        <f>10-10+5</f>
        <v>5</v>
      </c>
      <c r="BP39" s="142">
        <f>10-10+3</f>
        <v>3</v>
      </c>
      <c r="BQ39" s="142">
        <f>10-10+1</f>
        <v>1</v>
      </c>
      <c r="BR39" s="142">
        <f>10-10</f>
        <v>0</v>
      </c>
      <c r="BS39" s="150"/>
      <c r="BT39" s="150"/>
      <c r="BU39" s="150"/>
      <c r="BV39" s="150"/>
      <c r="BW39" s="150"/>
      <c r="BX39" s="150"/>
      <c r="BY39" s="150"/>
      <c r="BZ39" s="150"/>
      <c r="CA39" s="150"/>
      <c r="CB39" s="142">
        <f>20-20+1</f>
        <v>1</v>
      </c>
      <c r="CC39" s="142">
        <f>20-20+1</f>
        <v>1</v>
      </c>
      <c r="CD39" s="142">
        <f t="shared" ref="CD39:CJ39" si="16">20-20</f>
        <v>0</v>
      </c>
      <c r="CE39" s="142">
        <f t="shared" si="16"/>
        <v>0</v>
      </c>
      <c r="CF39" s="142">
        <f t="shared" si="16"/>
        <v>0</v>
      </c>
      <c r="CG39" s="142">
        <f>20-20+5</f>
        <v>5</v>
      </c>
      <c r="CH39" s="142">
        <f>20-20</f>
        <v>0</v>
      </c>
      <c r="CI39" s="142">
        <f t="shared" si="16"/>
        <v>0</v>
      </c>
      <c r="CJ39" s="142">
        <f t="shared" si="16"/>
        <v>0</v>
      </c>
      <c r="CK39" s="142">
        <f>20-20+1</f>
        <v>1</v>
      </c>
      <c r="CL39" s="150"/>
      <c r="CM39" s="142">
        <f>20-20</f>
        <v>0</v>
      </c>
      <c r="CN39" s="142">
        <f>20-20+2</f>
        <v>2</v>
      </c>
      <c r="CO39" s="142">
        <f>20-20+1</f>
        <v>1</v>
      </c>
      <c r="CP39" s="142">
        <f>20-20</f>
        <v>0</v>
      </c>
      <c r="CQ39" s="150"/>
      <c r="CR39" s="142">
        <f>20-20+1</f>
        <v>1</v>
      </c>
      <c r="CS39" s="142">
        <f>20-20</f>
        <v>0</v>
      </c>
      <c r="CT39" s="150"/>
      <c r="CU39" s="142">
        <f>20-20+1</f>
        <v>1</v>
      </c>
      <c r="CV39" s="150"/>
      <c r="CW39" s="150"/>
      <c r="CX39" s="150"/>
      <c r="CY39" s="142">
        <f>30-30+5</f>
        <v>5</v>
      </c>
      <c r="CZ39" s="142">
        <f>30-30+5</f>
        <v>5</v>
      </c>
      <c r="DA39" s="150"/>
      <c r="DB39" s="150"/>
      <c r="DC39" s="142">
        <f>30-30+5</f>
        <v>5</v>
      </c>
      <c r="DD39" s="150"/>
      <c r="DE39" s="142">
        <f>30-30</f>
        <v>0</v>
      </c>
      <c r="DF39" s="150"/>
      <c r="DG39" s="150"/>
      <c r="DH39" s="150"/>
      <c r="DI39" s="150"/>
      <c r="DJ39" s="142">
        <f>30-30+2</f>
        <v>2</v>
      </c>
      <c r="DK39" s="142">
        <f>30-30+5</f>
        <v>5</v>
      </c>
      <c r="DL39" s="142">
        <f>30-30+2</f>
        <v>2</v>
      </c>
      <c r="DM39" s="142">
        <f>30-30+10</f>
        <v>10</v>
      </c>
      <c r="DN39" s="150"/>
      <c r="DO39" s="150"/>
      <c r="DP39" s="150"/>
      <c r="DQ39" s="150"/>
      <c r="DR39" s="150"/>
      <c r="DS39" s="150"/>
      <c r="DT39" s="150"/>
      <c r="DU39" s="150"/>
      <c r="DV39" s="150"/>
      <c r="DW39" s="150"/>
      <c r="DX39" s="142">
        <f>50-50</f>
        <v>0</v>
      </c>
      <c r="DY39" s="150"/>
      <c r="DZ39" s="150"/>
      <c r="EA39" s="142">
        <f>50-50</f>
        <v>0</v>
      </c>
      <c r="EB39" s="142">
        <f>50-50</f>
        <v>0</v>
      </c>
      <c r="EC39" s="150"/>
      <c r="ED39" s="150"/>
      <c r="EE39" s="146">
        <f>50</f>
        <v>50</v>
      </c>
      <c r="EF39" s="150"/>
      <c r="EG39" s="150"/>
      <c r="EH39" s="146">
        <f>50</f>
        <v>50</v>
      </c>
      <c r="EI39" s="150"/>
      <c r="EJ39" s="150"/>
      <c r="EK39" s="150"/>
      <c r="EL39" s="142">
        <f>300-300+5</f>
        <v>5</v>
      </c>
      <c r="EM39" s="150"/>
      <c r="EN39" s="150"/>
      <c r="EO39" s="142">
        <f>300-300+20</f>
        <v>20</v>
      </c>
      <c r="EP39" s="150"/>
      <c r="EQ39" s="150"/>
      <c r="ER39" s="150"/>
      <c r="ES39" s="142">
        <f>100-100</f>
        <v>0</v>
      </c>
      <c r="ET39" s="150"/>
      <c r="EU39" s="142">
        <f>100-100</f>
        <v>0</v>
      </c>
      <c r="EV39" s="150"/>
      <c r="EW39" s="142">
        <f>200-200</f>
        <v>0</v>
      </c>
      <c r="EX39" s="142">
        <f>200-200</f>
        <v>0</v>
      </c>
      <c r="EY39" s="142">
        <f>200-200</f>
        <v>0</v>
      </c>
      <c r="EZ39" s="150"/>
      <c r="FA39" s="150"/>
      <c r="FB39" s="142">
        <f>200-200</f>
        <v>0</v>
      </c>
      <c r="FC39" s="150"/>
      <c r="FD39" s="142">
        <f>200-200</f>
        <v>0</v>
      </c>
      <c r="FE39" s="142">
        <f>200-200</f>
        <v>0</v>
      </c>
      <c r="FF39" s="142">
        <f>200-200+5</f>
        <v>5</v>
      </c>
      <c r="FG39" s="142">
        <f>200-200</f>
        <v>0</v>
      </c>
      <c r="FH39" s="150"/>
      <c r="FI39" s="142">
        <f>200-200+10</f>
        <v>10</v>
      </c>
      <c r="FJ39" s="142">
        <f>200-200</f>
        <v>0</v>
      </c>
      <c r="FK39" s="142">
        <f>200-200</f>
        <v>0</v>
      </c>
      <c r="FL39" s="150"/>
      <c r="FM39" s="150"/>
      <c r="FN39" s="142">
        <f>200-200</f>
        <v>0</v>
      </c>
      <c r="FO39" s="150"/>
      <c r="FP39" s="142">
        <f>200-200</f>
        <v>0</v>
      </c>
      <c r="FQ39" s="142">
        <f>200-200+100</f>
        <v>100</v>
      </c>
      <c r="FR39" s="150"/>
      <c r="FS39" s="150"/>
      <c r="FT39" s="150"/>
      <c r="FU39" s="150"/>
      <c r="FV39" s="150"/>
      <c r="FW39" s="150"/>
      <c r="FX39" s="150"/>
      <c r="FY39" s="150"/>
      <c r="FZ39" s="150"/>
      <c r="GA39" s="150"/>
      <c r="GB39" s="150"/>
      <c r="GC39" s="150"/>
      <c r="GD39" s="150"/>
      <c r="GE39" s="150"/>
      <c r="GF39" s="150"/>
      <c r="GG39" s="150"/>
      <c r="GH39" s="150"/>
      <c r="GI39" s="150"/>
      <c r="GJ39" s="150"/>
      <c r="GK39" s="150"/>
      <c r="GL39" s="150"/>
      <c r="GM39" s="150"/>
      <c r="GN39" s="150"/>
      <c r="GO39" s="150"/>
      <c r="GP39" s="150"/>
      <c r="GQ39" s="150"/>
      <c r="GR39" s="150"/>
      <c r="GS39" s="150"/>
      <c r="GT39" s="143"/>
      <c r="GU39" s="143"/>
      <c r="GV39" s="143"/>
      <c r="GW39" s="239">
        <f t="shared" si="11"/>
        <v>330</v>
      </c>
      <c r="GX39" s="145" t="s">
        <v>563</v>
      </c>
    </row>
    <row r="40" spans="1:206" s="136" customFormat="1">
      <c r="A40" s="139"/>
      <c r="B40" s="139" t="s">
        <v>517</v>
      </c>
      <c r="C40" s="139" t="s">
        <v>555</v>
      </c>
      <c r="D40" s="139" t="s">
        <v>8</v>
      </c>
      <c r="E40" s="160" t="s">
        <v>569</v>
      </c>
      <c r="F40" s="139" t="s">
        <v>520</v>
      </c>
      <c r="G40" s="139" t="s">
        <v>807</v>
      </c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  <c r="CE40" s="150"/>
      <c r="CF40" s="150"/>
      <c r="CG40" s="150"/>
      <c r="CH40" s="150"/>
      <c r="CI40" s="150"/>
      <c r="CJ40" s="150"/>
      <c r="CK40" s="150"/>
      <c r="CL40" s="150"/>
      <c r="CM40" s="150"/>
      <c r="CN40" s="150"/>
      <c r="CO40" s="150"/>
      <c r="CP40" s="150"/>
      <c r="CQ40" s="150"/>
      <c r="CR40" s="150"/>
      <c r="CS40" s="150"/>
      <c r="CT40" s="150"/>
      <c r="CU40" s="150"/>
      <c r="CV40" s="150"/>
      <c r="CW40" s="150"/>
      <c r="CX40" s="150"/>
      <c r="CY40" s="150"/>
      <c r="CZ40" s="150"/>
      <c r="DA40" s="150"/>
      <c r="DB40" s="150"/>
      <c r="DC40" s="150"/>
      <c r="DD40" s="150"/>
      <c r="DE40" s="150"/>
      <c r="DF40" s="150"/>
      <c r="DG40" s="150"/>
      <c r="DH40" s="150"/>
      <c r="DI40" s="150"/>
      <c r="DJ40" s="150"/>
      <c r="DK40" s="150"/>
      <c r="DL40" s="150"/>
      <c r="DM40" s="150"/>
      <c r="DN40" s="150"/>
      <c r="DO40" s="150"/>
      <c r="DP40" s="150"/>
      <c r="DQ40" s="150"/>
      <c r="DR40" s="150"/>
      <c r="DS40" s="150"/>
      <c r="DT40" s="150"/>
      <c r="DU40" s="150"/>
      <c r="DV40" s="150"/>
      <c r="DW40" s="150"/>
      <c r="DX40" s="150"/>
      <c r="DY40" s="150"/>
      <c r="DZ40" s="150"/>
      <c r="EA40" s="150"/>
      <c r="EB40" s="150"/>
      <c r="EC40" s="150"/>
      <c r="ED40" s="150"/>
      <c r="EE40" s="150"/>
      <c r="EF40" s="150"/>
      <c r="EG40" s="150"/>
      <c r="EH40" s="150"/>
      <c r="EI40" s="150"/>
      <c r="EJ40" s="150"/>
      <c r="EK40" s="150"/>
      <c r="EL40" s="150"/>
      <c r="EM40" s="150"/>
      <c r="EN40" s="150"/>
      <c r="EO40" s="150"/>
      <c r="EP40" s="150"/>
      <c r="EQ40" s="150"/>
      <c r="ER40" s="150"/>
      <c r="ES40" s="150"/>
      <c r="ET40" s="150"/>
      <c r="EU40" s="150"/>
      <c r="EV40" s="150"/>
      <c r="EW40" s="150"/>
      <c r="EX40" s="150"/>
      <c r="EY40" s="150"/>
      <c r="EZ40" s="150"/>
      <c r="FA40" s="150"/>
      <c r="FB40" s="150"/>
      <c r="FC40" s="150"/>
      <c r="FD40" s="150"/>
      <c r="FE40" s="150"/>
      <c r="FF40" s="150"/>
      <c r="FG40" s="150"/>
      <c r="FH40" s="150"/>
      <c r="FI40" s="150"/>
      <c r="FJ40" s="150"/>
      <c r="FK40" s="150"/>
      <c r="FL40" s="150"/>
      <c r="FM40" s="150"/>
      <c r="FN40" s="150"/>
      <c r="FO40" s="150"/>
      <c r="FP40" s="150"/>
      <c r="FQ40" s="150"/>
      <c r="FR40" s="150"/>
      <c r="FS40" s="150"/>
      <c r="FT40" s="150"/>
      <c r="FU40" s="150"/>
      <c r="FV40" s="150"/>
      <c r="FW40" s="150"/>
      <c r="FX40" s="150"/>
      <c r="FY40" s="150"/>
      <c r="FZ40" s="150"/>
      <c r="GA40" s="150"/>
      <c r="GB40" s="150"/>
      <c r="GC40" s="150"/>
      <c r="GD40" s="150"/>
      <c r="GE40" s="150"/>
      <c r="GF40" s="150"/>
      <c r="GG40" s="150"/>
      <c r="GH40" s="150"/>
      <c r="GI40" s="150"/>
      <c r="GJ40" s="150"/>
      <c r="GK40" s="150"/>
      <c r="GL40" s="150"/>
      <c r="GM40" s="150"/>
      <c r="GN40" s="150"/>
      <c r="GO40" s="150"/>
      <c r="GP40" s="150"/>
      <c r="GQ40" s="150"/>
      <c r="GR40" s="161"/>
      <c r="GS40" s="162"/>
      <c r="GT40" s="159"/>
      <c r="GU40" s="159" t="s">
        <v>571</v>
      </c>
      <c r="GV40" s="159" t="s">
        <v>572</v>
      </c>
      <c r="GW40" s="239">
        <f t="shared" si="11"/>
        <v>0</v>
      </c>
      <c r="GX40" s="136" t="s">
        <v>573</v>
      </c>
    </row>
    <row r="41" spans="1:206" s="136" customFormat="1">
      <c r="A41" s="139"/>
      <c r="B41" s="139" t="s">
        <v>517</v>
      </c>
      <c r="C41" s="139" t="s">
        <v>555</v>
      </c>
      <c r="D41" s="139" t="s">
        <v>4</v>
      </c>
      <c r="E41" s="160" t="s">
        <v>569</v>
      </c>
      <c r="F41" s="139" t="s">
        <v>520</v>
      </c>
      <c r="G41" s="139" t="s">
        <v>807</v>
      </c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42">
        <f>20-20+3</f>
        <v>3</v>
      </c>
      <c r="BP41" s="150"/>
      <c r="BQ41" s="142">
        <f>20-20+1</f>
        <v>1</v>
      </c>
      <c r="BR41" s="150"/>
      <c r="BS41" s="142">
        <f>20-20+5</f>
        <v>5</v>
      </c>
      <c r="BT41" s="150"/>
      <c r="BU41" s="150"/>
      <c r="BV41" s="150"/>
      <c r="BW41" s="150"/>
      <c r="BX41" s="150"/>
      <c r="BY41" s="150"/>
      <c r="BZ41" s="150"/>
      <c r="CA41" s="150"/>
      <c r="CB41" s="150"/>
      <c r="CC41" s="142">
        <f>80-80+1</f>
        <v>1</v>
      </c>
      <c r="CD41" s="142">
        <f>80-80</f>
        <v>0</v>
      </c>
      <c r="CE41" s="142">
        <f>80-80</f>
        <v>0</v>
      </c>
      <c r="CF41" s="150"/>
      <c r="CG41" s="150"/>
      <c r="CH41" s="150"/>
      <c r="CI41" s="150"/>
      <c r="CJ41" s="150"/>
      <c r="CK41" s="150"/>
      <c r="CL41" s="150"/>
      <c r="CM41" s="142">
        <f>80-80</f>
        <v>0</v>
      </c>
      <c r="CN41" s="142">
        <f>80-80+1</f>
        <v>1</v>
      </c>
      <c r="CO41" s="142">
        <f>20-20</f>
        <v>0</v>
      </c>
      <c r="CP41" s="150"/>
      <c r="CQ41" s="150"/>
      <c r="CR41" s="142">
        <f>100-100+1</f>
        <v>1</v>
      </c>
      <c r="CS41" s="142">
        <f>80-80+1</f>
        <v>1</v>
      </c>
      <c r="CT41" s="150"/>
      <c r="CU41" s="142">
        <f>80-80</f>
        <v>0</v>
      </c>
      <c r="CV41" s="150"/>
      <c r="CW41" s="150"/>
      <c r="CX41" s="142">
        <f>100-100</f>
        <v>0</v>
      </c>
      <c r="CY41" s="150"/>
      <c r="CZ41" s="150"/>
      <c r="DA41" s="150"/>
      <c r="DB41" s="150"/>
      <c r="DC41" s="150"/>
      <c r="DD41" s="150"/>
      <c r="DE41" s="150"/>
      <c r="DF41" s="150"/>
      <c r="DG41" s="150"/>
      <c r="DH41" s="150"/>
      <c r="DI41" s="150"/>
      <c r="DJ41" s="142">
        <f>100-100+2</f>
        <v>2</v>
      </c>
      <c r="DK41" s="142">
        <f>100-100+5</f>
        <v>5</v>
      </c>
      <c r="DL41" s="150"/>
      <c r="DM41" s="142">
        <f>100-100+10</f>
        <v>10</v>
      </c>
      <c r="DN41" s="150"/>
      <c r="DO41" s="150"/>
      <c r="DP41" s="150"/>
      <c r="DQ41" s="150"/>
      <c r="DR41" s="150"/>
      <c r="DS41" s="150"/>
      <c r="DT41" s="150"/>
      <c r="DU41" s="150"/>
      <c r="DV41" s="150"/>
      <c r="DW41" s="150"/>
      <c r="DX41" s="150"/>
      <c r="DY41" s="150"/>
      <c r="DZ41" s="150"/>
      <c r="EA41" s="150"/>
      <c r="EB41" s="150"/>
      <c r="EC41" s="150"/>
      <c r="ED41" s="150"/>
      <c r="EE41" s="150"/>
      <c r="EF41" s="150"/>
      <c r="EG41" s="150"/>
      <c r="EH41" s="150"/>
      <c r="EI41" s="150"/>
      <c r="EJ41" s="150"/>
      <c r="EK41" s="150"/>
      <c r="EL41" s="142">
        <f>200-200+5</f>
        <v>5</v>
      </c>
      <c r="EM41" s="150"/>
      <c r="EN41" s="150"/>
      <c r="EO41" s="150"/>
      <c r="EP41" s="150"/>
      <c r="EQ41" s="150"/>
      <c r="ER41" s="150"/>
      <c r="ES41" s="150"/>
      <c r="ET41" s="150"/>
      <c r="EU41" s="150"/>
      <c r="EV41" s="150"/>
      <c r="EW41" s="150"/>
      <c r="EX41" s="150"/>
      <c r="EY41" s="150"/>
      <c r="EZ41" s="150"/>
      <c r="FA41" s="150"/>
      <c r="FB41" s="150"/>
      <c r="FC41" s="150"/>
      <c r="FD41" s="150"/>
      <c r="FE41" s="150"/>
      <c r="FF41" s="150"/>
      <c r="FG41" s="150"/>
      <c r="FH41" s="150"/>
      <c r="FI41" s="150"/>
      <c r="FJ41" s="150"/>
      <c r="FK41" s="150"/>
      <c r="FL41" s="150"/>
      <c r="FM41" s="150"/>
      <c r="FN41" s="150"/>
      <c r="FO41" s="150"/>
      <c r="FP41" s="150"/>
      <c r="FQ41" s="150"/>
      <c r="FR41" s="150"/>
      <c r="FS41" s="150"/>
      <c r="FT41" s="150"/>
      <c r="FU41" s="150"/>
      <c r="FV41" s="150"/>
      <c r="FW41" s="150"/>
      <c r="FX41" s="150"/>
      <c r="FY41" s="150"/>
      <c r="FZ41" s="150"/>
      <c r="GA41" s="150"/>
      <c r="GB41" s="150"/>
      <c r="GC41" s="150"/>
      <c r="GD41" s="150"/>
      <c r="GE41" s="150"/>
      <c r="GF41" s="150"/>
      <c r="GG41" s="150"/>
      <c r="GH41" s="150"/>
      <c r="GI41" s="150"/>
      <c r="GJ41" s="150"/>
      <c r="GK41" s="150"/>
      <c r="GL41" s="150"/>
      <c r="GM41" s="150"/>
      <c r="GN41" s="150"/>
      <c r="GO41" s="150"/>
      <c r="GP41" s="150"/>
      <c r="GQ41" s="150"/>
      <c r="GR41" s="161"/>
      <c r="GS41" s="162"/>
      <c r="GT41" s="159"/>
      <c r="GU41" s="159" t="s">
        <v>571</v>
      </c>
      <c r="GV41" s="159" t="s">
        <v>572</v>
      </c>
      <c r="GW41" s="239">
        <f t="shared" si="11"/>
        <v>35</v>
      </c>
      <c r="GX41" s="136" t="s">
        <v>573</v>
      </c>
    </row>
    <row r="42" spans="1:206" s="136" customFormat="1">
      <c r="A42" s="139"/>
      <c r="B42" s="139" t="s">
        <v>517</v>
      </c>
      <c r="C42" s="139" t="s">
        <v>555</v>
      </c>
      <c r="D42" s="139" t="s">
        <v>3</v>
      </c>
      <c r="E42" s="160" t="s">
        <v>569</v>
      </c>
      <c r="F42" s="139" t="s">
        <v>520</v>
      </c>
      <c r="G42" s="139" t="s">
        <v>808</v>
      </c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  <c r="CN42" s="150"/>
      <c r="CO42" s="150"/>
      <c r="CP42" s="150"/>
      <c r="CQ42" s="150"/>
      <c r="CR42" s="150"/>
      <c r="CS42" s="150"/>
      <c r="CT42" s="142">
        <f>40-40</f>
        <v>0</v>
      </c>
      <c r="CU42" s="150"/>
      <c r="CV42" s="150"/>
      <c r="CW42" s="150"/>
      <c r="CX42" s="150"/>
      <c r="CY42" s="150"/>
      <c r="CZ42" s="150"/>
      <c r="DA42" s="150"/>
      <c r="DB42" s="150"/>
      <c r="DC42" s="150"/>
      <c r="DD42" s="150"/>
      <c r="DE42" s="150"/>
      <c r="DF42" s="150"/>
      <c r="DG42" s="150"/>
      <c r="DH42" s="150"/>
      <c r="DI42" s="150"/>
      <c r="DJ42" s="150"/>
      <c r="DK42" s="150"/>
      <c r="DL42" s="150"/>
      <c r="DM42" s="150"/>
      <c r="DN42" s="150"/>
      <c r="DO42" s="150"/>
      <c r="DP42" s="150"/>
      <c r="DQ42" s="150"/>
      <c r="DR42" s="150"/>
      <c r="DS42" s="150"/>
      <c r="DT42" s="150"/>
      <c r="DU42" s="150"/>
      <c r="DV42" s="150"/>
      <c r="DW42" s="150"/>
      <c r="DX42" s="150"/>
      <c r="DY42" s="150"/>
      <c r="DZ42" s="150"/>
      <c r="EA42" s="150"/>
      <c r="EB42" s="150"/>
      <c r="EC42" s="150"/>
      <c r="ED42" s="150"/>
      <c r="EE42" s="150"/>
      <c r="EF42" s="150"/>
      <c r="EG42" s="150"/>
      <c r="EH42" s="150"/>
      <c r="EI42" s="150"/>
      <c r="EJ42" s="150"/>
      <c r="EK42" s="150"/>
      <c r="EL42" s="150"/>
      <c r="EM42" s="150"/>
      <c r="EN42" s="150"/>
      <c r="EO42" s="150"/>
      <c r="EP42" s="150"/>
      <c r="EQ42" s="150"/>
      <c r="ER42" s="150"/>
      <c r="ES42" s="150"/>
      <c r="ET42" s="150"/>
      <c r="EU42" s="150"/>
      <c r="EV42" s="150"/>
      <c r="EW42" s="150"/>
      <c r="EX42" s="150"/>
      <c r="EY42" s="150"/>
      <c r="EZ42" s="150"/>
      <c r="FA42" s="150"/>
      <c r="FB42" s="150"/>
      <c r="FC42" s="150"/>
      <c r="FD42" s="150"/>
      <c r="FE42" s="150"/>
      <c r="FF42" s="150"/>
      <c r="FG42" s="150"/>
      <c r="FH42" s="150"/>
      <c r="FI42" s="150"/>
      <c r="FJ42" s="150"/>
      <c r="FK42" s="150"/>
      <c r="FL42" s="150"/>
      <c r="FM42" s="150"/>
      <c r="FN42" s="150"/>
      <c r="FO42" s="150"/>
      <c r="FP42" s="150"/>
      <c r="FQ42" s="150"/>
      <c r="FR42" s="150"/>
      <c r="FS42" s="150"/>
      <c r="FT42" s="150"/>
      <c r="FU42" s="150"/>
      <c r="FV42" s="150"/>
      <c r="FW42" s="150"/>
      <c r="FX42" s="150"/>
      <c r="FY42" s="150"/>
      <c r="FZ42" s="150"/>
      <c r="GA42" s="150"/>
      <c r="GB42" s="150"/>
      <c r="GC42" s="150"/>
      <c r="GD42" s="150"/>
      <c r="GE42" s="150"/>
      <c r="GF42" s="150"/>
      <c r="GG42" s="150"/>
      <c r="GH42" s="150"/>
      <c r="GI42" s="150"/>
      <c r="GJ42" s="150"/>
      <c r="GK42" s="150"/>
      <c r="GL42" s="150"/>
      <c r="GM42" s="150"/>
      <c r="GN42" s="150"/>
      <c r="GO42" s="150"/>
      <c r="GP42" s="150"/>
      <c r="GQ42" s="150"/>
      <c r="GR42" s="161"/>
      <c r="GS42" s="162"/>
      <c r="GT42" s="159"/>
      <c r="GU42" s="159" t="s">
        <v>571</v>
      </c>
      <c r="GV42" s="159" t="s">
        <v>572</v>
      </c>
      <c r="GW42" s="239">
        <f t="shared" si="11"/>
        <v>0</v>
      </c>
      <c r="GX42" s="136" t="s">
        <v>573</v>
      </c>
    </row>
    <row r="43" spans="1:206" s="136" customFormat="1">
      <c r="A43" s="139"/>
      <c r="B43" s="139" t="s">
        <v>517</v>
      </c>
      <c r="C43" s="139" t="s">
        <v>555</v>
      </c>
      <c r="D43" s="139" t="s">
        <v>8</v>
      </c>
      <c r="E43" s="160" t="s">
        <v>809</v>
      </c>
      <c r="F43" s="139" t="s">
        <v>520</v>
      </c>
      <c r="G43" s="139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U43" s="150"/>
      <c r="BV43" s="150"/>
      <c r="BW43" s="150"/>
      <c r="BX43" s="150"/>
      <c r="BY43" s="150"/>
      <c r="BZ43" s="150"/>
      <c r="CA43" s="150"/>
      <c r="CB43" s="150"/>
      <c r="CC43" s="150"/>
      <c r="CD43" s="150"/>
      <c r="CE43" s="150"/>
      <c r="CF43" s="150"/>
      <c r="CG43" s="150"/>
      <c r="CH43" s="150"/>
      <c r="CI43" s="150"/>
      <c r="CJ43" s="150"/>
      <c r="CK43" s="150"/>
      <c r="CL43" s="150"/>
      <c r="CM43" s="150"/>
      <c r="CN43" s="150"/>
      <c r="CO43" s="150"/>
      <c r="CP43" s="150"/>
      <c r="CR43" s="150"/>
      <c r="CS43" s="150"/>
      <c r="CU43" s="150"/>
      <c r="CV43" s="150"/>
      <c r="CW43" s="150"/>
      <c r="CX43" s="150"/>
      <c r="CY43" s="150"/>
      <c r="CZ43" s="150"/>
      <c r="DA43" s="150"/>
      <c r="DB43" s="150"/>
      <c r="DC43" s="150"/>
      <c r="DD43" s="150"/>
      <c r="DE43" s="150"/>
      <c r="DF43" s="150"/>
      <c r="DG43" s="150"/>
      <c r="DH43" s="150"/>
      <c r="DI43" s="150"/>
      <c r="DJ43" s="150"/>
      <c r="DK43" s="150"/>
      <c r="DM43" s="150"/>
      <c r="DN43" s="150"/>
      <c r="DO43" s="150"/>
      <c r="DP43" s="150"/>
      <c r="DQ43" s="150"/>
      <c r="DR43" s="150"/>
      <c r="DS43" s="150"/>
      <c r="DT43" s="150"/>
      <c r="DU43" s="150"/>
      <c r="DV43" s="150"/>
      <c r="DW43" s="150"/>
      <c r="DX43" s="150"/>
      <c r="DY43" s="150"/>
      <c r="DZ43" s="150"/>
      <c r="EA43" s="150"/>
      <c r="EB43" s="150"/>
      <c r="EC43" s="150"/>
      <c r="ED43" s="150"/>
      <c r="EE43" s="150"/>
      <c r="EF43" s="150"/>
      <c r="EG43" s="150"/>
      <c r="EI43" s="150"/>
      <c r="EJ43" s="150"/>
      <c r="EK43" s="142">
        <f>100-100</f>
        <v>0</v>
      </c>
      <c r="EL43" s="150"/>
      <c r="EM43" s="150"/>
      <c r="EN43" s="150"/>
      <c r="EO43" s="150"/>
      <c r="EP43" s="150"/>
      <c r="EQ43" s="150"/>
      <c r="ER43" s="150"/>
      <c r="ET43" s="150"/>
      <c r="EU43" s="150"/>
      <c r="EV43" s="142">
        <f>100-100</f>
        <v>0</v>
      </c>
      <c r="EW43" s="150"/>
      <c r="EY43" s="150"/>
      <c r="EZ43" s="142">
        <f>100-100</f>
        <v>0</v>
      </c>
      <c r="FB43" s="150"/>
      <c r="FC43" s="150"/>
      <c r="FE43" s="150"/>
      <c r="FF43" s="150"/>
      <c r="FG43" s="150"/>
      <c r="FH43" s="150"/>
      <c r="FI43" s="150"/>
      <c r="FJ43" s="150"/>
      <c r="FK43" s="150"/>
      <c r="FL43" s="150"/>
      <c r="FM43" s="150"/>
      <c r="FN43" s="150"/>
      <c r="FO43" s="150"/>
      <c r="FP43" s="150"/>
      <c r="FQ43" s="150"/>
      <c r="FR43" s="150"/>
      <c r="FS43" s="150"/>
      <c r="FT43" s="150"/>
      <c r="FU43" s="150"/>
      <c r="FV43" s="150"/>
      <c r="FW43" s="150"/>
      <c r="FX43" s="150"/>
      <c r="FY43" s="150"/>
      <c r="FZ43" s="150"/>
      <c r="GA43" s="150"/>
      <c r="GB43" s="150"/>
      <c r="GC43" s="150"/>
      <c r="GD43" s="150"/>
      <c r="GE43" s="150"/>
      <c r="GF43" s="150"/>
      <c r="GG43" s="150"/>
      <c r="GH43" s="150"/>
      <c r="GI43" s="150"/>
      <c r="GJ43" s="150"/>
      <c r="GK43" s="150"/>
      <c r="GL43" s="150"/>
      <c r="GM43" s="150"/>
      <c r="GN43" s="150"/>
      <c r="GO43" s="150"/>
      <c r="GP43" s="150"/>
      <c r="GQ43" s="150"/>
      <c r="GR43" s="150"/>
      <c r="GS43" s="150"/>
      <c r="GT43" s="143"/>
      <c r="GU43" s="143"/>
      <c r="GV43" s="143"/>
      <c r="GW43" s="239">
        <f t="shared" si="11"/>
        <v>0</v>
      </c>
      <c r="GX43" s="145" t="s">
        <v>563</v>
      </c>
    </row>
    <row r="44" spans="1:206" s="136" customFormat="1">
      <c r="A44" s="139"/>
      <c r="B44" s="139" t="s">
        <v>517</v>
      </c>
      <c r="C44" s="139" t="s">
        <v>555</v>
      </c>
      <c r="D44" s="139" t="s">
        <v>4</v>
      </c>
      <c r="E44" s="160" t="s">
        <v>809</v>
      </c>
      <c r="F44" s="139" t="s">
        <v>520</v>
      </c>
      <c r="G44" s="139"/>
      <c r="H44" s="150"/>
      <c r="I44" s="150"/>
      <c r="J44" s="150"/>
      <c r="K44" s="150"/>
      <c r="L44" s="150"/>
      <c r="M44" s="150"/>
      <c r="N44" s="150"/>
      <c r="O44" s="142">
        <f>50-50+2</f>
        <v>2</v>
      </c>
      <c r="P44" s="150"/>
      <c r="Q44" s="150"/>
      <c r="R44" s="142">
        <f>50-50</f>
        <v>0</v>
      </c>
      <c r="S44" s="142">
        <f>50-50</f>
        <v>0</v>
      </c>
      <c r="T44" s="142">
        <f>50-50</f>
        <v>0</v>
      </c>
      <c r="U44" s="150"/>
      <c r="W44" s="142">
        <f>50-50+5</f>
        <v>5</v>
      </c>
      <c r="X44" s="150"/>
      <c r="Y44" s="150"/>
      <c r="Z44" s="142">
        <f>20-20+5</f>
        <v>5</v>
      </c>
      <c r="AA44" s="142">
        <f>20-20+5</f>
        <v>5</v>
      </c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42">
        <f t="shared" ref="BL44:BR44" si="17">50-50</f>
        <v>0</v>
      </c>
      <c r="BM44" s="142">
        <f t="shared" si="17"/>
        <v>0</v>
      </c>
      <c r="BN44" s="142">
        <f t="shared" si="17"/>
        <v>0</v>
      </c>
      <c r="BO44" s="142">
        <f>50-50+2</f>
        <v>2</v>
      </c>
      <c r="BP44" s="142">
        <f>50-50+3</f>
        <v>3</v>
      </c>
      <c r="BQ44" s="142">
        <f>50-50+1</f>
        <v>1</v>
      </c>
      <c r="BR44" s="142">
        <f t="shared" si="17"/>
        <v>0</v>
      </c>
      <c r="BS44" s="142">
        <f>50-50+10</f>
        <v>10</v>
      </c>
      <c r="BU44" s="150"/>
      <c r="BV44" s="150"/>
      <c r="BW44" s="150"/>
      <c r="BX44" s="150"/>
      <c r="BY44" s="142">
        <f t="shared" ref="BY44:CP44" si="18">50-50</f>
        <v>0</v>
      </c>
      <c r="BZ44" s="142">
        <f t="shared" si="18"/>
        <v>0</v>
      </c>
      <c r="CA44" s="142">
        <f t="shared" si="18"/>
        <v>0</v>
      </c>
      <c r="CB44" s="142">
        <f>50-50+1</f>
        <v>1</v>
      </c>
      <c r="CC44" s="142">
        <f>50-50+1</f>
        <v>1</v>
      </c>
      <c r="CD44" s="142">
        <f t="shared" si="18"/>
        <v>0</v>
      </c>
      <c r="CE44" s="142">
        <f t="shared" si="18"/>
        <v>0</v>
      </c>
      <c r="CF44" s="142">
        <f t="shared" si="18"/>
        <v>0</v>
      </c>
      <c r="CG44" s="142">
        <f>50-50+3</f>
        <v>3</v>
      </c>
      <c r="CH44" s="142">
        <f>50-50</f>
        <v>0</v>
      </c>
      <c r="CI44" s="142">
        <f t="shared" si="18"/>
        <v>0</v>
      </c>
      <c r="CJ44" s="142">
        <f t="shared" si="18"/>
        <v>0</v>
      </c>
      <c r="CK44" s="142">
        <f>50-50</f>
        <v>0</v>
      </c>
      <c r="CL44" s="142">
        <f>50-50+5</f>
        <v>5</v>
      </c>
      <c r="CM44" s="142">
        <f t="shared" si="18"/>
        <v>0</v>
      </c>
      <c r="CN44" s="142">
        <f>50-50+1</f>
        <v>1</v>
      </c>
      <c r="CO44" s="142">
        <f t="shared" si="18"/>
        <v>0</v>
      </c>
      <c r="CP44" s="142">
        <f t="shared" si="18"/>
        <v>0</v>
      </c>
      <c r="CQ44" s="290">
        <v>1</v>
      </c>
      <c r="CR44" s="142">
        <f>50-50+1</f>
        <v>1</v>
      </c>
      <c r="CS44" s="142">
        <f>50-50+2</f>
        <v>2</v>
      </c>
      <c r="CT44" s="245">
        <f>50-50</f>
        <v>0</v>
      </c>
      <c r="CU44" s="142">
        <f>50-50</f>
        <v>0</v>
      </c>
      <c r="CV44" s="142">
        <f>50-50</f>
        <v>0</v>
      </c>
      <c r="CW44" s="150"/>
      <c r="CX44" s="150"/>
      <c r="CY44" s="142">
        <f>50-50+5</f>
        <v>5</v>
      </c>
      <c r="CZ44" s="142">
        <f>50-50+5</f>
        <v>5</v>
      </c>
      <c r="DA44" s="142">
        <f>50-50+5</f>
        <v>5</v>
      </c>
      <c r="DB44" s="142">
        <f>50-50</f>
        <v>0</v>
      </c>
      <c r="DC44" s="142">
        <f>50-50+5</f>
        <v>5</v>
      </c>
      <c r="DD44" s="150"/>
      <c r="DE44" s="142">
        <f>50-50</f>
        <v>0</v>
      </c>
      <c r="DF44" s="150"/>
      <c r="DG44" s="150"/>
      <c r="DH44" s="150"/>
      <c r="DI44" s="150"/>
      <c r="DJ44" s="142">
        <f>50-50+2</f>
        <v>2</v>
      </c>
      <c r="DK44" s="142">
        <f>100-100+5</f>
        <v>5</v>
      </c>
      <c r="DL44" s="245">
        <f>100-100+2</f>
        <v>2</v>
      </c>
      <c r="DM44" s="150"/>
      <c r="DN44" s="150"/>
      <c r="DO44" s="150"/>
      <c r="DP44" s="150"/>
      <c r="DQ44" s="150"/>
      <c r="DR44" s="150"/>
      <c r="DS44" s="150"/>
      <c r="DT44" s="150"/>
      <c r="DU44" s="150"/>
      <c r="DV44" s="150"/>
      <c r="DW44" s="150"/>
      <c r="DX44" s="150"/>
      <c r="DY44" s="150"/>
      <c r="DZ44" s="150"/>
      <c r="EA44" s="150"/>
      <c r="EB44" s="150"/>
      <c r="EC44" s="150"/>
      <c r="ED44" s="150"/>
      <c r="EE44" s="150"/>
      <c r="EF44" s="150"/>
      <c r="EG44" s="150"/>
      <c r="EI44" s="150"/>
      <c r="EJ44" s="150"/>
      <c r="EK44" s="150"/>
      <c r="EL44" s="142">
        <f>100-100+5</f>
        <v>5</v>
      </c>
      <c r="EM44" s="150"/>
      <c r="EN44" s="150"/>
      <c r="EO44" s="150"/>
      <c r="EP44" s="150"/>
      <c r="EQ44" s="150"/>
      <c r="ER44" s="150"/>
      <c r="ET44" s="150"/>
      <c r="EU44" s="150"/>
      <c r="EV44" s="150"/>
      <c r="EW44" s="142">
        <f>200-200</f>
        <v>0</v>
      </c>
      <c r="EX44" s="245">
        <f>200-200</f>
        <v>0</v>
      </c>
      <c r="EY44" s="150"/>
      <c r="EZ44" s="150"/>
      <c r="FB44" s="150"/>
      <c r="FC44" s="150"/>
      <c r="FE44" s="150"/>
      <c r="FF44" s="150"/>
      <c r="FG44" s="150"/>
      <c r="FH44" s="150"/>
      <c r="FI44" s="150"/>
      <c r="FJ44" s="150"/>
      <c r="FK44" s="150"/>
      <c r="FL44" s="150"/>
      <c r="FM44" s="150"/>
      <c r="FN44" s="150"/>
      <c r="FO44" s="150"/>
      <c r="FP44" s="150"/>
      <c r="FQ44" s="150"/>
      <c r="FR44" s="150"/>
      <c r="FS44" s="150"/>
      <c r="FT44" s="150"/>
      <c r="FU44" s="150"/>
      <c r="FV44" s="150"/>
      <c r="FW44" s="150"/>
      <c r="FX44" s="150"/>
      <c r="FY44" s="150"/>
      <c r="FZ44" s="150"/>
      <c r="GA44" s="150"/>
      <c r="GB44" s="150"/>
      <c r="GC44" s="150"/>
      <c r="GD44" s="150"/>
      <c r="GE44" s="150"/>
      <c r="GF44" s="150"/>
      <c r="GG44" s="150"/>
      <c r="GH44" s="150"/>
      <c r="GI44" s="150"/>
      <c r="GJ44" s="150"/>
      <c r="GK44" s="150"/>
      <c r="GL44" s="150"/>
      <c r="GM44" s="150"/>
      <c r="GN44" s="150"/>
      <c r="GO44" s="150"/>
      <c r="GP44" s="150"/>
      <c r="GQ44" s="150"/>
      <c r="GR44" s="150"/>
      <c r="GS44" s="150"/>
      <c r="GT44" s="143"/>
      <c r="GU44" s="143"/>
      <c r="GV44" s="143"/>
      <c r="GW44" s="239">
        <f t="shared" si="11"/>
        <v>82</v>
      </c>
      <c r="GX44" s="145" t="s">
        <v>563</v>
      </c>
    </row>
    <row r="45" spans="1:206" s="136" customFormat="1">
      <c r="A45" s="139"/>
      <c r="B45" s="139" t="s">
        <v>517</v>
      </c>
      <c r="C45" s="139" t="s">
        <v>555</v>
      </c>
      <c r="D45" s="139" t="s">
        <v>3</v>
      </c>
      <c r="E45" s="160" t="s">
        <v>809</v>
      </c>
      <c r="F45" s="139" t="s">
        <v>520</v>
      </c>
      <c r="G45" s="139"/>
      <c r="H45" s="150"/>
      <c r="I45" s="150"/>
      <c r="J45" s="150"/>
      <c r="K45" s="150"/>
      <c r="L45" s="150"/>
      <c r="M45" s="150"/>
      <c r="N45" s="150"/>
      <c r="O45" s="150"/>
      <c r="P45" s="142">
        <f>50-50</f>
        <v>0</v>
      </c>
      <c r="Q45" s="150"/>
      <c r="R45" s="150"/>
      <c r="S45" s="150"/>
      <c r="T45" s="150"/>
      <c r="U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  <c r="CE45" s="150"/>
      <c r="CF45" s="150"/>
      <c r="CG45" s="150"/>
      <c r="CH45" s="150"/>
      <c r="CI45" s="150"/>
      <c r="CJ45" s="150"/>
      <c r="CK45" s="150"/>
      <c r="CL45" s="150"/>
      <c r="CM45" s="150"/>
      <c r="CN45" s="150"/>
      <c r="CO45" s="150"/>
      <c r="CP45" s="150"/>
      <c r="CQ45" s="245">
        <f>50-50</f>
        <v>0</v>
      </c>
      <c r="CR45" s="150"/>
      <c r="CS45" s="150"/>
      <c r="CU45" s="150"/>
      <c r="CV45" s="150"/>
      <c r="CW45" s="150"/>
      <c r="CX45" s="150"/>
      <c r="CY45" s="150"/>
      <c r="CZ45" s="150"/>
      <c r="DA45" s="150"/>
      <c r="DB45" s="150"/>
      <c r="DC45" s="150"/>
      <c r="DD45" s="150"/>
      <c r="DE45" s="150"/>
      <c r="DF45" s="150"/>
      <c r="DG45" s="150"/>
      <c r="DH45" s="150"/>
      <c r="DI45" s="150"/>
      <c r="DJ45" s="150"/>
      <c r="DK45" s="150"/>
      <c r="DM45" s="150"/>
      <c r="DN45" s="150"/>
      <c r="DO45" s="150"/>
      <c r="DP45" s="150"/>
      <c r="DQ45" s="150"/>
      <c r="DR45" s="150"/>
      <c r="DS45" s="150"/>
      <c r="DT45" s="150"/>
      <c r="DU45" s="150"/>
      <c r="DV45" s="150"/>
      <c r="DW45" s="150"/>
      <c r="DX45" s="150"/>
      <c r="DY45" s="150"/>
      <c r="DZ45" s="150"/>
      <c r="EA45" s="150"/>
      <c r="EB45" s="150"/>
      <c r="EC45" s="150"/>
      <c r="ED45" s="150"/>
      <c r="EE45" s="150"/>
      <c r="EF45" s="150"/>
      <c r="EG45" s="150"/>
      <c r="EI45" s="150"/>
      <c r="EJ45" s="150"/>
      <c r="EK45" s="150"/>
      <c r="EL45" s="150"/>
      <c r="EM45" s="150"/>
      <c r="EN45" s="150"/>
      <c r="EO45" s="150"/>
      <c r="EP45" s="150"/>
      <c r="EQ45" s="150"/>
      <c r="ER45" s="150"/>
      <c r="ET45" s="150"/>
      <c r="EU45" s="150"/>
      <c r="EV45" s="150"/>
      <c r="EW45" s="150"/>
      <c r="EY45" s="150"/>
      <c r="EZ45" s="150"/>
      <c r="FB45" s="150"/>
      <c r="FC45" s="150"/>
      <c r="FE45" s="150"/>
      <c r="FF45" s="150"/>
      <c r="FG45" s="150"/>
      <c r="FH45" s="150"/>
      <c r="FI45" s="150"/>
      <c r="FJ45" s="150"/>
      <c r="FK45" s="150"/>
      <c r="FL45" s="150"/>
      <c r="FM45" s="150"/>
      <c r="FN45" s="150"/>
      <c r="FO45" s="150"/>
      <c r="FP45" s="150"/>
      <c r="FQ45" s="150"/>
      <c r="FR45" s="150"/>
      <c r="FS45" s="150"/>
      <c r="FT45" s="150"/>
      <c r="FU45" s="150"/>
      <c r="FV45" s="150"/>
      <c r="FW45" s="150"/>
      <c r="FX45" s="150"/>
      <c r="FY45" s="150"/>
      <c r="FZ45" s="150"/>
      <c r="GA45" s="150"/>
      <c r="GB45" s="150"/>
      <c r="GC45" s="150"/>
      <c r="GD45" s="150"/>
      <c r="GE45" s="150"/>
      <c r="GF45" s="150"/>
      <c r="GG45" s="150"/>
      <c r="GH45" s="150"/>
      <c r="GI45" s="150"/>
      <c r="GJ45" s="150"/>
      <c r="GK45" s="150"/>
      <c r="GL45" s="150"/>
      <c r="GM45" s="150"/>
      <c r="GN45" s="150"/>
      <c r="GO45" s="150"/>
      <c r="GP45" s="150"/>
      <c r="GQ45" s="150"/>
      <c r="GR45" s="150"/>
      <c r="GS45" s="150"/>
      <c r="GT45" s="143"/>
      <c r="GU45" s="143"/>
      <c r="GV45" s="143"/>
      <c r="GW45" s="239">
        <f t="shared" si="11"/>
        <v>0</v>
      </c>
      <c r="GX45" s="145" t="s">
        <v>563</v>
      </c>
    </row>
    <row r="46" spans="1:206" s="136" customFormat="1">
      <c r="A46" s="154"/>
      <c r="B46" s="241" t="s">
        <v>517</v>
      </c>
      <c r="C46" s="158" t="s">
        <v>555</v>
      </c>
      <c r="D46" s="158" t="s">
        <v>8</v>
      </c>
      <c r="E46" s="154" t="s">
        <v>578</v>
      </c>
      <c r="F46" s="158" t="s">
        <v>520</v>
      </c>
      <c r="G46" s="139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0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  <c r="BT46" s="154"/>
      <c r="BU46" s="154"/>
      <c r="BV46" s="154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4"/>
      <c r="CT46" s="154"/>
      <c r="CU46" s="154"/>
      <c r="CV46" s="154"/>
      <c r="CW46" s="154"/>
      <c r="CX46" s="154"/>
      <c r="CY46" s="154"/>
      <c r="CZ46" s="154"/>
      <c r="DA46" s="154"/>
      <c r="DB46" s="154"/>
      <c r="DC46" s="154"/>
      <c r="DD46" s="154"/>
      <c r="DE46" s="154"/>
      <c r="DF46" s="154"/>
      <c r="DG46" s="154"/>
      <c r="DH46" s="202">
        <v>145</v>
      </c>
      <c r="DI46" s="154"/>
      <c r="DJ46" s="154"/>
      <c r="DK46" s="154"/>
      <c r="DL46" s="154"/>
      <c r="DM46" s="154"/>
      <c r="DN46" s="154"/>
      <c r="DO46" s="154"/>
      <c r="DP46" s="154"/>
      <c r="DQ46" s="154"/>
      <c r="DR46" s="154"/>
      <c r="DS46" s="154"/>
      <c r="DT46" s="154"/>
      <c r="DU46" s="154"/>
      <c r="DV46" s="154"/>
      <c r="DW46" s="243"/>
      <c r="DX46" s="156">
        <f>200-200</f>
        <v>0</v>
      </c>
      <c r="DZ46" s="154"/>
      <c r="EA46" s="154"/>
      <c r="EB46" s="154"/>
      <c r="EE46" s="156">
        <f>880-880</f>
        <v>0</v>
      </c>
      <c r="EI46" s="155">
        <f>1917-1917</f>
        <v>0</v>
      </c>
      <c r="EJ46" s="154"/>
      <c r="EK46" s="154"/>
      <c r="EL46" s="154"/>
      <c r="EM46" s="154"/>
      <c r="EN46" s="157">
        <f>9</f>
        <v>9</v>
      </c>
      <c r="EQ46" s="154"/>
      <c r="ER46" s="154"/>
      <c r="ES46" s="154"/>
      <c r="ET46" s="155">
        <f>2000-2000</f>
        <v>0</v>
      </c>
      <c r="EU46" s="154"/>
      <c r="EV46" s="155">
        <f>1820-1820</f>
        <v>0</v>
      </c>
      <c r="EW46" s="155">
        <f>1770-1770</f>
        <v>0</v>
      </c>
      <c r="EZ46" s="155">
        <f>1570-1570</f>
        <v>0</v>
      </c>
      <c r="FA46" s="154"/>
      <c r="FB46" s="154"/>
      <c r="FD46" s="154"/>
      <c r="FE46" s="154"/>
      <c r="FF46" s="154"/>
      <c r="FG46" s="154"/>
      <c r="FI46" s="154"/>
      <c r="FJ46" s="154"/>
      <c r="FK46" s="154"/>
      <c r="FL46" s="154"/>
      <c r="FM46" s="155">
        <f>1997-1997</f>
        <v>0</v>
      </c>
      <c r="FN46" s="154"/>
      <c r="FO46" s="155">
        <f>1960-1960</f>
        <v>0</v>
      </c>
      <c r="FP46" s="155">
        <f>1900-1900+40</f>
        <v>40</v>
      </c>
      <c r="FQ46" s="154"/>
      <c r="GE46" s="150"/>
      <c r="GF46" s="150"/>
      <c r="GG46" s="150"/>
      <c r="GH46" s="150"/>
      <c r="GI46" s="150"/>
      <c r="GJ46" s="150"/>
      <c r="GK46" s="150"/>
      <c r="GL46" s="150"/>
      <c r="GM46" s="150"/>
      <c r="GN46" s="150"/>
      <c r="GO46" s="150"/>
      <c r="GP46" s="150"/>
      <c r="GQ46" s="150"/>
      <c r="GR46" s="161"/>
      <c r="GS46" s="162"/>
      <c r="GT46" s="158" t="s">
        <v>522</v>
      </c>
      <c r="GU46" s="158"/>
      <c r="GV46" s="158" t="s">
        <v>579</v>
      </c>
      <c r="GW46" s="239">
        <f t="shared" si="11"/>
        <v>194</v>
      </c>
      <c r="GX46" s="145" t="s">
        <v>580</v>
      </c>
    </row>
    <row r="47" spans="1:206" s="136" customFormat="1">
      <c r="A47" s="154"/>
      <c r="B47" s="241" t="s">
        <v>517</v>
      </c>
      <c r="C47" s="158" t="s">
        <v>555</v>
      </c>
      <c r="D47" s="158" t="s">
        <v>4</v>
      </c>
      <c r="E47" s="154" t="s">
        <v>578</v>
      </c>
      <c r="F47" s="158" t="s">
        <v>520</v>
      </c>
      <c r="G47" s="139"/>
      <c r="H47" s="154"/>
      <c r="I47" s="154"/>
      <c r="J47" s="156">
        <f>10-10</f>
        <v>0</v>
      </c>
      <c r="K47" s="156">
        <f>30-30+19</f>
        <v>19</v>
      </c>
      <c r="L47" s="154"/>
      <c r="M47" s="156">
        <f>295-295</f>
        <v>0</v>
      </c>
      <c r="N47" s="156">
        <f>285-285</f>
        <v>0</v>
      </c>
      <c r="O47" s="156">
        <f>263-263+10</f>
        <v>10</v>
      </c>
      <c r="P47" s="154"/>
      <c r="Q47" s="154"/>
      <c r="R47" s="156">
        <f>274-274</f>
        <v>0</v>
      </c>
      <c r="S47" s="156">
        <f>260-260</f>
        <v>0</v>
      </c>
      <c r="T47" s="154"/>
      <c r="U47" s="154"/>
      <c r="V47" s="156">
        <f>891-891</f>
        <v>0</v>
      </c>
      <c r="W47" s="156">
        <f>510-510+20</f>
        <v>20</v>
      </c>
      <c r="X47" s="150"/>
      <c r="Y47" s="156">
        <f>965-965</f>
        <v>0</v>
      </c>
      <c r="Z47" s="287">
        <v>20</v>
      </c>
      <c r="AA47" s="155">
        <f>1950-1950+20</f>
        <v>20</v>
      </c>
      <c r="AB47" s="155">
        <f>1885-1885</f>
        <v>0</v>
      </c>
      <c r="AC47" s="154"/>
      <c r="AD47" s="154"/>
      <c r="AE47" s="154"/>
      <c r="AF47" s="154"/>
      <c r="AG47" s="154"/>
      <c r="AH47" s="154"/>
      <c r="AI47" s="156">
        <f>400-400</f>
        <v>0</v>
      </c>
      <c r="AJ47" s="156">
        <f>500-500</f>
        <v>0</v>
      </c>
      <c r="AK47" s="154"/>
      <c r="AL47" s="154"/>
      <c r="AM47" s="154"/>
      <c r="AN47" s="154"/>
      <c r="AO47" s="154"/>
      <c r="AP47" s="155">
        <f>1500-1500</f>
        <v>0</v>
      </c>
      <c r="AQ47" s="155">
        <f>1500-1500</f>
        <v>0</v>
      </c>
      <c r="AR47" s="154"/>
      <c r="AS47" s="154"/>
      <c r="AT47" s="154"/>
      <c r="AU47" s="154"/>
      <c r="AV47" s="154"/>
      <c r="AW47" s="156">
        <f>2-2</f>
        <v>0</v>
      </c>
      <c r="AX47" s="154"/>
      <c r="AY47" s="154"/>
      <c r="AZ47" s="156">
        <f>25-25</f>
        <v>0</v>
      </c>
      <c r="BA47" s="154"/>
      <c r="BB47" s="154"/>
      <c r="BC47" s="156">
        <f>18-18+5</f>
        <v>5</v>
      </c>
      <c r="BD47" s="156">
        <f>25-25</f>
        <v>0</v>
      </c>
      <c r="BE47" s="154"/>
      <c r="BF47" s="154"/>
      <c r="BG47" s="154"/>
      <c r="BH47" s="154"/>
      <c r="BI47" s="154"/>
      <c r="BJ47" s="154"/>
      <c r="BK47" s="154"/>
      <c r="BL47" s="156">
        <f>42-42</f>
        <v>0</v>
      </c>
      <c r="BM47" s="154"/>
      <c r="BN47" s="156">
        <f>155-155</f>
        <v>0</v>
      </c>
      <c r="BO47" s="156">
        <f>160-160+20</f>
        <v>20</v>
      </c>
      <c r="BP47" s="154"/>
      <c r="BQ47" s="156">
        <f>70-70+5</f>
        <v>5</v>
      </c>
      <c r="BR47" s="156">
        <f>200-200</f>
        <v>0</v>
      </c>
      <c r="BS47" s="154"/>
      <c r="BT47" s="154"/>
      <c r="BU47" s="154"/>
      <c r="BV47" s="154"/>
      <c r="BW47" s="154"/>
      <c r="BX47" s="154"/>
      <c r="BY47" s="156">
        <f>80-80</f>
        <v>0</v>
      </c>
      <c r="BZ47" s="154"/>
      <c r="CA47" s="154"/>
      <c r="CB47" s="156">
        <f>20-20+5</f>
        <v>5</v>
      </c>
      <c r="CC47" s="156">
        <f>100-100+2</f>
        <v>2</v>
      </c>
      <c r="CD47" s="156">
        <f>100-100</f>
        <v>0</v>
      </c>
      <c r="CE47" s="156">
        <f>100-100</f>
        <v>0</v>
      </c>
      <c r="CF47" s="156">
        <f>138-138</f>
        <v>0</v>
      </c>
      <c r="CG47" s="154"/>
      <c r="CH47" s="156">
        <f>73-73</f>
        <v>0</v>
      </c>
      <c r="CI47" s="156">
        <f>73-73</f>
        <v>0</v>
      </c>
      <c r="CJ47" s="156">
        <f>140-140</f>
        <v>0</v>
      </c>
      <c r="CK47" s="156">
        <f>150-150</f>
        <v>0</v>
      </c>
      <c r="CL47" s="154"/>
      <c r="CM47" s="156">
        <f>370-370</f>
        <v>0</v>
      </c>
      <c r="CN47" s="156">
        <f>410-410+10</f>
        <v>10</v>
      </c>
      <c r="CO47" s="156">
        <f>467-467+5</f>
        <v>5</v>
      </c>
      <c r="CP47" s="156">
        <f>500-500</f>
        <v>0</v>
      </c>
      <c r="CQ47" s="156">
        <f>327-327</f>
        <v>0</v>
      </c>
      <c r="CR47" s="156">
        <f>473-473+10</f>
        <v>10</v>
      </c>
      <c r="CS47" s="156">
        <f>425-425+20</f>
        <v>20</v>
      </c>
      <c r="CT47" s="156">
        <f>885-885</f>
        <v>0</v>
      </c>
      <c r="CU47" s="156">
        <f>935-935</f>
        <v>0</v>
      </c>
      <c r="CV47" s="156">
        <f>981-981</f>
        <v>0</v>
      </c>
      <c r="CW47" s="154"/>
      <c r="CX47" s="155">
        <f>1975-1975</f>
        <v>0</v>
      </c>
      <c r="CY47" s="155">
        <f>1405-1405+30</f>
        <v>30</v>
      </c>
      <c r="CZ47" s="287">
        <v>30</v>
      </c>
      <c r="DA47" s="155">
        <f>1800-1800+80</f>
        <v>80</v>
      </c>
      <c r="DB47" s="155">
        <f>1740-1740</f>
        <v>0</v>
      </c>
      <c r="DC47" s="287">
        <v>150</v>
      </c>
      <c r="DD47" s="154"/>
      <c r="DE47" s="155">
        <f>2000-2000</f>
        <v>0</v>
      </c>
      <c r="DF47" s="154"/>
      <c r="DG47" s="154"/>
      <c r="DH47" s="155">
        <f>4600-4600</f>
        <v>0</v>
      </c>
      <c r="DI47" s="154"/>
      <c r="DJ47" s="155">
        <f>1640-1640+30</f>
        <v>30</v>
      </c>
      <c r="DK47" s="156">
        <f>700-700+100</f>
        <v>100</v>
      </c>
      <c r="DL47" s="155">
        <f>1670-1670+20</f>
        <v>20</v>
      </c>
      <c r="DM47" s="155">
        <f>1360-1360+40</f>
        <v>40</v>
      </c>
      <c r="DN47" s="155">
        <f>1753-1753+150</f>
        <v>150</v>
      </c>
      <c r="DO47" s="154"/>
      <c r="DP47" s="154"/>
      <c r="DQ47" s="154"/>
      <c r="DR47" s="154"/>
      <c r="DS47" s="154"/>
      <c r="DT47" s="154"/>
      <c r="DU47" s="154"/>
      <c r="DV47" s="154"/>
      <c r="DW47" s="154"/>
      <c r="DX47" s="154"/>
      <c r="DY47" s="154"/>
      <c r="DZ47" s="156">
        <f>200-200</f>
        <v>0</v>
      </c>
      <c r="EA47" s="156">
        <f>91-91</f>
        <v>0</v>
      </c>
      <c r="EB47" s="156">
        <f>91-91</f>
        <v>0</v>
      </c>
      <c r="EC47" s="154"/>
      <c r="ED47" s="154"/>
      <c r="EE47" s="157">
        <f>880-680</f>
        <v>200</v>
      </c>
      <c r="EF47" s="243"/>
      <c r="EG47" s="154"/>
      <c r="EH47" s="243"/>
      <c r="EI47" s="154"/>
      <c r="EJ47" s="154"/>
      <c r="EL47" s="155">
        <f>1840-1840+80</f>
        <v>80</v>
      </c>
      <c r="EM47" s="155">
        <f>1980-1980</f>
        <v>0</v>
      </c>
      <c r="EN47" s="155">
        <f>1960-1960</f>
        <v>0</v>
      </c>
      <c r="EO47" s="155">
        <f>1800-1800</f>
        <v>0</v>
      </c>
      <c r="EP47" s="154"/>
      <c r="EQ47" s="155">
        <f>1868-1868+20</f>
        <v>20</v>
      </c>
      <c r="ER47" s="154"/>
      <c r="ES47" s="156">
        <f>840-840</f>
        <v>0</v>
      </c>
      <c r="ET47" s="154"/>
      <c r="EU47" s="155">
        <f>1957-1957</f>
        <v>0</v>
      </c>
      <c r="EV47" s="154"/>
      <c r="EW47" s="154"/>
      <c r="EX47" s="155">
        <f>2000-2000</f>
        <v>0</v>
      </c>
      <c r="EY47" s="154"/>
      <c r="EZ47" s="154"/>
      <c r="FA47" s="156">
        <f>200-200</f>
        <v>0</v>
      </c>
      <c r="FB47" s="155">
        <f>1740-1740</f>
        <v>0</v>
      </c>
      <c r="FC47" s="154"/>
      <c r="FD47" s="155">
        <f>1910-1910</f>
        <v>0</v>
      </c>
      <c r="FE47" s="155">
        <f>1990-1990</f>
        <v>0</v>
      </c>
      <c r="FF47" s="155">
        <f>1897-1897</f>
        <v>0</v>
      </c>
      <c r="FG47" s="155">
        <f>1897-1897</f>
        <v>0</v>
      </c>
      <c r="FH47" s="154"/>
      <c r="FI47" s="155">
        <f>1940-1940</f>
        <v>0</v>
      </c>
      <c r="FJ47" s="155">
        <f>1740-1740</f>
        <v>0</v>
      </c>
      <c r="FK47" s="155">
        <f>1930-1930</f>
        <v>0</v>
      </c>
      <c r="FL47" s="155">
        <f>1997-1997</f>
        <v>0</v>
      </c>
      <c r="FM47" s="154"/>
      <c r="FN47" s="155">
        <f>1978-1978</f>
        <v>0</v>
      </c>
      <c r="FO47" s="154"/>
      <c r="FP47" s="154"/>
      <c r="FQ47" s="155">
        <f>2000-2000</f>
        <v>0</v>
      </c>
      <c r="FR47" s="154"/>
      <c r="FS47" s="154"/>
      <c r="FT47" s="154"/>
      <c r="FU47" s="154"/>
      <c r="FV47" s="154"/>
      <c r="FW47" s="154"/>
      <c r="FX47" s="154"/>
      <c r="FY47" s="150"/>
      <c r="FZ47" s="150"/>
      <c r="GA47" s="150"/>
      <c r="GB47" s="150"/>
      <c r="GC47" s="150"/>
      <c r="GD47" s="150"/>
      <c r="GE47" s="150"/>
      <c r="GF47" s="150"/>
      <c r="GG47" s="150"/>
      <c r="GH47" s="150"/>
      <c r="GI47" s="150"/>
      <c r="GJ47" s="150"/>
      <c r="GK47" s="150"/>
      <c r="GL47" s="150"/>
      <c r="GM47" s="150"/>
      <c r="GN47" s="150"/>
      <c r="GO47" s="150"/>
      <c r="GP47" s="150"/>
      <c r="GQ47" s="150"/>
      <c r="GR47" s="161"/>
      <c r="GS47" s="162"/>
      <c r="GT47" s="158" t="s">
        <v>522</v>
      </c>
      <c r="GU47" s="158"/>
      <c r="GV47" s="158" t="s">
        <v>579</v>
      </c>
      <c r="GW47" s="239">
        <f t="shared" si="11"/>
        <v>1101</v>
      </c>
      <c r="GX47" s="145" t="s">
        <v>580</v>
      </c>
    </row>
    <row r="48" spans="1:206" s="136" customFormat="1">
      <c r="A48" s="154"/>
      <c r="B48" s="241" t="s">
        <v>517</v>
      </c>
      <c r="C48" s="158" t="s">
        <v>555</v>
      </c>
      <c r="D48" s="158" t="s">
        <v>3</v>
      </c>
      <c r="E48" s="154" t="s">
        <v>578</v>
      </c>
      <c r="F48" s="158" t="s">
        <v>520</v>
      </c>
      <c r="G48" s="139"/>
      <c r="H48" s="156">
        <f>30-30</f>
        <v>0</v>
      </c>
      <c r="I48" s="154"/>
      <c r="J48" s="154"/>
      <c r="K48" s="154"/>
      <c r="L48" s="156">
        <f>300-300</f>
        <v>0</v>
      </c>
      <c r="M48" s="154"/>
      <c r="N48" s="154"/>
      <c r="O48" s="154"/>
      <c r="P48" s="154"/>
      <c r="Q48" s="156">
        <f>300-300</f>
        <v>0</v>
      </c>
      <c r="R48" s="154"/>
      <c r="S48" s="154"/>
      <c r="T48" s="154"/>
      <c r="U48" s="155">
        <f>1000-1000</f>
        <v>0</v>
      </c>
      <c r="V48" s="154"/>
      <c r="W48" s="154"/>
      <c r="X48" s="150"/>
      <c r="Y48" s="154"/>
      <c r="Z48" s="155">
        <f>1880-1880</f>
        <v>0</v>
      </c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  <c r="BW48" s="154"/>
      <c r="BX48" s="154"/>
      <c r="BY48" s="154"/>
      <c r="BZ48" s="154"/>
      <c r="CA48" s="154"/>
      <c r="CB48" s="154"/>
      <c r="CC48" s="154"/>
      <c r="CD48" s="154"/>
      <c r="CE48" s="154"/>
      <c r="CF48" s="154"/>
      <c r="CG48" s="154"/>
      <c r="CH48" s="154"/>
      <c r="CI48" s="154"/>
      <c r="CJ48" s="154"/>
      <c r="CK48" s="154"/>
      <c r="CL48" s="154"/>
      <c r="CM48" s="154"/>
      <c r="CN48" s="154"/>
      <c r="CO48" s="154"/>
      <c r="CP48" s="154"/>
      <c r="CQ48" s="154"/>
      <c r="CR48" s="154"/>
      <c r="CS48" s="154"/>
      <c r="CT48" s="154"/>
      <c r="CU48" s="154"/>
      <c r="CV48" s="154"/>
      <c r="CW48" s="154"/>
      <c r="CX48" s="154"/>
      <c r="CY48" s="154"/>
      <c r="CZ48" s="155">
        <f>1790-1790</f>
        <v>0</v>
      </c>
      <c r="DA48" s="154"/>
      <c r="DB48" s="154"/>
      <c r="DC48" s="155">
        <f>4800-4800</f>
        <v>0</v>
      </c>
      <c r="DD48" s="154"/>
      <c r="DE48" s="154"/>
      <c r="DF48" s="154"/>
      <c r="DG48" s="154"/>
      <c r="DH48" s="154"/>
      <c r="DI48" s="154"/>
      <c r="DJ48" s="154"/>
      <c r="DK48" s="154"/>
      <c r="DL48" s="154"/>
      <c r="DM48" s="154"/>
      <c r="DN48" s="154"/>
      <c r="DO48" s="154"/>
      <c r="DP48" s="154"/>
      <c r="DQ48" s="154"/>
      <c r="DR48" s="154"/>
      <c r="DS48" s="154"/>
      <c r="DT48" s="154"/>
      <c r="DU48" s="154"/>
      <c r="DV48" s="154"/>
      <c r="DW48" s="154"/>
      <c r="DX48" s="154"/>
      <c r="DY48" s="243"/>
      <c r="DZ48" s="243"/>
      <c r="EA48" s="243"/>
      <c r="EB48" s="243"/>
      <c r="EC48" s="243"/>
      <c r="ED48" s="243"/>
      <c r="EE48" s="154"/>
      <c r="EF48" s="154"/>
      <c r="EG48" s="243"/>
      <c r="EH48" s="154"/>
      <c r="EI48" s="154"/>
      <c r="EJ48" s="243"/>
      <c r="EK48" s="154"/>
      <c r="EL48" s="154"/>
      <c r="EM48" s="154"/>
      <c r="EN48" s="243"/>
      <c r="EO48" s="154"/>
      <c r="EP48" s="243"/>
      <c r="EQ48" s="243"/>
      <c r="ER48" s="243"/>
      <c r="ES48" s="154"/>
      <c r="ET48" s="243"/>
      <c r="EU48" s="243"/>
      <c r="EV48" s="243"/>
      <c r="EW48" s="243"/>
      <c r="EX48" s="154"/>
      <c r="EY48" s="243"/>
      <c r="EZ48" s="154"/>
      <c r="FA48" s="154"/>
      <c r="FB48" s="243"/>
      <c r="FC48" s="154"/>
      <c r="FD48" s="154"/>
      <c r="FE48" s="154"/>
      <c r="FF48" s="154"/>
      <c r="FG48" s="154"/>
      <c r="FH48" s="154"/>
      <c r="FI48" s="154"/>
      <c r="FJ48" s="154"/>
      <c r="FK48" s="154"/>
      <c r="FL48" s="154"/>
      <c r="FM48" s="154"/>
      <c r="FN48" s="154"/>
      <c r="FO48" s="154"/>
      <c r="FP48" s="154"/>
      <c r="FQ48" s="154"/>
      <c r="FR48" s="154"/>
      <c r="FS48" s="154"/>
      <c r="FT48" s="154"/>
      <c r="FU48" s="154"/>
      <c r="FV48" s="154"/>
      <c r="FW48" s="154"/>
      <c r="FX48" s="154"/>
      <c r="FY48" s="150"/>
      <c r="FZ48" s="150"/>
      <c r="GA48" s="150"/>
      <c r="GB48" s="150"/>
      <c r="GC48" s="150"/>
      <c r="GD48" s="150"/>
      <c r="GE48" s="150"/>
      <c r="GF48" s="150"/>
      <c r="GG48" s="150"/>
      <c r="GH48" s="150"/>
      <c r="GI48" s="150"/>
      <c r="GJ48" s="150"/>
      <c r="GK48" s="150"/>
      <c r="GL48" s="150"/>
      <c r="GM48" s="150"/>
      <c r="GN48" s="150"/>
      <c r="GO48" s="150"/>
      <c r="GP48" s="150"/>
      <c r="GQ48" s="150"/>
      <c r="GR48" s="161"/>
      <c r="GS48" s="162"/>
      <c r="GT48" s="158" t="s">
        <v>522</v>
      </c>
      <c r="GU48" s="158"/>
      <c r="GV48" s="158" t="s">
        <v>579</v>
      </c>
      <c r="GW48" s="239">
        <f t="shared" si="11"/>
        <v>0</v>
      </c>
      <c r="GX48" s="145" t="s">
        <v>580</v>
      </c>
    </row>
    <row r="49" spans="1:207" s="136" customFormat="1">
      <c r="A49" s="139"/>
      <c r="B49" s="139" t="s">
        <v>517</v>
      </c>
      <c r="C49" s="139" t="s">
        <v>555</v>
      </c>
      <c r="D49" s="139" t="s">
        <v>8</v>
      </c>
      <c r="E49" s="160" t="s">
        <v>810</v>
      </c>
      <c r="F49" s="139" t="s">
        <v>520</v>
      </c>
      <c r="G49" s="139" t="s">
        <v>811</v>
      </c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50"/>
      <c r="CS49" s="150"/>
      <c r="CT49" s="150"/>
      <c r="CU49" s="150"/>
      <c r="CV49" s="150"/>
      <c r="CW49" s="150"/>
      <c r="CX49" s="150"/>
      <c r="CY49" s="150"/>
      <c r="CZ49" s="150"/>
      <c r="DA49" s="150"/>
      <c r="DB49" s="150"/>
      <c r="DC49" s="150"/>
      <c r="DD49" s="150"/>
      <c r="DE49" s="150"/>
      <c r="DF49" s="150"/>
      <c r="DG49" s="150"/>
      <c r="DH49" s="202">
        <v>20</v>
      </c>
      <c r="DI49" s="150"/>
      <c r="DJ49" s="150"/>
      <c r="DK49" s="150"/>
      <c r="DL49" s="150"/>
      <c r="DM49" s="150"/>
      <c r="DN49" s="150"/>
      <c r="DO49" s="150"/>
      <c r="DP49" s="150"/>
      <c r="DQ49" s="150"/>
      <c r="DR49" s="150"/>
      <c r="DS49" s="150"/>
      <c r="DT49" s="150"/>
      <c r="DU49" s="150"/>
      <c r="DV49" s="150"/>
      <c r="DW49" s="150"/>
      <c r="DX49" s="150"/>
      <c r="DY49" s="150"/>
      <c r="DZ49" s="150"/>
      <c r="EA49" s="202">
        <v>10</v>
      </c>
      <c r="EB49" s="150"/>
      <c r="EC49" s="150"/>
      <c r="ED49" s="150"/>
      <c r="EE49" s="142">
        <f>60-60</f>
        <v>0</v>
      </c>
      <c r="EF49" s="150"/>
      <c r="EG49" s="150"/>
      <c r="EH49" s="150"/>
      <c r="EI49" s="150"/>
      <c r="EJ49" s="150"/>
      <c r="EK49" s="142">
        <f>20-20</f>
        <v>0</v>
      </c>
      <c r="EL49" s="150"/>
      <c r="EM49" s="150"/>
      <c r="EN49" s="142">
        <f>20-20</f>
        <v>0</v>
      </c>
      <c r="EO49" s="150"/>
      <c r="EP49" s="150"/>
      <c r="EQ49" s="150"/>
      <c r="ER49" s="150"/>
      <c r="ES49" s="150"/>
      <c r="ET49" s="150"/>
      <c r="EU49" s="150"/>
      <c r="EV49" s="142">
        <f>20-20</f>
        <v>0</v>
      </c>
      <c r="EW49" s="150"/>
      <c r="EX49" s="150"/>
      <c r="EY49" s="150"/>
      <c r="EZ49" s="142">
        <f>40-40</f>
        <v>0</v>
      </c>
      <c r="FA49" s="142">
        <f>40-40</f>
        <v>0</v>
      </c>
      <c r="FB49" s="150"/>
      <c r="FC49" s="150"/>
      <c r="FD49" s="150"/>
      <c r="FE49" s="150"/>
      <c r="FF49" s="150"/>
      <c r="FG49" s="150"/>
      <c r="FH49" s="150"/>
      <c r="FI49" s="150"/>
      <c r="FJ49" s="150"/>
      <c r="FK49" s="150"/>
      <c r="FL49" s="150"/>
      <c r="FM49" s="150"/>
      <c r="FN49" s="150"/>
      <c r="FO49" s="142">
        <f>40-40+20</f>
        <v>20</v>
      </c>
      <c r="FP49" s="150"/>
      <c r="FQ49" s="150"/>
      <c r="FR49" s="150"/>
      <c r="FS49" s="150"/>
      <c r="FT49" s="150"/>
      <c r="FU49" s="150"/>
      <c r="FV49" s="150"/>
      <c r="FW49" s="150"/>
      <c r="FX49" s="150"/>
      <c r="FY49" s="150"/>
      <c r="FZ49" s="150"/>
      <c r="GA49" s="150"/>
      <c r="GB49" s="150"/>
      <c r="GC49" s="150"/>
      <c r="GD49" s="150"/>
      <c r="GE49" s="150"/>
      <c r="GF49" s="150"/>
      <c r="GG49" s="150"/>
      <c r="GH49" s="150"/>
      <c r="GI49" s="150"/>
      <c r="GJ49" s="150"/>
      <c r="GK49" s="150"/>
      <c r="GL49" s="150"/>
      <c r="GM49" s="150"/>
      <c r="GN49" s="150"/>
      <c r="GO49" s="150"/>
      <c r="GP49" s="150"/>
      <c r="GQ49" s="150"/>
      <c r="GR49" s="161"/>
      <c r="GS49" s="162"/>
      <c r="GT49" s="159"/>
      <c r="GU49" s="159"/>
      <c r="GV49" s="159" t="s">
        <v>579</v>
      </c>
      <c r="GW49" s="239">
        <f t="shared" si="11"/>
        <v>50</v>
      </c>
      <c r="GX49" s="136" t="s">
        <v>588</v>
      </c>
    </row>
    <row r="50" spans="1:207" s="136" customFormat="1">
      <c r="A50" s="139"/>
      <c r="B50" s="139" t="s">
        <v>517</v>
      </c>
      <c r="C50" s="139" t="s">
        <v>555</v>
      </c>
      <c r="D50" s="139" t="s">
        <v>4</v>
      </c>
      <c r="E50" s="160" t="s">
        <v>810</v>
      </c>
      <c r="F50" s="139" t="s">
        <v>520</v>
      </c>
      <c r="G50" s="139" t="s">
        <v>811</v>
      </c>
      <c r="H50" s="150"/>
      <c r="I50" s="150"/>
      <c r="J50" s="150"/>
      <c r="K50" s="150"/>
      <c r="L50" s="150"/>
      <c r="M50" s="150"/>
      <c r="N50" s="142">
        <f>5-5</f>
        <v>0</v>
      </c>
      <c r="O50" s="142">
        <f>10-10+2</f>
        <v>2</v>
      </c>
      <c r="P50" s="150"/>
      <c r="Q50" s="150"/>
      <c r="R50" s="142">
        <f>5-5</f>
        <v>0</v>
      </c>
      <c r="S50" s="142">
        <f>10-10</f>
        <v>0</v>
      </c>
      <c r="T50" s="150"/>
      <c r="U50" s="150"/>
      <c r="V50" s="150"/>
      <c r="W50" s="142">
        <f>20-20+5</f>
        <v>5</v>
      </c>
      <c r="X50" s="150"/>
      <c r="Y50" s="142">
        <f>10-10</f>
        <v>0</v>
      </c>
      <c r="Z50" s="150"/>
      <c r="AA50" s="150"/>
      <c r="AB50" s="142">
        <f>10-10</f>
        <v>0</v>
      </c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42">
        <f>30-30</f>
        <v>0</v>
      </c>
      <c r="AQ50" s="142">
        <f>30-30</f>
        <v>0</v>
      </c>
      <c r="AR50" s="150"/>
      <c r="AS50" s="150"/>
      <c r="AT50" s="150"/>
      <c r="AU50" s="150"/>
      <c r="AV50" s="150"/>
      <c r="AW50" s="150"/>
      <c r="AX50" s="150"/>
      <c r="AY50" s="150"/>
      <c r="AZ50" s="142">
        <f>10-10</f>
        <v>0</v>
      </c>
      <c r="BA50" s="150"/>
      <c r="BB50" s="150"/>
      <c r="BC50" s="150"/>
      <c r="BD50" s="142">
        <f>10-10</f>
        <v>0</v>
      </c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42">
        <f>10-10+10</f>
        <v>10</v>
      </c>
      <c r="BQ50" s="150"/>
      <c r="BR50" s="150"/>
      <c r="BS50" s="202">
        <v>5</v>
      </c>
      <c r="BT50" s="150"/>
      <c r="BU50" s="150"/>
      <c r="BV50" s="150"/>
      <c r="BW50" s="150"/>
      <c r="BX50" s="150"/>
      <c r="BY50" s="150"/>
      <c r="BZ50" s="150"/>
      <c r="CA50" s="150"/>
      <c r="CB50" s="150"/>
      <c r="CC50" s="142">
        <f>10-10+2</f>
        <v>2</v>
      </c>
      <c r="CD50" s="142">
        <f>10-10</f>
        <v>0</v>
      </c>
      <c r="CE50" s="142">
        <f>10-10</f>
        <v>0</v>
      </c>
      <c r="CF50" s="150"/>
      <c r="CG50" s="142">
        <f>10-10+10</f>
        <v>10</v>
      </c>
      <c r="CH50" s="142">
        <f>10-10+2</f>
        <v>2</v>
      </c>
      <c r="CI50" s="142">
        <f>10-10</f>
        <v>0</v>
      </c>
      <c r="CJ50" s="150"/>
      <c r="CK50" s="142">
        <f>10-10+5</f>
        <v>5</v>
      </c>
      <c r="CL50" s="150"/>
      <c r="CM50" s="142">
        <f>10-10</f>
        <v>0</v>
      </c>
      <c r="CN50" s="202">
        <v>5</v>
      </c>
      <c r="CO50" s="150"/>
      <c r="CP50" s="150"/>
      <c r="CQ50" s="150"/>
      <c r="CR50" s="142">
        <f>10-10+5</f>
        <v>5</v>
      </c>
      <c r="CS50" s="142">
        <f>10-10+10</f>
        <v>10</v>
      </c>
      <c r="CT50" s="150"/>
      <c r="CU50" s="150"/>
      <c r="CV50" s="142">
        <f>10-10</f>
        <v>0</v>
      </c>
      <c r="CW50" s="150"/>
      <c r="CX50" s="142">
        <f>10-10</f>
        <v>0</v>
      </c>
      <c r="CY50" s="150"/>
      <c r="CZ50" s="150"/>
      <c r="DA50" s="142">
        <f>20-20+10</f>
        <v>10</v>
      </c>
      <c r="DB50" s="142">
        <f>10-10</f>
        <v>0</v>
      </c>
      <c r="DC50" s="150"/>
      <c r="DD50" s="150"/>
      <c r="DE50" s="150"/>
      <c r="DF50" s="150"/>
      <c r="DG50" s="150"/>
      <c r="DH50" s="142">
        <f>40-40</f>
        <v>0</v>
      </c>
      <c r="DI50" s="150"/>
      <c r="DJ50" s="150"/>
      <c r="DK50" s="142">
        <f>20-20+20</f>
        <v>20</v>
      </c>
      <c r="DL50" s="202">
        <v>10</v>
      </c>
      <c r="DM50" s="150"/>
      <c r="DN50" s="142">
        <f>20-20+20</f>
        <v>20</v>
      </c>
      <c r="DO50" s="150"/>
      <c r="DP50" s="150"/>
      <c r="DQ50" s="150"/>
      <c r="DR50" s="150"/>
      <c r="DS50" s="150"/>
      <c r="DT50" s="150"/>
      <c r="DU50" s="150"/>
      <c r="DV50" s="150"/>
      <c r="DW50" s="142">
        <f>10-10</f>
        <v>0</v>
      </c>
      <c r="DX50" s="142">
        <f>30-30</f>
        <v>0</v>
      </c>
      <c r="DY50" s="150"/>
      <c r="DZ50" s="142">
        <f>10-10</f>
        <v>0</v>
      </c>
      <c r="EA50" s="142">
        <f>10-10</f>
        <v>0</v>
      </c>
      <c r="EB50" s="142">
        <f>10-10</f>
        <v>0</v>
      </c>
      <c r="EC50" s="150"/>
      <c r="ED50" s="150"/>
      <c r="EE50" s="146">
        <f>60</f>
        <v>60</v>
      </c>
      <c r="EF50" s="150"/>
      <c r="EG50" s="150"/>
      <c r="EH50" s="150"/>
      <c r="EI50" s="150"/>
      <c r="EJ50" s="150"/>
      <c r="EK50" s="150"/>
      <c r="EL50" s="142">
        <f>40-40+20</f>
        <v>20</v>
      </c>
      <c r="EM50" s="150"/>
      <c r="EN50" s="150"/>
      <c r="EO50" s="150"/>
      <c r="EP50" s="150"/>
      <c r="EQ50" s="150"/>
      <c r="ER50" s="150"/>
      <c r="ES50" s="150"/>
      <c r="ET50" s="150"/>
      <c r="EU50" s="142">
        <f>40-40</f>
        <v>0</v>
      </c>
      <c r="EV50" s="150"/>
      <c r="EW50" s="142">
        <f>20-20</f>
        <v>0</v>
      </c>
      <c r="EX50" s="142">
        <f>20-20</f>
        <v>0</v>
      </c>
      <c r="EY50" s="142">
        <f>40-40</f>
        <v>0</v>
      </c>
      <c r="EZ50" s="150"/>
      <c r="FA50" s="150"/>
      <c r="FB50" s="150"/>
      <c r="FC50" s="150"/>
      <c r="FD50" s="150"/>
      <c r="FE50" s="150"/>
      <c r="FF50" s="150"/>
      <c r="FG50" s="150"/>
      <c r="FH50" s="150"/>
      <c r="FI50" s="142">
        <f>40-40+30</f>
        <v>30</v>
      </c>
      <c r="FJ50" s="150"/>
      <c r="FK50" s="142">
        <f>40-40</f>
        <v>0</v>
      </c>
      <c r="FL50" s="150"/>
      <c r="FM50" s="150"/>
      <c r="FN50" s="150"/>
      <c r="FO50" s="150"/>
      <c r="FP50" s="142">
        <f>40-40+20</f>
        <v>20</v>
      </c>
      <c r="FQ50" s="150"/>
      <c r="FR50" s="150"/>
      <c r="FS50" s="150"/>
      <c r="FT50" s="150"/>
      <c r="FU50" s="150"/>
      <c r="FV50" s="150"/>
      <c r="FW50" s="150"/>
      <c r="FX50" s="150"/>
      <c r="FY50" s="150"/>
      <c r="FZ50" s="150"/>
      <c r="GA50" s="150"/>
      <c r="GB50" s="150"/>
      <c r="GC50" s="150"/>
      <c r="GD50" s="150"/>
      <c r="GE50" s="150"/>
      <c r="GF50" s="150"/>
      <c r="GG50" s="150"/>
      <c r="GH50" s="150"/>
      <c r="GI50" s="150"/>
      <c r="GJ50" s="150"/>
      <c r="GK50" s="150"/>
      <c r="GL50" s="150"/>
      <c r="GM50" s="150"/>
      <c r="GN50" s="150"/>
      <c r="GO50" s="150"/>
      <c r="GP50" s="150"/>
      <c r="GQ50" s="150"/>
      <c r="GR50" s="161"/>
      <c r="GS50" s="162"/>
      <c r="GT50" s="159"/>
      <c r="GU50" s="159"/>
      <c r="GV50" s="159" t="s">
        <v>579</v>
      </c>
      <c r="GW50" s="239">
        <f t="shared" si="11"/>
        <v>251</v>
      </c>
      <c r="GX50" s="136" t="s">
        <v>588</v>
      </c>
    </row>
    <row r="51" spans="1:207" s="136" customFormat="1">
      <c r="A51" s="139"/>
      <c r="B51" s="139" t="s">
        <v>517</v>
      </c>
      <c r="C51" s="139" t="s">
        <v>555</v>
      </c>
      <c r="D51" s="139" t="s">
        <v>3</v>
      </c>
      <c r="E51" s="160" t="s">
        <v>810</v>
      </c>
      <c r="F51" s="139" t="s">
        <v>520</v>
      </c>
      <c r="G51" s="139" t="s">
        <v>812</v>
      </c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42">
        <f>5-5</f>
        <v>0</v>
      </c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  <c r="CF51" s="150"/>
      <c r="CG51" s="150"/>
      <c r="CH51" s="150"/>
      <c r="CI51" s="150"/>
      <c r="CJ51" s="150"/>
      <c r="CK51" s="150"/>
      <c r="CL51" s="150"/>
      <c r="CM51" s="150"/>
      <c r="CN51" s="150"/>
      <c r="CO51" s="150"/>
      <c r="CP51" s="150"/>
      <c r="CQ51" s="150"/>
      <c r="CR51" s="150"/>
      <c r="CS51" s="150"/>
      <c r="CT51" s="150"/>
      <c r="CU51" s="150"/>
      <c r="CV51" s="150"/>
      <c r="CW51" s="150"/>
      <c r="CX51" s="150"/>
      <c r="CY51" s="150"/>
      <c r="CZ51" s="150"/>
      <c r="DA51" s="150"/>
      <c r="DB51" s="150"/>
      <c r="DC51" s="150"/>
      <c r="DD51" s="150"/>
      <c r="DE51" s="150"/>
      <c r="DF51" s="150"/>
      <c r="DG51" s="150"/>
      <c r="DH51" s="150"/>
      <c r="DI51" s="150"/>
      <c r="DJ51" s="150"/>
      <c r="DK51" s="150"/>
      <c r="DL51" s="142">
        <f>20-20</f>
        <v>0</v>
      </c>
      <c r="DM51" s="150"/>
      <c r="DN51" s="150"/>
      <c r="DO51" s="150"/>
      <c r="DP51" s="150"/>
      <c r="DQ51" s="150"/>
      <c r="DR51" s="150"/>
      <c r="DS51" s="150"/>
      <c r="DT51" s="150"/>
      <c r="DU51" s="150"/>
      <c r="DV51" s="150"/>
      <c r="DW51" s="150"/>
      <c r="DX51" s="150"/>
      <c r="DY51" s="150"/>
      <c r="DZ51" s="150"/>
      <c r="EA51" s="150"/>
      <c r="EB51" s="150"/>
      <c r="EC51" s="150"/>
      <c r="ED51" s="150"/>
      <c r="EE51" s="150"/>
      <c r="EF51" s="150"/>
      <c r="EG51" s="150"/>
      <c r="EH51" s="150"/>
      <c r="EI51" s="150"/>
      <c r="EJ51" s="150"/>
      <c r="EK51" s="150"/>
      <c r="EL51" s="150"/>
      <c r="EM51" s="150"/>
      <c r="EN51" s="150"/>
      <c r="EO51" s="150"/>
      <c r="EP51" s="150"/>
      <c r="EQ51" s="150"/>
      <c r="ER51" s="150"/>
      <c r="ES51" s="150"/>
      <c r="ET51" s="150"/>
      <c r="EU51" s="150"/>
      <c r="EV51" s="150"/>
      <c r="EW51" s="150"/>
      <c r="EX51" s="150"/>
      <c r="EY51" s="150"/>
      <c r="EZ51" s="150"/>
      <c r="FA51" s="150"/>
      <c r="FB51" s="150"/>
      <c r="FC51" s="150"/>
      <c r="FD51" s="150"/>
      <c r="FE51" s="150"/>
      <c r="FF51" s="150"/>
      <c r="FG51" s="150"/>
      <c r="FH51" s="150"/>
      <c r="FI51" s="150"/>
      <c r="FJ51" s="150"/>
      <c r="FK51" s="150"/>
      <c r="FL51" s="150"/>
      <c r="FM51" s="150"/>
      <c r="FN51" s="150"/>
      <c r="FO51" s="150"/>
      <c r="FP51" s="150"/>
      <c r="FQ51" s="150"/>
      <c r="FR51" s="150"/>
      <c r="FS51" s="150"/>
      <c r="FT51" s="150"/>
      <c r="FU51" s="150"/>
      <c r="FV51" s="150"/>
      <c r="FW51" s="150"/>
      <c r="FX51" s="150"/>
      <c r="FY51" s="150"/>
      <c r="FZ51" s="150"/>
      <c r="GA51" s="150"/>
      <c r="GB51" s="150"/>
      <c r="GC51" s="150"/>
      <c r="GD51" s="150"/>
      <c r="GE51" s="150"/>
      <c r="GF51" s="150"/>
      <c r="GG51" s="150"/>
      <c r="GH51" s="150"/>
      <c r="GI51" s="150"/>
      <c r="GJ51" s="150"/>
      <c r="GK51" s="150"/>
      <c r="GL51" s="150"/>
      <c r="GM51" s="150"/>
      <c r="GN51" s="150"/>
      <c r="GO51" s="150"/>
      <c r="GP51" s="150"/>
      <c r="GQ51" s="150"/>
      <c r="GR51" s="161"/>
      <c r="GS51" s="162"/>
      <c r="GT51" s="159"/>
      <c r="GU51" s="159"/>
      <c r="GV51" s="159" t="s">
        <v>579</v>
      </c>
      <c r="GW51" s="239">
        <f t="shared" si="11"/>
        <v>0</v>
      </c>
      <c r="GX51" s="136" t="s">
        <v>588</v>
      </c>
    </row>
    <row r="52" spans="1:207" s="136" customFormat="1">
      <c r="A52" s="139"/>
      <c r="B52" s="139" t="s">
        <v>517</v>
      </c>
      <c r="C52" s="139" t="s">
        <v>555</v>
      </c>
      <c r="D52" s="139" t="s">
        <v>636</v>
      </c>
      <c r="E52" s="244" t="s">
        <v>582</v>
      </c>
      <c r="F52" s="139" t="s">
        <v>520</v>
      </c>
      <c r="G52" s="139" t="s">
        <v>813</v>
      </c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50"/>
      <c r="DJ52" s="150"/>
      <c r="DK52" s="150"/>
      <c r="DL52" s="150"/>
      <c r="DM52" s="150"/>
      <c r="DN52" s="150"/>
      <c r="DO52" s="150"/>
      <c r="DP52" s="150"/>
      <c r="DQ52" s="150"/>
      <c r="DR52" s="150"/>
      <c r="DS52" s="150"/>
      <c r="DT52" s="150"/>
      <c r="DU52" s="150"/>
      <c r="DV52" s="150"/>
      <c r="DW52" s="150"/>
      <c r="DX52" s="150"/>
      <c r="DY52" s="150"/>
      <c r="DZ52" s="150"/>
      <c r="EA52" s="150"/>
      <c r="EB52" s="150"/>
      <c r="EC52" s="150"/>
      <c r="ED52" s="150"/>
      <c r="EE52" s="150"/>
      <c r="EF52" s="150"/>
      <c r="EG52" s="150"/>
      <c r="EH52" s="150"/>
      <c r="EI52" s="150"/>
      <c r="EJ52" s="150"/>
      <c r="EK52" s="150"/>
      <c r="EL52" s="150"/>
      <c r="EM52" s="150"/>
      <c r="EN52" s="150"/>
      <c r="EO52" s="150"/>
      <c r="EP52" s="150"/>
      <c r="EQ52" s="150"/>
      <c r="ER52" s="150"/>
      <c r="ES52" s="150"/>
      <c r="ET52" s="150"/>
      <c r="EU52" s="150"/>
      <c r="EV52" s="150"/>
      <c r="EW52" s="150"/>
      <c r="EX52" s="150"/>
      <c r="EY52" s="150"/>
      <c r="EZ52" s="150"/>
      <c r="FA52" s="150"/>
      <c r="FB52" s="150"/>
      <c r="FC52" s="150"/>
      <c r="FD52" s="150"/>
      <c r="FE52" s="150"/>
      <c r="FF52" s="150"/>
      <c r="FG52" s="150"/>
      <c r="FH52" s="150"/>
      <c r="FI52" s="150"/>
      <c r="FJ52" s="150"/>
      <c r="FK52" s="150"/>
      <c r="FL52" s="150"/>
      <c r="FM52" s="150"/>
      <c r="FN52" s="150"/>
      <c r="FO52" s="150"/>
      <c r="FP52" s="150"/>
      <c r="FQ52" s="150"/>
      <c r="FR52" s="150"/>
      <c r="FS52" s="150"/>
      <c r="FT52" s="150"/>
      <c r="FU52" s="150"/>
      <c r="FV52" s="150"/>
      <c r="FW52" s="150"/>
      <c r="FX52" s="150"/>
      <c r="FY52" s="150"/>
      <c r="FZ52" s="150"/>
      <c r="GA52" s="150"/>
      <c r="GB52" s="150"/>
      <c r="GC52" s="150"/>
      <c r="GD52" s="150"/>
      <c r="GE52" s="150"/>
      <c r="GF52" s="150"/>
      <c r="GG52" s="150"/>
      <c r="GH52" s="150"/>
      <c r="GI52" s="150"/>
      <c r="GJ52" s="150"/>
      <c r="GK52" s="150"/>
      <c r="GL52" s="150"/>
      <c r="GM52" s="150"/>
      <c r="GN52" s="150"/>
      <c r="GO52" s="150"/>
      <c r="GP52" s="150"/>
      <c r="GQ52" s="150"/>
      <c r="GR52" s="161"/>
      <c r="GS52" s="162"/>
      <c r="GT52" s="158" t="s">
        <v>522</v>
      </c>
      <c r="GU52" s="159" t="s">
        <v>584</v>
      </c>
      <c r="GV52" s="159"/>
      <c r="GW52" s="239">
        <f t="shared" si="11"/>
        <v>0</v>
      </c>
      <c r="GX52" s="136" t="s">
        <v>560</v>
      </c>
      <c r="GY52" s="136" t="s">
        <v>799</v>
      </c>
    </row>
    <row r="53" spans="1:207" s="136" customFormat="1">
      <c r="A53" s="139"/>
      <c r="B53" s="139" t="s">
        <v>517</v>
      </c>
      <c r="C53" s="139" t="s">
        <v>555</v>
      </c>
      <c r="D53" s="139" t="s">
        <v>4</v>
      </c>
      <c r="E53" s="244" t="s">
        <v>582</v>
      </c>
      <c r="F53" s="139" t="s">
        <v>520</v>
      </c>
      <c r="G53" s="139" t="s">
        <v>813</v>
      </c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54"/>
      <c r="CB53" s="154"/>
      <c r="CC53" s="154"/>
      <c r="CD53" s="154"/>
      <c r="CE53" s="154"/>
      <c r="CF53" s="154"/>
      <c r="CG53" s="156">
        <f>30-30+10</f>
        <v>10</v>
      </c>
      <c r="CH53" s="156">
        <f>20-20</f>
        <v>0</v>
      </c>
      <c r="CI53" s="156">
        <f>20-20</f>
        <v>0</v>
      </c>
      <c r="CJ53" s="156">
        <f>30-30</f>
        <v>0</v>
      </c>
      <c r="CK53" s="154"/>
      <c r="CL53" s="154"/>
      <c r="CM53" s="154"/>
      <c r="CN53" s="156">
        <f>30-30+5</f>
        <v>5</v>
      </c>
      <c r="CO53" s="156">
        <f>20-20+1</f>
        <v>1</v>
      </c>
      <c r="CP53" s="156">
        <f>20-20</f>
        <v>0</v>
      </c>
      <c r="CQ53" s="154"/>
      <c r="CR53" s="156">
        <f>30-30+2</f>
        <v>2</v>
      </c>
      <c r="CS53" s="156">
        <f>50-50+2</f>
        <v>2</v>
      </c>
      <c r="CT53" s="156">
        <f>40-40</f>
        <v>0</v>
      </c>
      <c r="CU53" s="156">
        <f>50-50+1</f>
        <v>1</v>
      </c>
      <c r="CV53" s="156">
        <f>30-30</f>
        <v>0</v>
      </c>
      <c r="CW53" s="154"/>
      <c r="CX53" s="154"/>
      <c r="CY53" s="154"/>
      <c r="CZ53" s="156">
        <f>30-30+5</f>
        <v>5</v>
      </c>
      <c r="DA53" s="154"/>
      <c r="DB53" s="156">
        <f>20-20</f>
        <v>0</v>
      </c>
      <c r="DC53" s="154"/>
      <c r="DD53" s="154"/>
      <c r="DE53" s="154"/>
      <c r="DF53" s="154"/>
      <c r="DG53" s="154"/>
      <c r="DH53" s="154"/>
      <c r="DI53" s="154"/>
      <c r="DJ53" s="156">
        <f>20-20+5</f>
        <v>5</v>
      </c>
      <c r="DK53" s="156">
        <f>50-50+10</f>
        <v>10</v>
      </c>
      <c r="DL53" s="156">
        <f>40-40+3</f>
        <v>3</v>
      </c>
      <c r="DM53" s="156">
        <f>40-40+10</f>
        <v>10</v>
      </c>
      <c r="DN53" s="154"/>
      <c r="DO53" s="154"/>
      <c r="DP53" s="154"/>
      <c r="DQ53" s="154"/>
      <c r="DR53" s="154"/>
      <c r="DS53" s="154"/>
      <c r="DT53" s="154"/>
      <c r="DU53" s="154"/>
      <c r="DV53" s="154"/>
      <c r="DW53" s="154"/>
      <c r="DX53" s="154"/>
      <c r="DY53" s="154"/>
      <c r="DZ53" s="154"/>
      <c r="EA53" s="154"/>
      <c r="EB53" s="154"/>
      <c r="EC53" s="154"/>
      <c r="ED53" s="154"/>
      <c r="EE53" s="154"/>
      <c r="EF53" s="154"/>
      <c r="EG53" s="154"/>
      <c r="EH53" s="154"/>
      <c r="EI53" s="154"/>
      <c r="EJ53" s="154"/>
      <c r="EK53" s="154"/>
      <c r="EL53" s="156">
        <f>50-50+10</f>
        <v>10</v>
      </c>
      <c r="EM53" s="154"/>
      <c r="EN53" s="154"/>
      <c r="EO53" s="156">
        <f>30-30+10</f>
        <v>10</v>
      </c>
      <c r="EP53" s="154"/>
      <c r="EQ53" s="154"/>
      <c r="ER53" s="154"/>
      <c r="ES53" s="156">
        <f>30-30</f>
        <v>0</v>
      </c>
      <c r="ET53" s="154"/>
      <c r="EU53" s="154"/>
      <c r="EV53" s="154"/>
      <c r="EW53" s="154"/>
      <c r="EX53" s="154"/>
      <c r="EY53" s="154"/>
      <c r="EZ53" s="154"/>
      <c r="FA53" s="156">
        <f>60-60</f>
        <v>0</v>
      </c>
      <c r="FB53" s="156">
        <f>60-60</f>
        <v>0</v>
      </c>
      <c r="FC53" s="154"/>
      <c r="FD53" s="156">
        <f>20-20</f>
        <v>0</v>
      </c>
      <c r="FE53" s="156">
        <f>20-20</f>
        <v>0</v>
      </c>
      <c r="FF53" s="156">
        <f>20-20+5</f>
        <v>5</v>
      </c>
      <c r="FG53" s="156">
        <f>20-20</f>
        <v>0</v>
      </c>
      <c r="FH53" s="154"/>
      <c r="FI53" s="156">
        <f>60-60+10</f>
        <v>10</v>
      </c>
      <c r="FJ53" s="156">
        <f>60-60</f>
        <v>0</v>
      </c>
      <c r="FK53" s="154"/>
      <c r="FL53" s="154"/>
      <c r="FM53" s="154"/>
      <c r="FN53" s="154"/>
      <c r="FO53" s="156">
        <f>20-20+20</f>
        <v>20</v>
      </c>
      <c r="FP53" s="156">
        <f>20-20+10</f>
        <v>10</v>
      </c>
      <c r="FQ53" s="156">
        <f>20-20</f>
        <v>0</v>
      </c>
      <c r="FR53" s="154"/>
      <c r="FS53" s="154"/>
      <c r="FT53" s="154"/>
      <c r="FU53" s="154"/>
      <c r="FV53" s="154"/>
      <c r="FW53" s="154"/>
      <c r="FX53" s="154"/>
      <c r="FY53" s="154"/>
      <c r="FZ53" s="154"/>
      <c r="GA53" s="154"/>
      <c r="GB53" s="154"/>
      <c r="GC53" s="154"/>
      <c r="GD53" s="154"/>
      <c r="GE53" s="154"/>
      <c r="GF53" s="154"/>
      <c r="GG53" s="154"/>
      <c r="GH53" s="154"/>
      <c r="GI53" s="154"/>
      <c r="GJ53" s="154"/>
      <c r="GK53" s="154"/>
      <c r="GL53" s="154"/>
      <c r="GM53" s="154"/>
      <c r="GN53" s="154"/>
      <c r="GO53" s="154"/>
      <c r="GP53" s="154"/>
      <c r="GQ53" s="154"/>
      <c r="GR53" s="161"/>
      <c r="GS53" s="162"/>
      <c r="GT53" s="159" t="s">
        <v>522</v>
      </c>
      <c r="GU53" s="159" t="s">
        <v>584</v>
      </c>
      <c r="GV53" s="159"/>
      <c r="GW53" s="239">
        <f t="shared" si="11"/>
        <v>119</v>
      </c>
      <c r="GX53" s="136" t="s">
        <v>560</v>
      </c>
    </row>
    <row r="54" spans="1:207" s="136" customFormat="1">
      <c r="A54" s="139"/>
      <c r="B54" s="139" t="s">
        <v>517</v>
      </c>
      <c r="C54" s="139" t="s">
        <v>555</v>
      </c>
      <c r="D54" s="139" t="s">
        <v>632</v>
      </c>
      <c r="E54" s="244" t="s">
        <v>582</v>
      </c>
      <c r="F54" s="139" t="s">
        <v>520</v>
      </c>
      <c r="G54" s="139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I54" s="150"/>
      <c r="BJ54" s="150"/>
      <c r="BK54" s="150"/>
      <c r="BL54" s="150"/>
      <c r="BM54" s="150"/>
      <c r="BN54" s="150"/>
      <c r="BO54" s="150"/>
      <c r="BP54" s="150"/>
      <c r="BQ54" s="150"/>
      <c r="BR54" s="150"/>
      <c r="BS54" s="150"/>
      <c r="BT54" s="150"/>
      <c r="BU54" s="150"/>
      <c r="BV54" s="150"/>
      <c r="BW54" s="150"/>
      <c r="BX54" s="150"/>
      <c r="BY54" s="150"/>
      <c r="BZ54" s="150"/>
      <c r="CA54" s="150"/>
      <c r="CB54" s="150"/>
      <c r="CC54" s="150"/>
      <c r="CD54" s="150"/>
      <c r="CE54" s="150"/>
      <c r="CF54" s="150"/>
      <c r="CG54" s="150"/>
      <c r="CH54" s="150"/>
      <c r="CI54" s="150"/>
      <c r="CJ54" s="150"/>
      <c r="CK54" s="150"/>
      <c r="CL54" s="150"/>
      <c r="CM54" s="150"/>
      <c r="CN54" s="150"/>
      <c r="CO54" s="150"/>
      <c r="CP54" s="150"/>
      <c r="CQ54" s="150"/>
      <c r="CR54" s="150"/>
      <c r="CS54" s="150"/>
      <c r="CT54" s="150"/>
      <c r="CU54" s="150"/>
      <c r="CV54" s="150"/>
      <c r="CW54" s="150"/>
      <c r="CX54" s="150"/>
      <c r="CY54" s="150"/>
      <c r="CZ54" s="150"/>
      <c r="DA54" s="150"/>
      <c r="DB54" s="150"/>
      <c r="DC54" s="150"/>
      <c r="DD54" s="150"/>
      <c r="DE54" s="150"/>
      <c r="DF54" s="150"/>
      <c r="DG54" s="150"/>
      <c r="DH54" s="150"/>
      <c r="DI54" s="150"/>
      <c r="DJ54" s="150"/>
      <c r="DK54" s="150"/>
      <c r="DL54" s="150"/>
      <c r="DM54" s="150"/>
      <c r="DN54" s="150"/>
      <c r="DO54" s="150"/>
      <c r="DP54" s="150"/>
      <c r="DQ54" s="150"/>
      <c r="DR54" s="150"/>
      <c r="DS54" s="150"/>
      <c r="DT54" s="150"/>
      <c r="DU54" s="150"/>
      <c r="DV54" s="150"/>
      <c r="DW54" s="150"/>
      <c r="DX54" s="150"/>
      <c r="DY54" s="150"/>
      <c r="DZ54" s="150"/>
      <c r="EA54" s="150"/>
      <c r="EB54" s="150"/>
      <c r="EC54" s="150"/>
      <c r="ED54" s="150"/>
      <c r="EE54" s="150"/>
      <c r="EF54" s="150"/>
      <c r="EG54" s="150"/>
      <c r="EH54" s="150"/>
      <c r="EI54" s="150"/>
      <c r="EJ54" s="150"/>
      <c r="EK54" s="150"/>
      <c r="EL54" s="150"/>
      <c r="EM54" s="150"/>
      <c r="EN54" s="150"/>
      <c r="EO54" s="150"/>
      <c r="EP54" s="150"/>
      <c r="EQ54" s="150"/>
      <c r="ER54" s="150"/>
      <c r="ES54" s="150"/>
      <c r="ET54" s="150"/>
      <c r="EU54" s="150"/>
      <c r="EV54" s="150"/>
      <c r="EW54" s="150"/>
      <c r="EX54" s="150"/>
      <c r="EY54" s="150"/>
      <c r="EZ54" s="150"/>
      <c r="FA54" s="150"/>
      <c r="FB54" s="150"/>
      <c r="FC54" s="150"/>
      <c r="FD54" s="150"/>
      <c r="FE54" s="150"/>
      <c r="FF54" s="150"/>
      <c r="FG54" s="150"/>
      <c r="FH54" s="150"/>
      <c r="FI54" s="150"/>
      <c r="FJ54" s="150"/>
      <c r="FK54" s="150"/>
      <c r="FL54" s="150"/>
      <c r="FM54" s="150"/>
      <c r="FN54" s="150"/>
      <c r="FO54" s="150"/>
      <c r="FP54" s="150"/>
      <c r="FQ54" s="150"/>
      <c r="FR54" s="150"/>
      <c r="FS54" s="150"/>
      <c r="FT54" s="150"/>
      <c r="FU54" s="150"/>
      <c r="FV54" s="150"/>
      <c r="FW54" s="150"/>
      <c r="FX54" s="150"/>
      <c r="FY54" s="150"/>
      <c r="FZ54" s="150"/>
      <c r="GA54" s="150"/>
      <c r="GB54" s="150"/>
      <c r="GC54" s="150"/>
      <c r="GD54" s="150"/>
      <c r="GE54" s="150"/>
      <c r="GF54" s="150"/>
      <c r="GG54" s="150"/>
      <c r="GH54" s="150"/>
      <c r="GI54" s="150"/>
      <c r="GJ54" s="150"/>
      <c r="GK54" s="150"/>
      <c r="GL54" s="150"/>
      <c r="GM54" s="150"/>
      <c r="GN54" s="150"/>
      <c r="GO54" s="150"/>
      <c r="GP54" s="150"/>
      <c r="GQ54" s="150"/>
      <c r="GR54" s="161"/>
      <c r="GS54" s="162"/>
      <c r="GT54" s="158" t="s">
        <v>522</v>
      </c>
      <c r="GU54" s="159" t="s">
        <v>584</v>
      </c>
      <c r="GV54" s="159"/>
      <c r="GW54" s="239">
        <f t="shared" si="11"/>
        <v>0</v>
      </c>
      <c r="GX54" s="136" t="s">
        <v>560</v>
      </c>
      <c r="GY54" s="136" t="s">
        <v>799</v>
      </c>
    </row>
    <row r="55" spans="1:207" s="136" customFormat="1">
      <c r="A55" s="139"/>
      <c r="B55" s="139" t="s">
        <v>517</v>
      </c>
      <c r="C55" s="139" t="s">
        <v>555</v>
      </c>
      <c r="D55" s="139" t="s">
        <v>8</v>
      </c>
      <c r="E55" s="160" t="s">
        <v>586</v>
      </c>
      <c r="F55" s="139" t="s">
        <v>520</v>
      </c>
      <c r="G55" s="139" t="s">
        <v>814</v>
      </c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150"/>
      <c r="BK55" s="150"/>
      <c r="BL55" s="150"/>
      <c r="BM55" s="150"/>
      <c r="BN55" s="150"/>
      <c r="BO55" s="150"/>
      <c r="BP55" s="150"/>
      <c r="BQ55" s="150"/>
      <c r="BR55" s="150"/>
      <c r="BS55" s="150"/>
      <c r="BT55" s="150"/>
      <c r="BU55" s="150"/>
      <c r="BV55" s="150"/>
      <c r="BW55" s="150"/>
      <c r="BX55" s="150"/>
      <c r="BY55" s="150"/>
      <c r="BZ55" s="150"/>
      <c r="CA55" s="150"/>
      <c r="CB55" s="150"/>
      <c r="CC55" s="150"/>
      <c r="CD55" s="150"/>
      <c r="CE55" s="150"/>
      <c r="CF55" s="150"/>
      <c r="CG55" s="150"/>
      <c r="CH55" s="150"/>
      <c r="CI55" s="150"/>
      <c r="CJ55" s="150"/>
      <c r="CK55" s="150"/>
      <c r="CL55" s="150"/>
      <c r="CM55" s="150"/>
      <c r="CN55" s="150"/>
      <c r="CO55" s="150"/>
      <c r="CP55" s="150"/>
      <c r="CQ55" s="150"/>
      <c r="CR55" s="150"/>
      <c r="CS55" s="150"/>
      <c r="CT55" s="150"/>
      <c r="CU55" s="150"/>
      <c r="CV55" s="150"/>
      <c r="CW55" s="150"/>
      <c r="CX55" s="150"/>
      <c r="CY55" s="150"/>
      <c r="CZ55" s="150"/>
      <c r="DA55" s="150"/>
      <c r="DB55" s="150"/>
      <c r="DC55" s="150"/>
      <c r="DD55" s="150"/>
      <c r="DE55" s="150"/>
      <c r="DF55" s="150"/>
      <c r="DG55" s="150"/>
      <c r="DH55" s="150"/>
      <c r="DI55" s="150"/>
      <c r="DJ55" s="150"/>
      <c r="DK55" s="150"/>
      <c r="DL55" s="150"/>
      <c r="DM55" s="150"/>
      <c r="DN55" s="150"/>
      <c r="DO55" s="150"/>
      <c r="DP55" s="150"/>
      <c r="DQ55" s="150"/>
      <c r="DR55" s="150"/>
      <c r="DS55" s="150"/>
      <c r="DT55" s="150"/>
      <c r="DU55" s="150"/>
      <c r="DV55" s="150"/>
      <c r="DW55" s="150"/>
      <c r="DX55" s="150"/>
      <c r="DY55" s="150"/>
      <c r="DZ55" s="150"/>
      <c r="EA55" s="150"/>
      <c r="EB55" s="150"/>
      <c r="EC55" s="150"/>
      <c r="ED55" s="150"/>
      <c r="EE55" s="142">
        <f>200-200</f>
        <v>0</v>
      </c>
      <c r="EF55" s="150"/>
      <c r="EG55" s="150"/>
      <c r="EH55" s="150"/>
      <c r="EI55" s="150"/>
      <c r="EJ55" s="150"/>
      <c r="EK55" s="142">
        <f>100-100</f>
        <v>0</v>
      </c>
      <c r="EL55" s="150"/>
      <c r="EM55" s="150"/>
      <c r="EN55" s="150"/>
      <c r="EO55" s="150"/>
      <c r="EP55" s="150"/>
      <c r="EQ55" s="150"/>
      <c r="ER55" s="150"/>
      <c r="ES55" s="150"/>
      <c r="ET55" s="150"/>
      <c r="EU55" s="150"/>
      <c r="EV55" s="142">
        <f>100-100</f>
        <v>0</v>
      </c>
      <c r="EW55" s="150"/>
      <c r="EX55" s="150"/>
      <c r="EY55" s="150"/>
      <c r="EZ55" s="142">
        <f>100-100</f>
        <v>0</v>
      </c>
      <c r="FA55" s="142">
        <f>100-100</f>
        <v>0</v>
      </c>
      <c r="FB55" s="150"/>
      <c r="FC55" s="150"/>
      <c r="FD55" s="150"/>
      <c r="FE55" s="150"/>
      <c r="FF55" s="150"/>
      <c r="FG55" s="150"/>
      <c r="FH55" s="150"/>
      <c r="FI55" s="150"/>
      <c r="FJ55" s="150"/>
      <c r="FK55" s="150"/>
      <c r="FL55" s="150"/>
      <c r="FM55" s="150"/>
      <c r="FN55" s="150"/>
      <c r="FO55" s="142">
        <f>100-100</f>
        <v>0</v>
      </c>
      <c r="FP55" s="150"/>
      <c r="FQ55" s="150"/>
      <c r="FR55" s="150"/>
      <c r="FS55" s="150"/>
      <c r="FT55" s="150"/>
      <c r="FU55" s="150"/>
      <c r="FV55" s="150"/>
      <c r="FW55" s="150"/>
      <c r="FX55" s="150"/>
      <c r="FY55" s="150"/>
      <c r="FZ55" s="150"/>
      <c r="GA55" s="150"/>
      <c r="GB55" s="150"/>
      <c r="GC55" s="150"/>
      <c r="GD55" s="150"/>
      <c r="GE55" s="150"/>
      <c r="GF55" s="150"/>
      <c r="GG55" s="150"/>
      <c r="GH55" s="150"/>
      <c r="GI55" s="150"/>
      <c r="GJ55" s="150"/>
      <c r="GK55" s="150"/>
      <c r="GL55" s="150"/>
      <c r="GM55" s="150"/>
      <c r="GN55" s="150"/>
      <c r="GO55" s="150"/>
      <c r="GP55" s="150"/>
      <c r="GQ55" s="150"/>
      <c r="GR55" s="161"/>
      <c r="GS55" s="162"/>
      <c r="GT55" s="158"/>
      <c r="GU55" s="159"/>
      <c r="GV55" s="159" t="s">
        <v>579</v>
      </c>
      <c r="GW55" s="239">
        <f t="shared" si="11"/>
        <v>0</v>
      </c>
      <c r="GX55" s="136" t="s">
        <v>588</v>
      </c>
    </row>
    <row r="56" spans="1:207" s="136" customFormat="1">
      <c r="A56" s="139"/>
      <c r="B56" s="139" t="s">
        <v>517</v>
      </c>
      <c r="C56" s="139" t="s">
        <v>555</v>
      </c>
      <c r="D56" s="139" t="s">
        <v>4</v>
      </c>
      <c r="E56" s="160" t="s">
        <v>586</v>
      </c>
      <c r="F56" s="139" t="s">
        <v>520</v>
      </c>
      <c r="G56" s="139" t="s">
        <v>814</v>
      </c>
      <c r="H56" s="150"/>
      <c r="I56" s="150"/>
      <c r="J56" s="150"/>
      <c r="K56" s="150"/>
      <c r="L56" s="150"/>
      <c r="M56" s="142">
        <f>10-10</f>
        <v>0</v>
      </c>
      <c r="N56" s="142">
        <f>10-10</f>
        <v>0</v>
      </c>
      <c r="O56" s="142">
        <f>10-10+5</f>
        <v>5</v>
      </c>
      <c r="P56" s="150"/>
      <c r="Q56" s="150"/>
      <c r="R56" s="142">
        <f>20-20</f>
        <v>0</v>
      </c>
      <c r="S56" s="142">
        <f>20-20</f>
        <v>0</v>
      </c>
      <c r="T56" s="150"/>
      <c r="U56" s="150"/>
      <c r="V56" s="142">
        <f>20-20+2</f>
        <v>2</v>
      </c>
      <c r="W56" s="142">
        <f>20-20+20</f>
        <v>20</v>
      </c>
      <c r="X56" s="150"/>
      <c r="Y56" s="142">
        <f>20-20</f>
        <v>0</v>
      </c>
      <c r="Z56" s="142">
        <f>40-40+10</f>
        <v>10</v>
      </c>
      <c r="AA56" s="142">
        <f>40-40+10</f>
        <v>10</v>
      </c>
      <c r="AB56" s="142">
        <f>40-40</f>
        <v>0</v>
      </c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42">
        <f>10-10+10</f>
        <v>10</v>
      </c>
      <c r="AZ56" s="142">
        <f t="shared" ref="AZ56:BD56" si="19">10-10</f>
        <v>0</v>
      </c>
      <c r="BA56" s="142">
        <f>10-10+5</f>
        <v>5</v>
      </c>
      <c r="BB56" s="142">
        <f>10-10+10</f>
        <v>10</v>
      </c>
      <c r="BC56" s="142">
        <f>10-10+2</f>
        <v>2</v>
      </c>
      <c r="BD56" s="142">
        <f t="shared" si="19"/>
        <v>0</v>
      </c>
      <c r="BE56" s="150"/>
      <c r="BF56" s="150"/>
      <c r="BG56" s="150"/>
      <c r="BH56" s="150"/>
      <c r="BI56" s="150"/>
      <c r="BJ56" s="150"/>
      <c r="BK56" s="150"/>
      <c r="BL56" s="150"/>
      <c r="BM56" s="150"/>
      <c r="BN56" s="142">
        <f>20-20</f>
        <v>0</v>
      </c>
      <c r="BO56" s="142">
        <f>20-20+20</f>
        <v>20</v>
      </c>
      <c r="BP56" s="142">
        <f>40-40+25</f>
        <v>25</v>
      </c>
      <c r="BQ56" s="142">
        <f>20-20+5</f>
        <v>5</v>
      </c>
      <c r="BR56" s="142">
        <f>20-20</f>
        <v>0</v>
      </c>
      <c r="BS56" s="150"/>
      <c r="BT56" s="150"/>
      <c r="BU56" s="150"/>
      <c r="BV56" s="150"/>
      <c r="BW56" s="150"/>
      <c r="BX56" s="150"/>
      <c r="BY56" s="150"/>
      <c r="BZ56" s="150"/>
      <c r="CA56" s="150"/>
      <c r="CB56" s="142">
        <f>20-20+3</f>
        <v>3</v>
      </c>
      <c r="CC56" s="142">
        <f>20-20+2</f>
        <v>2</v>
      </c>
      <c r="CD56" s="142">
        <f>20-20</f>
        <v>0</v>
      </c>
      <c r="CE56" s="142">
        <f>20-20</f>
        <v>0</v>
      </c>
      <c r="CF56" s="150"/>
      <c r="CG56" s="142">
        <f>40-40+40</f>
        <v>40</v>
      </c>
      <c r="CH56" s="142">
        <f>40-40+2</f>
        <v>2</v>
      </c>
      <c r="CI56" s="142">
        <f>40-40</f>
        <v>0</v>
      </c>
      <c r="CJ56" s="150"/>
      <c r="CK56" s="142">
        <f>20-20</f>
        <v>0</v>
      </c>
      <c r="CL56" s="142">
        <f>20-20+10</f>
        <v>10</v>
      </c>
      <c r="CM56" s="142">
        <f>40-40</f>
        <v>0</v>
      </c>
      <c r="CN56" s="142">
        <f>60-60+10</f>
        <v>10</v>
      </c>
      <c r="CO56" s="150"/>
      <c r="CP56" s="142">
        <f>40-40</f>
        <v>0</v>
      </c>
      <c r="CQ56" s="150"/>
      <c r="CR56" s="142">
        <f>60-60+10</f>
        <v>10</v>
      </c>
      <c r="CS56" s="142">
        <f>60-60+20</f>
        <v>20</v>
      </c>
      <c r="CT56" s="150"/>
      <c r="CU56" s="142">
        <f>60-60</f>
        <v>0</v>
      </c>
      <c r="CV56" s="142">
        <f>60-60</f>
        <v>0</v>
      </c>
      <c r="CW56" s="150"/>
      <c r="CX56" s="150"/>
      <c r="CY56" s="142">
        <f>20-20+10</f>
        <v>10</v>
      </c>
      <c r="CZ56" s="142">
        <f>40-40+20</f>
        <v>20</v>
      </c>
      <c r="DA56" s="142">
        <f>40-40+10</f>
        <v>10</v>
      </c>
      <c r="DB56" s="142">
        <f>40-40</f>
        <v>0</v>
      </c>
      <c r="DC56" s="142">
        <f>60-60+10</f>
        <v>10</v>
      </c>
      <c r="DD56" s="150"/>
      <c r="DE56" s="150"/>
      <c r="DF56" s="150"/>
      <c r="DG56" s="150"/>
      <c r="DH56" s="142">
        <f>20-20</f>
        <v>0</v>
      </c>
      <c r="DI56" s="150"/>
      <c r="DJ56" s="142">
        <f>60-60+20</f>
        <v>20</v>
      </c>
      <c r="DK56" s="142">
        <f>100-100+40</f>
        <v>40</v>
      </c>
      <c r="DL56" s="142">
        <f>60-60+10</f>
        <v>10</v>
      </c>
      <c r="DM56" s="142">
        <f>100-100+20</f>
        <v>20</v>
      </c>
      <c r="DN56" s="150"/>
      <c r="DO56" s="150"/>
      <c r="DP56" s="150"/>
      <c r="DQ56" s="150"/>
      <c r="DR56" s="150"/>
      <c r="DS56" s="150"/>
      <c r="DT56" s="150"/>
      <c r="DU56" s="150"/>
      <c r="DV56" s="150"/>
      <c r="DW56" s="150"/>
      <c r="DX56" s="150"/>
      <c r="DY56" s="150"/>
      <c r="DZ56" s="150"/>
      <c r="EA56" s="142">
        <f>100-100</f>
        <v>0</v>
      </c>
      <c r="EB56" s="142">
        <f>100-100</f>
        <v>0</v>
      </c>
      <c r="EC56" s="150"/>
      <c r="ED56" s="150"/>
      <c r="EE56" s="146">
        <f>200</f>
        <v>200</v>
      </c>
      <c r="EF56" s="150"/>
      <c r="EG56" s="150"/>
      <c r="EH56" s="150"/>
      <c r="EI56" s="150"/>
      <c r="EJ56" s="150"/>
      <c r="EK56" s="150"/>
      <c r="EL56" s="142">
        <f>100-100+40</f>
        <v>40</v>
      </c>
      <c r="EM56" s="150"/>
      <c r="EN56" s="150"/>
      <c r="EO56" s="142">
        <f>100-100</f>
        <v>0</v>
      </c>
      <c r="EP56" s="150"/>
      <c r="EQ56" s="150"/>
      <c r="ER56" s="150"/>
      <c r="ES56" s="142">
        <f>100-100</f>
        <v>0</v>
      </c>
      <c r="ET56" s="150"/>
      <c r="EU56" s="150"/>
      <c r="EV56" s="150"/>
      <c r="EW56" s="142">
        <f>100-100</f>
        <v>0</v>
      </c>
      <c r="EX56" s="150"/>
      <c r="EY56" s="150"/>
      <c r="EZ56" s="150"/>
      <c r="FA56" s="150"/>
      <c r="FB56" s="142">
        <f>100-100</f>
        <v>0</v>
      </c>
      <c r="FC56" s="150"/>
      <c r="FD56" s="150"/>
      <c r="FE56" s="150"/>
      <c r="FF56" s="142">
        <f>100-100</f>
        <v>0</v>
      </c>
      <c r="FG56" s="142">
        <f>100-100</f>
        <v>0</v>
      </c>
      <c r="FH56" s="150"/>
      <c r="FI56" s="150"/>
      <c r="FJ56" s="150"/>
      <c r="FK56" s="150"/>
      <c r="FL56" s="150"/>
      <c r="FM56" s="150"/>
      <c r="FN56" s="150"/>
      <c r="FO56" s="150"/>
      <c r="FP56" s="142">
        <f>100-100+20</f>
        <v>20</v>
      </c>
      <c r="FQ56" s="142">
        <f>100-100</f>
        <v>0</v>
      </c>
      <c r="FR56" s="150"/>
      <c r="FS56" s="150"/>
      <c r="FT56" s="150"/>
      <c r="FU56" s="150"/>
      <c r="FV56" s="150"/>
      <c r="FW56" s="150"/>
      <c r="FX56" s="150"/>
      <c r="FY56" s="150"/>
      <c r="FZ56" s="150"/>
      <c r="GA56" s="150"/>
      <c r="GB56" s="150"/>
      <c r="GC56" s="150"/>
      <c r="GD56" s="150"/>
      <c r="GE56" s="150"/>
      <c r="GF56" s="150"/>
      <c r="GG56" s="150"/>
      <c r="GH56" s="150"/>
      <c r="GI56" s="150"/>
      <c r="GJ56" s="150"/>
      <c r="GK56" s="150"/>
      <c r="GL56" s="150"/>
      <c r="GM56" s="150"/>
      <c r="GN56" s="150"/>
      <c r="GO56" s="150"/>
      <c r="GP56" s="150"/>
      <c r="GQ56" s="150"/>
      <c r="GR56" s="161"/>
      <c r="GS56" s="162"/>
      <c r="GT56" s="158"/>
      <c r="GU56" s="159"/>
      <c r="GV56" s="159" t="s">
        <v>579</v>
      </c>
      <c r="GW56" s="239">
        <f t="shared" si="11"/>
        <v>621</v>
      </c>
      <c r="GX56" s="136" t="s">
        <v>588</v>
      </c>
    </row>
    <row r="57" spans="1:207" s="136" customFormat="1">
      <c r="A57" s="139"/>
      <c r="B57" s="139" t="s">
        <v>517</v>
      </c>
      <c r="C57" s="139" t="s">
        <v>555</v>
      </c>
      <c r="D57" s="139" t="s">
        <v>3</v>
      </c>
      <c r="E57" s="160" t="s">
        <v>586</v>
      </c>
      <c r="F57" s="139" t="s">
        <v>520</v>
      </c>
      <c r="G57" s="139" t="s">
        <v>815</v>
      </c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0"/>
      <c r="BU57" s="150"/>
      <c r="BV57" s="150"/>
      <c r="BW57" s="150"/>
      <c r="BX57" s="150"/>
      <c r="BY57" s="150"/>
      <c r="BZ57" s="150"/>
      <c r="CA57" s="150"/>
      <c r="CB57" s="150"/>
      <c r="CC57" s="150"/>
      <c r="CD57" s="150"/>
      <c r="CE57" s="150"/>
      <c r="CF57" s="150"/>
      <c r="CG57" s="150"/>
      <c r="CH57" s="150"/>
      <c r="CI57" s="150"/>
      <c r="CJ57" s="150"/>
      <c r="CK57" s="150"/>
      <c r="CL57" s="150"/>
      <c r="CM57" s="150"/>
      <c r="CN57" s="150"/>
      <c r="CO57" s="150"/>
      <c r="CP57" s="150"/>
      <c r="CQ57" s="142">
        <f>40-40</f>
        <v>0</v>
      </c>
      <c r="CR57" s="150"/>
      <c r="CS57" s="150"/>
      <c r="CT57" s="142">
        <f>60-60</f>
        <v>0</v>
      </c>
      <c r="CU57" s="150"/>
      <c r="CV57" s="150"/>
      <c r="CW57" s="150"/>
      <c r="CX57" s="150"/>
      <c r="CY57" s="150"/>
      <c r="CZ57" s="150"/>
      <c r="DA57" s="150"/>
      <c r="DB57" s="150"/>
      <c r="DC57" s="150"/>
      <c r="DD57" s="150"/>
      <c r="DE57" s="150"/>
      <c r="DF57" s="150"/>
      <c r="DG57" s="150"/>
      <c r="DH57" s="150"/>
      <c r="DI57" s="150"/>
      <c r="DJ57" s="150"/>
      <c r="DK57" s="150"/>
      <c r="DL57" s="150"/>
      <c r="DM57" s="150"/>
      <c r="DN57" s="150"/>
      <c r="DO57" s="150"/>
      <c r="DP57" s="150"/>
      <c r="DQ57" s="150"/>
      <c r="DR57" s="150"/>
      <c r="DS57" s="150"/>
      <c r="DT57" s="150"/>
      <c r="DU57" s="150"/>
      <c r="DV57" s="150"/>
      <c r="DW57" s="150"/>
      <c r="DX57" s="150"/>
      <c r="DY57" s="150"/>
      <c r="DZ57" s="150"/>
      <c r="EA57" s="150"/>
      <c r="EB57" s="150"/>
      <c r="EC57" s="150"/>
      <c r="ED57" s="150"/>
      <c r="EE57" s="150"/>
      <c r="EF57" s="150"/>
      <c r="EG57" s="150"/>
      <c r="EH57" s="150"/>
      <c r="EI57" s="150"/>
      <c r="EJ57" s="150"/>
      <c r="EK57" s="150"/>
      <c r="EL57" s="150"/>
      <c r="EM57" s="150"/>
      <c r="EN57" s="150"/>
      <c r="EO57" s="150"/>
      <c r="EP57" s="150"/>
      <c r="EQ57" s="150"/>
      <c r="ER57" s="150"/>
      <c r="ES57" s="150"/>
      <c r="ET57" s="150"/>
      <c r="EU57" s="150"/>
      <c r="EV57" s="150"/>
      <c r="EW57" s="150"/>
      <c r="EX57" s="150"/>
      <c r="EY57" s="150"/>
      <c r="EZ57" s="150"/>
      <c r="FA57" s="150"/>
      <c r="FB57" s="150"/>
      <c r="FC57" s="150"/>
      <c r="FD57" s="150"/>
      <c r="FE57" s="150"/>
      <c r="FF57" s="150"/>
      <c r="FG57" s="150"/>
      <c r="FH57" s="150"/>
      <c r="FI57" s="150"/>
      <c r="FJ57" s="150"/>
      <c r="FK57" s="150"/>
      <c r="FL57" s="150"/>
      <c r="FM57" s="150"/>
      <c r="FN57" s="150"/>
      <c r="FO57" s="150"/>
      <c r="FP57" s="150"/>
      <c r="FQ57" s="150"/>
      <c r="FR57" s="150"/>
      <c r="FS57" s="150"/>
      <c r="FT57" s="150"/>
      <c r="FU57" s="150"/>
      <c r="FV57" s="150"/>
      <c r="FW57" s="150"/>
      <c r="FX57" s="150"/>
      <c r="FY57" s="150"/>
      <c r="FZ57" s="150"/>
      <c r="GA57" s="150"/>
      <c r="GB57" s="150"/>
      <c r="GC57" s="150"/>
      <c r="GD57" s="150"/>
      <c r="GE57" s="150"/>
      <c r="GF57" s="150"/>
      <c r="GG57" s="150"/>
      <c r="GH57" s="150"/>
      <c r="GI57" s="150"/>
      <c r="GJ57" s="150"/>
      <c r="GK57" s="150"/>
      <c r="GL57" s="150"/>
      <c r="GM57" s="150"/>
      <c r="GN57" s="150"/>
      <c r="GO57" s="150"/>
      <c r="GP57" s="150"/>
      <c r="GQ57" s="150"/>
      <c r="GR57" s="161"/>
      <c r="GS57" s="162"/>
      <c r="GT57" s="158"/>
      <c r="GU57" s="159"/>
      <c r="GV57" s="159" t="s">
        <v>579</v>
      </c>
      <c r="GW57" s="239">
        <f t="shared" si="11"/>
        <v>0</v>
      </c>
      <c r="GX57" s="136" t="s">
        <v>588</v>
      </c>
    </row>
    <row r="58" spans="1:207" s="136" customFormat="1">
      <c r="A58" s="139"/>
      <c r="B58" s="139" t="s">
        <v>517</v>
      </c>
      <c r="C58" s="139" t="s">
        <v>555</v>
      </c>
      <c r="D58" s="139" t="s">
        <v>636</v>
      </c>
      <c r="E58" s="246" t="s">
        <v>589</v>
      </c>
      <c r="F58" s="139" t="s">
        <v>520</v>
      </c>
      <c r="G58" s="139" t="s">
        <v>816</v>
      </c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I58" s="150"/>
      <c r="BJ58" s="150"/>
      <c r="BK58" s="150"/>
      <c r="BL58" s="150"/>
      <c r="BM58" s="150"/>
      <c r="BN58" s="150"/>
      <c r="BO58" s="150"/>
      <c r="BP58" s="150"/>
      <c r="BQ58" s="150"/>
      <c r="BR58" s="150"/>
      <c r="BS58" s="150"/>
      <c r="BT58" s="150"/>
      <c r="BU58" s="150"/>
      <c r="BV58" s="150"/>
      <c r="BW58" s="150"/>
      <c r="BX58" s="150"/>
      <c r="BY58" s="150"/>
      <c r="BZ58" s="150"/>
      <c r="CA58" s="150"/>
      <c r="CB58" s="150"/>
      <c r="CC58" s="150"/>
      <c r="CD58" s="150"/>
      <c r="CE58" s="150"/>
      <c r="CF58" s="150"/>
      <c r="CG58" s="150"/>
      <c r="CH58" s="150"/>
      <c r="CI58" s="150"/>
      <c r="CJ58" s="150"/>
      <c r="CK58" s="150"/>
      <c r="CL58" s="150"/>
      <c r="CM58" s="150"/>
      <c r="CN58" s="150"/>
      <c r="CO58" s="150"/>
      <c r="CP58" s="150"/>
      <c r="CQ58" s="150"/>
      <c r="CR58" s="150"/>
      <c r="CS58" s="150"/>
      <c r="CT58" s="150"/>
      <c r="CU58" s="150"/>
      <c r="CV58" s="150"/>
      <c r="CW58" s="150"/>
      <c r="CX58" s="150"/>
      <c r="CY58" s="150"/>
      <c r="CZ58" s="150"/>
      <c r="DA58" s="150"/>
      <c r="DB58" s="150"/>
      <c r="DC58" s="150"/>
      <c r="DD58" s="150"/>
      <c r="DE58" s="150"/>
      <c r="DF58" s="150"/>
      <c r="DG58" s="150"/>
      <c r="DH58" s="150"/>
      <c r="DI58" s="150"/>
      <c r="DJ58" s="150"/>
      <c r="DK58" s="150"/>
      <c r="DL58" s="150"/>
      <c r="DM58" s="150"/>
      <c r="DN58" s="150"/>
      <c r="DO58" s="150"/>
      <c r="DP58" s="150"/>
      <c r="DQ58" s="150"/>
      <c r="DR58" s="150"/>
      <c r="DS58" s="150"/>
      <c r="DT58" s="150"/>
      <c r="DU58" s="150"/>
      <c r="DV58" s="150"/>
      <c r="DW58" s="150"/>
      <c r="DX58" s="150"/>
      <c r="DY58" s="150"/>
      <c r="DZ58" s="150"/>
      <c r="EA58" s="150"/>
      <c r="EB58" s="150"/>
      <c r="EC58" s="150"/>
      <c r="ED58" s="150"/>
      <c r="EE58" s="150"/>
      <c r="EF58" s="150"/>
      <c r="EG58" s="150"/>
      <c r="EH58" s="150"/>
      <c r="EI58" s="150"/>
      <c r="EJ58" s="150"/>
      <c r="EK58" s="150"/>
      <c r="EL58" s="150"/>
      <c r="EM58" s="150"/>
      <c r="EN58" s="150"/>
      <c r="EO58" s="150"/>
      <c r="EP58" s="150"/>
      <c r="EQ58" s="150"/>
      <c r="ER58" s="150"/>
      <c r="ES58" s="150"/>
      <c r="ET58" s="150"/>
      <c r="EU58" s="150"/>
      <c r="EV58" s="150"/>
      <c r="EW58" s="150"/>
      <c r="EX58" s="150"/>
      <c r="EY58" s="150"/>
      <c r="EZ58" s="150"/>
      <c r="FA58" s="150"/>
      <c r="FB58" s="150"/>
      <c r="FC58" s="150"/>
      <c r="FD58" s="150"/>
      <c r="FE58" s="150"/>
      <c r="FF58" s="150"/>
      <c r="FG58" s="150"/>
      <c r="FH58" s="150"/>
      <c r="FI58" s="150"/>
      <c r="FJ58" s="150"/>
      <c r="FK58" s="150"/>
      <c r="FL58" s="150"/>
      <c r="FM58" s="150"/>
      <c r="FN58" s="150"/>
      <c r="FO58" s="150"/>
      <c r="FP58" s="150"/>
      <c r="FQ58" s="150"/>
      <c r="FR58" s="150"/>
      <c r="FS58" s="150"/>
      <c r="FT58" s="150"/>
      <c r="FU58" s="150"/>
      <c r="FV58" s="150"/>
      <c r="FW58" s="150"/>
      <c r="FX58" s="150"/>
      <c r="FY58" s="150"/>
      <c r="FZ58" s="150"/>
      <c r="GA58" s="150"/>
      <c r="GB58" s="150"/>
      <c r="GC58" s="150"/>
      <c r="GD58" s="150"/>
      <c r="GE58" s="150"/>
      <c r="GF58" s="150"/>
      <c r="GG58" s="150"/>
      <c r="GH58" s="150"/>
      <c r="GI58" s="150"/>
      <c r="GJ58" s="150"/>
      <c r="GK58" s="150"/>
      <c r="GL58" s="150"/>
      <c r="GM58" s="150"/>
      <c r="GN58" s="150"/>
      <c r="GO58" s="150"/>
      <c r="GP58" s="150"/>
      <c r="GQ58" s="150"/>
      <c r="GR58" s="161"/>
      <c r="GS58" s="162"/>
      <c r="GT58" s="158" t="s">
        <v>522</v>
      </c>
      <c r="GU58" s="159" t="s">
        <v>591</v>
      </c>
      <c r="GV58" s="159" t="s">
        <v>817</v>
      </c>
      <c r="GW58" s="239">
        <f t="shared" si="11"/>
        <v>0</v>
      </c>
      <c r="GX58" s="145" t="s">
        <v>560</v>
      </c>
      <c r="GY58" s="136" t="s">
        <v>799</v>
      </c>
    </row>
    <row r="59" spans="1:207" s="136" customFormat="1">
      <c r="A59" s="139"/>
      <c r="B59" s="139" t="s">
        <v>517</v>
      </c>
      <c r="C59" s="139" t="s">
        <v>555</v>
      </c>
      <c r="D59" s="139" t="s">
        <v>4</v>
      </c>
      <c r="E59" s="246" t="s">
        <v>589</v>
      </c>
      <c r="F59" s="139" t="s">
        <v>520</v>
      </c>
      <c r="G59" s="139" t="s">
        <v>816</v>
      </c>
      <c r="H59" s="150"/>
      <c r="I59" s="150"/>
      <c r="J59" s="142">
        <f>5-5</f>
        <v>0</v>
      </c>
      <c r="K59" s="142">
        <f>10-10+5</f>
        <v>5</v>
      </c>
      <c r="L59" s="150"/>
      <c r="M59" s="142">
        <f>10-10</f>
        <v>0</v>
      </c>
      <c r="N59" s="142">
        <f>10-10</f>
        <v>0</v>
      </c>
      <c r="O59" s="150"/>
      <c r="P59" s="150"/>
      <c r="Q59" s="150"/>
      <c r="R59" s="142">
        <f>5-5</f>
        <v>0</v>
      </c>
      <c r="S59" s="142">
        <f>10-10</f>
        <v>0</v>
      </c>
      <c r="T59" s="150"/>
      <c r="U59" s="150"/>
      <c r="V59" s="150"/>
      <c r="W59" s="150"/>
      <c r="X59" s="142">
        <f>10-10</f>
        <v>0</v>
      </c>
      <c r="Y59" s="142">
        <f>10-10</f>
        <v>0</v>
      </c>
      <c r="Z59" s="142">
        <f>50-50+10</f>
        <v>10</v>
      </c>
      <c r="AA59" s="142">
        <f>50-50+5</f>
        <v>5</v>
      </c>
      <c r="AB59" s="142">
        <f>50-50</f>
        <v>0</v>
      </c>
      <c r="AC59" s="150"/>
      <c r="AD59" s="142">
        <f>55-55</f>
        <v>0</v>
      </c>
      <c r="AE59" s="142">
        <f>70-70</f>
        <v>0</v>
      </c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42">
        <f>4-4</f>
        <v>0</v>
      </c>
      <c r="AS59" s="150"/>
      <c r="AT59" s="150"/>
      <c r="AU59" s="150"/>
      <c r="AV59" s="150"/>
      <c r="AW59" s="142">
        <f>4-4</f>
        <v>0</v>
      </c>
      <c r="AX59" s="150"/>
      <c r="AY59" s="142">
        <f>5-5+5</f>
        <v>5</v>
      </c>
      <c r="AZ59" s="142">
        <f>5-5</f>
        <v>0</v>
      </c>
      <c r="BA59" s="150"/>
      <c r="BB59" s="150"/>
      <c r="BC59" s="142">
        <f>10-10+4</f>
        <v>4</v>
      </c>
      <c r="BD59" s="142">
        <f>10-10</f>
        <v>0</v>
      </c>
      <c r="BE59" s="150"/>
      <c r="BF59" s="150"/>
      <c r="BG59" s="150"/>
      <c r="BH59" s="150"/>
      <c r="BI59" s="150"/>
      <c r="BJ59" s="150"/>
      <c r="BK59" s="150"/>
      <c r="BL59" s="142">
        <f>4-4</f>
        <v>0</v>
      </c>
      <c r="BM59" s="150"/>
      <c r="BN59" s="150"/>
      <c r="BO59" s="150"/>
      <c r="BP59" s="150"/>
      <c r="BQ59" s="150"/>
      <c r="BR59" s="142">
        <f>10-10</f>
        <v>0</v>
      </c>
      <c r="BS59" s="150"/>
      <c r="BT59" s="146">
        <f>5-5+4</f>
        <v>4</v>
      </c>
      <c r="BU59" s="150"/>
      <c r="BV59" s="150"/>
      <c r="BW59" s="150"/>
      <c r="BX59" s="150"/>
      <c r="BY59" s="142">
        <f>8-8+2</f>
        <v>2</v>
      </c>
      <c r="BZ59" s="142">
        <f>5-5</f>
        <v>0</v>
      </c>
      <c r="CA59" s="142">
        <f>5-5</f>
        <v>0</v>
      </c>
      <c r="CB59" s="142">
        <f>10-10+1</f>
        <v>1</v>
      </c>
      <c r="CC59" s="142">
        <f>5-5+1</f>
        <v>1</v>
      </c>
      <c r="CD59" s="142">
        <f>5-5</f>
        <v>0</v>
      </c>
      <c r="CE59" s="142">
        <f>5-5</f>
        <v>0</v>
      </c>
      <c r="CF59" s="150"/>
      <c r="CG59" s="142">
        <f>13-13+5</f>
        <v>5</v>
      </c>
      <c r="CH59" s="142">
        <f>10-10</f>
        <v>0</v>
      </c>
      <c r="CI59" s="142">
        <f>10-10</f>
        <v>0</v>
      </c>
      <c r="CJ59" s="142">
        <f>50-50</f>
        <v>0</v>
      </c>
      <c r="CK59" s="142">
        <f>20-20+1</f>
        <v>1</v>
      </c>
      <c r="CL59" s="142">
        <f>10-10+10</f>
        <v>10</v>
      </c>
      <c r="CM59" s="142">
        <f>10-10</f>
        <v>0</v>
      </c>
      <c r="CN59" s="142">
        <f>10-10+2</f>
        <v>2</v>
      </c>
      <c r="CO59" s="142">
        <f>10-10+2</f>
        <v>2</v>
      </c>
      <c r="CP59" s="142">
        <f>20-20</f>
        <v>0</v>
      </c>
      <c r="CQ59" s="142">
        <f>10-10+2</f>
        <v>2</v>
      </c>
      <c r="CR59" s="142">
        <f>5-5+5</f>
        <v>5</v>
      </c>
      <c r="CS59" s="142">
        <f>10-10+5</f>
        <v>5</v>
      </c>
      <c r="CT59" s="142">
        <f>20-20</f>
        <v>0</v>
      </c>
      <c r="CU59" s="142">
        <f>20-20+1</f>
        <v>1</v>
      </c>
      <c r="CV59" s="142">
        <f>20-20</f>
        <v>0</v>
      </c>
      <c r="CW59" s="150"/>
      <c r="CX59" s="142">
        <f>5-5</f>
        <v>0</v>
      </c>
      <c r="CY59" s="150"/>
      <c r="CZ59" s="150"/>
      <c r="DA59" s="150"/>
      <c r="DB59" s="142">
        <f>10-10</f>
        <v>0</v>
      </c>
      <c r="DC59" s="150"/>
      <c r="DD59" s="150"/>
      <c r="DE59" s="150"/>
      <c r="DF59" s="150"/>
      <c r="DG59" s="150"/>
      <c r="DH59" s="150"/>
      <c r="DI59" s="150"/>
      <c r="DJ59" s="150"/>
      <c r="DK59" s="142">
        <f>20-20+10</f>
        <v>10</v>
      </c>
      <c r="DL59" s="142">
        <f>10-10+6</f>
        <v>6</v>
      </c>
      <c r="DM59" s="150"/>
      <c r="DN59" s="150"/>
      <c r="DO59" s="150"/>
      <c r="DP59" s="150"/>
      <c r="DQ59" s="150"/>
      <c r="DR59" s="150"/>
      <c r="DS59" s="150"/>
      <c r="DT59" s="150"/>
      <c r="DU59" s="150"/>
      <c r="DV59" s="150"/>
      <c r="DW59" s="150"/>
      <c r="DX59" s="150"/>
      <c r="DY59" s="150"/>
      <c r="DZ59" s="150"/>
      <c r="EA59" s="150"/>
      <c r="EB59" s="150"/>
      <c r="EC59" s="150"/>
      <c r="ED59" s="150"/>
      <c r="EE59" s="150"/>
      <c r="EF59" s="150"/>
      <c r="EG59" s="150"/>
      <c r="EH59" s="150"/>
      <c r="EI59" s="150"/>
      <c r="EJ59" s="150"/>
      <c r="EK59" s="150"/>
      <c r="EL59" s="142">
        <f>80-80+10</f>
        <v>10</v>
      </c>
      <c r="EM59" s="150"/>
      <c r="EN59" s="150"/>
      <c r="EO59" s="150"/>
      <c r="EP59" s="142">
        <f>30-30</f>
        <v>0</v>
      </c>
      <c r="EQ59" s="142">
        <f>20-20+15</f>
        <v>15</v>
      </c>
      <c r="ER59" s="150"/>
      <c r="ES59" s="150"/>
      <c r="ET59" s="150"/>
      <c r="EU59" s="150"/>
      <c r="EV59" s="142">
        <f>20-20</f>
        <v>0</v>
      </c>
      <c r="EW59" s="150"/>
      <c r="EX59" s="150"/>
      <c r="EY59" s="150"/>
      <c r="EZ59" s="142">
        <f>20-20</f>
        <v>0</v>
      </c>
      <c r="FA59" s="150"/>
      <c r="FB59" s="142">
        <f>20-20</f>
        <v>0</v>
      </c>
      <c r="FC59" s="150"/>
      <c r="FD59" s="142">
        <f>20-20</f>
        <v>0</v>
      </c>
      <c r="FE59" s="142">
        <f>20-20</f>
        <v>0</v>
      </c>
      <c r="FF59" s="142">
        <f>20-20+10</f>
        <v>10</v>
      </c>
      <c r="FG59" s="142">
        <f>20-20</f>
        <v>0</v>
      </c>
      <c r="FH59" s="150"/>
      <c r="FI59" s="142">
        <f>20-20+10</f>
        <v>10</v>
      </c>
      <c r="FJ59" s="142">
        <f>20-20</f>
        <v>0</v>
      </c>
      <c r="FK59" s="142">
        <f>20-20</f>
        <v>0</v>
      </c>
      <c r="FL59" s="150"/>
      <c r="FM59" s="146">
        <f>20-20+1</f>
        <v>1</v>
      </c>
      <c r="FN59" s="142">
        <f>20-20</f>
        <v>0</v>
      </c>
      <c r="FO59" s="150"/>
      <c r="FP59" s="142">
        <f>20-20+10</f>
        <v>10</v>
      </c>
      <c r="FQ59" s="150"/>
      <c r="FR59" s="150"/>
      <c r="FS59" s="150"/>
      <c r="FT59" s="150"/>
      <c r="FU59" s="150"/>
      <c r="FV59" s="150"/>
      <c r="FW59" s="150"/>
      <c r="FX59" s="150"/>
      <c r="FY59" s="150"/>
      <c r="FZ59" s="150"/>
      <c r="GA59" s="150"/>
      <c r="GB59" s="150"/>
      <c r="GC59" s="142">
        <f>80-80</f>
        <v>0</v>
      </c>
      <c r="GD59" s="142">
        <f>80-80</f>
        <v>0</v>
      </c>
      <c r="GE59" s="150"/>
      <c r="GF59" s="150"/>
      <c r="GG59" s="150"/>
      <c r="GH59" s="150"/>
      <c r="GI59" s="150"/>
      <c r="GJ59" s="150"/>
      <c r="GK59" s="150"/>
      <c r="GL59" s="150"/>
      <c r="GM59" s="150"/>
      <c r="GN59" s="150"/>
      <c r="GO59" s="150"/>
      <c r="GP59" s="150"/>
      <c r="GQ59" s="150"/>
      <c r="GR59" s="161"/>
      <c r="GS59" s="162"/>
      <c r="GT59" s="158" t="s">
        <v>522</v>
      </c>
      <c r="GU59" s="159" t="s">
        <v>591</v>
      </c>
      <c r="GV59" s="159" t="s">
        <v>817</v>
      </c>
      <c r="GW59" s="239">
        <f t="shared" si="11"/>
        <v>142</v>
      </c>
      <c r="GX59" s="145" t="s">
        <v>560</v>
      </c>
    </row>
    <row r="60" spans="1:207" s="136" customFormat="1">
      <c r="A60" s="139"/>
      <c r="B60" s="139" t="s">
        <v>517</v>
      </c>
      <c r="C60" s="139" t="s">
        <v>555</v>
      </c>
      <c r="D60" s="139" t="s">
        <v>632</v>
      </c>
      <c r="E60" s="246" t="s">
        <v>589</v>
      </c>
      <c r="F60" s="139" t="s">
        <v>520</v>
      </c>
      <c r="G60" s="139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46">
        <f>4</f>
        <v>4</v>
      </c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I60" s="150"/>
      <c r="BJ60" s="150"/>
      <c r="BK60" s="150"/>
      <c r="BL60" s="150"/>
      <c r="BM60" s="150"/>
      <c r="BN60" s="150"/>
      <c r="BO60" s="150"/>
      <c r="BP60" s="150"/>
      <c r="BQ60" s="150"/>
      <c r="BR60" s="150"/>
      <c r="BS60" s="150"/>
      <c r="BT60" s="150"/>
      <c r="BU60" s="150"/>
      <c r="BV60" s="150"/>
      <c r="BW60" s="150"/>
      <c r="BX60" s="150"/>
      <c r="BY60" s="150"/>
      <c r="BZ60" s="150"/>
      <c r="CA60" s="150"/>
      <c r="CB60" s="150"/>
      <c r="CC60" s="150"/>
      <c r="CD60" s="150"/>
      <c r="CE60" s="150"/>
      <c r="CF60" s="150"/>
      <c r="CG60" s="150"/>
      <c r="CH60" s="150"/>
      <c r="CI60" s="150"/>
      <c r="CJ60" s="150"/>
      <c r="CK60" s="150"/>
      <c r="CL60" s="150"/>
      <c r="CM60" s="150"/>
      <c r="CN60" s="150"/>
      <c r="CO60" s="150"/>
      <c r="CP60" s="150"/>
      <c r="CQ60" s="150"/>
      <c r="CR60" s="150"/>
      <c r="CS60" s="150"/>
      <c r="CT60" s="150"/>
      <c r="CU60" s="150"/>
      <c r="CV60" s="150"/>
      <c r="CW60" s="150"/>
      <c r="CX60" s="150"/>
      <c r="CY60" s="150"/>
      <c r="CZ60" s="150"/>
      <c r="DA60" s="150"/>
      <c r="DB60" s="150"/>
      <c r="DC60" s="150"/>
      <c r="DD60" s="150"/>
      <c r="DE60" s="150"/>
      <c r="DF60" s="150"/>
      <c r="DG60" s="150"/>
      <c r="DH60" s="150"/>
      <c r="DI60" s="150"/>
      <c r="DJ60" s="150"/>
      <c r="DK60" s="150"/>
      <c r="DL60" s="150"/>
      <c r="DM60" s="150"/>
      <c r="DN60" s="150"/>
      <c r="DO60" s="150"/>
      <c r="DP60" s="150"/>
      <c r="DQ60" s="150"/>
      <c r="DR60" s="150"/>
      <c r="DS60" s="150"/>
      <c r="DT60" s="150"/>
      <c r="DU60" s="150"/>
      <c r="DV60" s="150"/>
      <c r="DW60" s="150"/>
      <c r="DX60" s="150"/>
      <c r="DY60" s="150"/>
      <c r="DZ60" s="150"/>
      <c r="EA60" s="150"/>
      <c r="EB60" s="150"/>
      <c r="EC60" s="150"/>
      <c r="ED60" s="150"/>
      <c r="EE60" s="150"/>
      <c r="EF60" s="150"/>
      <c r="EG60" s="150"/>
      <c r="EH60" s="150"/>
      <c r="EI60" s="150"/>
      <c r="EJ60" s="150"/>
      <c r="EK60" s="150"/>
      <c r="EL60" s="150"/>
      <c r="EM60" s="150"/>
      <c r="EN60" s="150"/>
      <c r="EO60" s="150"/>
      <c r="EP60" s="150"/>
      <c r="EQ60" s="150"/>
      <c r="ER60" s="150"/>
      <c r="ES60" s="150"/>
      <c r="ET60" s="150"/>
      <c r="EU60" s="150"/>
      <c r="EV60" s="150"/>
      <c r="EW60" s="150"/>
      <c r="EX60" s="150"/>
      <c r="EY60" s="150"/>
      <c r="EZ60" s="150"/>
      <c r="FA60" s="150"/>
      <c r="FB60" s="150"/>
      <c r="FC60" s="150"/>
      <c r="FD60" s="150"/>
      <c r="FE60" s="150"/>
      <c r="FF60" s="150"/>
      <c r="FG60" s="150"/>
      <c r="FH60" s="150"/>
      <c r="FI60" s="150"/>
      <c r="FJ60" s="150"/>
      <c r="FK60" s="150"/>
      <c r="FL60" s="150"/>
      <c r="FM60" s="150"/>
      <c r="FN60" s="150"/>
      <c r="FO60" s="150"/>
      <c r="FP60" s="150"/>
      <c r="FQ60" s="150"/>
      <c r="FR60" s="150"/>
      <c r="FS60" s="150"/>
      <c r="FT60" s="150"/>
      <c r="FU60" s="150"/>
      <c r="FV60" s="150"/>
      <c r="FW60" s="150"/>
      <c r="FX60" s="150"/>
      <c r="FY60" s="150"/>
      <c r="FZ60" s="150"/>
      <c r="GA60" s="150"/>
      <c r="GB60" s="150"/>
      <c r="GC60" s="150"/>
      <c r="GD60" s="150"/>
      <c r="GE60" s="150"/>
      <c r="GF60" s="150"/>
      <c r="GG60" s="150"/>
      <c r="GH60" s="150"/>
      <c r="GI60" s="150"/>
      <c r="GJ60" s="150"/>
      <c r="GK60" s="150"/>
      <c r="GL60" s="150"/>
      <c r="GM60" s="150"/>
      <c r="GN60" s="150"/>
      <c r="GO60" s="150"/>
      <c r="GP60" s="150"/>
      <c r="GQ60" s="150"/>
      <c r="GR60" s="161"/>
      <c r="GS60" s="162"/>
      <c r="GT60" s="158" t="s">
        <v>522</v>
      </c>
      <c r="GU60" s="159" t="s">
        <v>591</v>
      </c>
      <c r="GV60" s="159" t="s">
        <v>817</v>
      </c>
      <c r="GW60" s="239">
        <f t="shared" si="11"/>
        <v>4</v>
      </c>
      <c r="GX60" s="145" t="s">
        <v>560</v>
      </c>
      <c r="GY60" s="136" t="s">
        <v>799</v>
      </c>
    </row>
    <row r="61" spans="1:207" s="136" customFormat="1">
      <c r="A61" s="139"/>
      <c r="B61" s="139" t="s">
        <v>525</v>
      </c>
      <c r="C61" s="139" t="s">
        <v>555</v>
      </c>
      <c r="D61" s="139" t="s">
        <v>636</v>
      </c>
      <c r="E61" s="244" t="s">
        <v>589</v>
      </c>
      <c r="F61" s="139" t="s">
        <v>520</v>
      </c>
      <c r="G61" s="139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I61" s="150"/>
      <c r="BJ61" s="150"/>
      <c r="BK61" s="150"/>
      <c r="BL61" s="150"/>
      <c r="BM61" s="150"/>
      <c r="BN61" s="150"/>
      <c r="BO61" s="150"/>
      <c r="BP61" s="150"/>
      <c r="BQ61" s="150"/>
      <c r="BR61" s="150"/>
      <c r="BS61" s="150"/>
      <c r="BT61" s="150"/>
      <c r="BU61" s="150"/>
      <c r="BV61" s="150"/>
      <c r="BW61" s="150"/>
      <c r="BX61" s="150"/>
      <c r="BY61" s="150"/>
      <c r="BZ61" s="150"/>
      <c r="CA61" s="150"/>
      <c r="CB61" s="150"/>
      <c r="CC61" s="150"/>
      <c r="CD61" s="150"/>
      <c r="CE61" s="150"/>
      <c r="CF61" s="150"/>
      <c r="CG61" s="150"/>
      <c r="CH61" s="150"/>
      <c r="CI61" s="150"/>
      <c r="CJ61" s="150"/>
      <c r="CK61" s="150"/>
      <c r="CL61" s="150"/>
      <c r="CM61" s="150"/>
      <c r="CN61" s="150"/>
      <c r="CO61" s="150"/>
      <c r="CP61" s="150"/>
      <c r="CQ61" s="150"/>
      <c r="CR61" s="150"/>
      <c r="CS61" s="150"/>
      <c r="CT61" s="150"/>
      <c r="CU61" s="150"/>
      <c r="CV61" s="150"/>
      <c r="CW61" s="150"/>
      <c r="CX61" s="150"/>
      <c r="CY61" s="150"/>
      <c r="CZ61" s="150"/>
      <c r="DA61" s="150"/>
      <c r="DB61" s="150"/>
      <c r="DC61" s="150"/>
      <c r="DD61" s="150"/>
      <c r="DE61" s="150"/>
      <c r="DF61" s="150"/>
      <c r="DG61" s="150"/>
      <c r="DH61" s="150"/>
      <c r="DI61" s="150"/>
      <c r="DJ61" s="150"/>
      <c r="DK61" s="150"/>
      <c r="DL61" s="150"/>
      <c r="DM61" s="150"/>
      <c r="DN61" s="150"/>
      <c r="DO61" s="150"/>
      <c r="DP61" s="150"/>
      <c r="DQ61" s="150"/>
      <c r="DR61" s="150"/>
      <c r="DS61" s="150"/>
      <c r="DT61" s="150"/>
      <c r="DU61" s="150"/>
      <c r="DV61" s="150"/>
      <c r="DW61" s="150"/>
      <c r="DX61" s="150"/>
      <c r="DY61" s="150"/>
      <c r="DZ61" s="150"/>
      <c r="EA61" s="150"/>
      <c r="EB61" s="150"/>
      <c r="EC61" s="150"/>
      <c r="ED61" s="150"/>
      <c r="EE61" s="150"/>
      <c r="EF61" s="150"/>
      <c r="EG61" s="150"/>
      <c r="EH61" s="150"/>
      <c r="EI61" s="150"/>
      <c r="EJ61" s="150"/>
      <c r="EK61" s="150"/>
      <c r="EL61" s="150"/>
      <c r="EM61" s="150"/>
      <c r="EN61" s="150"/>
      <c r="EO61" s="150"/>
      <c r="EP61" s="150"/>
      <c r="EQ61" s="150"/>
      <c r="ER61" s="150"/>
      <c r="ES61" s="150"/>
      <c r="ET61" s="150"/>
      <c r="EU61" s="150"/>
      <c r="EV61" s="150"/>
      <c r="EW61" s="150"/>
      <c r="EX61" s="150"/>
      <c r="EY61" s="150"/>
      <c r="EZ61" s="150"/>
      <c r="FA61" s="150"/>
      <c r="FB61" s="150"/>
      <c r="FC61" s="150"/>
      <c r="FD61" s="150"/>
      <c r="FE61" s="150"/>
      <c r="FF61" s="150"/>
      <c r="FG61" s="150"/>
      <c r="FH61" s="150"/>
      <c r="FI61" s="150"/>
      <c r="FJ61" s="150"/>
      <c r="FK61" s="150"/>
      <c r="FL61" s="150"/>
      <c r="FM61" s="150"/>
      <c r="FN61" s="150"/>
      <c r="FO61" s="202">
        <v>10</v>
      </c>
      <c r="FP61" s="150"/>
      <c r="FQ61" s="150"/>
      <c r="FR61" s="150"/>
      <c r="FS61" s="150"/>
      <c r="FT61" s="150"/>
      <c r="FU61" s="150"/>
      <c r="FV61" s="150"/>
      <c r="FW61" s="150"/>
      <c r="FX61" s="150"/>
      <c r="FY61" s="150"/>
      <c r="FZ61" s="150"/>
      <c r="GA61" s="150"/>
      <c r="GB61" s="150"/>
      <c r="GC61" s="150"/>
      <c r="GD61" s="150"/>
      <c r="GE61" s="150"/>
      <c r="GF61" s="150"/>
      <c r="GG61" s="150"/>
      <c r="GH61" s="150"/>
      <c r="GI61" s="150"/>
      <c r="GJ61" s="150"/>
      <c r="GK61" s="150"/>
      <c r="GL61" s="150"/>
      <c r="GM61" s="150"/>
      <c r="GN61" s="150"/>
      <c r="GO61" s="150"/>
      <c r="GP61" s="150"/>
      <c r="GQ61" s="150"/>
      <c r="GR61" s="161"/>
      <c r="GS61" s="162"/>
      <c r="GT61" s="158" t="s">
        <v>522</v>
      </c>
      <c r="GU61" s="159" t="s">
        <v>591</v>
      </c>
      <c r="GV61" s="159" t="s">
        <v>817</v>
      </c>
      <c r="GW61" s="239">
        <f t="shared" si="11"/>
        <v>10</v>
      </c>
      <c r="GX61" s="145" t="s">
        <v>560</v>
      </c>
      <c r="GY61" s="136" t="s">
        <v>799</v>
      </c>
    </row>
    <row r="62" spans="1:207" s="136" customFormat="1">
      <c r="A62" s="139"/>
      <c r="B62" s="139" t="s">
        <v>525</v>
      </c>
      <c r="C62" s="139" t="s">
        <v>555</v>
      </c>
      <c r="D62" s="139" t="s">
        <v>4</v>
      </c>
      <c r="E62" s="244" t="s">
        <v>589</v>
      </c>
      <c r="F62" s="139" t="s">
        <v>520</v>
      </c>
      <c r="G62" s="139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I62" s="150"/>
      <c r="BJ62" s="150"/>
      <c r="BK62" s="150"/>
      <c r="BL62" s="150"/>
      <c r="BM62" s="150"/>
      <c r="BN62" s="150"/>
      <c r="BO62" s="150"/>
      <c r="BP62" s="150"/>
      <c r="BQ62" s="150"/>
      <c r="BR62" s="150"/>
      <c r="BS62" s="150"/>
      <c r="BT62" s="150"/>
      <c r="BU62" s="150"/>
      <c r="BV62" s="150"/>
      <c r="BW62" s="150"/>
      <c r="BX62" s="150"/>
      <c r="BY62" s="150"/>
      <c r="BZ62" s="150"/>
      <c r="CA62" s="150"/>
      <c r="CB62" s="150"/>
      <c r="CC62" s="150"/>
      <c r="CD62" s="150"/>
      <c r="CE62" s="150"/>
      <c r="CF62" s="150"/>
      <c r="CG62" s="150"/>
      <c r="CH62" s="150"/>
      <c r="CI62" s="150"/>
      <c r="CJ62" s="150"/>
      <c r="CK62" s="150"/>
      <c r="CL62" s="150"/>
      <c r="CM62" s="150"/>
      <c r="CN62" s="150"/>
      <c r="CO62" s="150"/>
      <c r="CP62" s="150"/>
      <c r="CQ62" s="150"/>
      <c r="CR62" s="150"/>
      <c r="CS62" s="150"/>
      <c r="CT62" s="150"/>
      <c r="CU62" s="150"/>
      <c r="CV62" s="150"/>
      <c r="CW62" s="150"/>
      <c r="CX62" s="150"/>
      <c r="CY62" s="150"/>
      <c r="CZ62" s="150"/>
      <c r="DA62" s="150"/>
      <c r="DB62" s="150"/>
      <c r="DC62" s="150"/>
      <c r="DD62" s="150"/>
      <c r="DE62" s="150"/>
      <c r="DF62" s="150"/>
      <c r="DG62" s="150"/>
      <c r="DH62" s="150"/>
      <c r="DI62" s="150"/>
      <c r="DJ62" s="150"/>
      <c r="DK62" s="150"/>
      <c r="DL62" s="150"/>
      <c r="DM62" s="150"/>
      <c r="DN62" s="150"/>
      <c r="DO62" s="150"/>
      <c r="DP62" s="150"/>
      <c r="DQ62" s="150"/>
      <c r="DR62" s="150"/>
      <c r="DS62" s="150"/>
      <c r="DT62" s="150"/>
      <c r="DU62" s="150"/>
      <c r="DV62" s="150"/>
      <c r="DW62" s="150"/>
      <c r="DX62" s="150"/>
      <c r="DY62" s="150"/>
      <c r="DZ62" s="150"/>
      <c r="EA62" s="150"/>
      <c r="EB62" s="150"/>
      <c r="EC62" s="150"/>
      <c r="ED62" s="150"/>
      <c r="EE62" s="150"/>
      <c r="EF62" s="150"/>
      <c r="EG62" s="150"/>
      <c r="EH62" s="150"/>
      <c r="EI62" s="150"/>
      <c r="EJ62" s="150"/>
      <c r="EK62" s="150"/>
      <c r="EL62" s="150"/>
      <c r="EM62" s="150"/>
      <c r="EN62" s="150"/>
      <c r="EO62" s="150"/>
      <c r="EP62" s="150"/>
      <c r="EQ62" s="150"/>
      <c r="ER62" s="150"/>
      <c r="ES62" s="150"/>
      <c r="ET62" s="150"/>
      <c r="EU62" s="150"/>
      <c r="EV62" s="150"/>
      <c r="EW62" s="142">
        <f>20-20</f>
        <v>0</v>
      </c>
      <c r="EX62" s="142">
        <f>20-20</f>
        <v>0</v>
      </c>
      <c r="EY62" s="150"/>
      <c r="EZ62" s="142">
        <f>20-20</f>
        <v>0</v>
      </c>
      <c r="FA62" s="142">
        <f>20-20</f>
        <v>0</v>
      </c>
      <c r="FB62" s="142">
        <f>20-20</f>
        <v>0</v>
      </c>
      <c r="FC62" s="150"/>
      <c r="FD62" s="142">
        <f>20-20</f>
        <v>0</v>
      </c>
      <c r="FE62" s="150"/>
      <c r="FF62" s="150"/>
      <c r="FG62" s="150"/>
      <c r="FH62" s="150"/>
      <c r="FI62" s="150"/>
      <c r="FJ62" s="150"/>
      <c r="FK62" s="150"/>
      <c r="FL62" s="150"/>
      <c r="FM62" s="150"/>
      <c r="FN62" s="142">
        <f>20-20</f>
        <v>0</v>
      </c>
      <c r="FO62" s="142">
        <f>20-20</f>
        <v>0</v>
      </c>
      <c r="FP62" s="142">
        <f>40-40+10</f>
        <v>10</v>
      </c>
      <c r="FQ62" s="142">
        <f>20-20</f>
        <v>0</v>
      </c>
      <c r="FR62" s="146">
        <f>20-20+8</f>
        <v>8</v>
      </c>
      <c r="FS62" s="150"/>
      <c r="FT62" s="142">
        <f>40-40+40</f>
        <v>40</v>
      </c>
      <c r="FU62" s="142">
        <f>20-20</f>
        <v>0</v>
      </c>
      <c r="FV62" s="150"/>
      <c r="FW62" s="150"/>
      <c r="FX62" s="150"/>
      <c r="FY62" s="150"/>
      <c r="FZ62" s="142">
        <f>30-30</f>
        <v>0</v>
      </c>
      <c r="GA62" s="150"/>
      <c r="GB62" s="150"/>
      <c r="GC62" s="142">
        <f>100-100</f>
        <v>0</v>
      </c>
      <c r="GD62" s="142">
        <f>100-100</f>
        <v>0</v>
      </c>
      <c r="GE62" s="150"/>
      <c r="GF62" s="150"/>
      <c r="GG62" s="150"/>
      <c r="GH62" s="150"/>
      <c r="GI62" s="150"/>
      <c r="GJ62" s="150"/>
      <c r="GK62" s="150"/>
      <c r="GL62" s="150"/>
      <c r="GM62" s="150"/>
      <c r="GN62" s="150"/>
      <c r="GO62" s="150"/>
      <c r="GP62" s="150"/>
      <c r="GQ62" s="150"/>
      <c r="GR62" s="161"/>
      <c r="GS62" s="162"/>
      <c r="GT62" s="158" t="s">
        <v>522</v>
      </c>
      <c r="GU62" s="159" t="s">
        <v>591</v>
      </c>
      <c r="GV62" s="159" t="s">
        <v>817</v>
      </c>
      <c r="GW62" s="239">
        <f t="shared" si="11"/>
        <v>58</v>
      </c>
      <c r="GX62" s="145" t="s">
        <v>560</v>
      </c>
    </row>
    <row r="63" spans="1:207" s="136" customFormat="1">
      <c r="A63" s="139"/>
      <c r="B63" s="139" t="s">
        <v>525</v>
      </c>
      <c r="C63" s="139" t="s">
        <v>555</v>
      </c>
      <c r="D63" s="139" t="s">
        <v>632</v>
      </c>
      <c r="E63" s="244" t="s">
        <v>589</v>
      </c>
      <c r="F63" s="139" t="s">
        <v>520</v>
      </c>
      <c r="G63" s="139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  <c r="BI63" s="150"/>
      <c r="BJ63" s="150"/>
      <c r="BK63" s="150"/>
      <c r="BL63" s="150"/>
      <c r="BM63" s="150"/>
      <c r="BN63" s="150"/>
      <c r="BO63" s="150"/>
      <c r="BP63" s="150"/>
      <c r="BQ63" s="150"/>
      <c r="BR63" s="150"/>
      <c r="BS63" s="150"/>
      <c r="BT63" s="150"/>
      <c r="BU63" s="150"/>
      <c r="BV63" s="150"/>
      <c r="BW63" s="150"/>
      <c r="BX63" s="150"/>
      <c r="BY63" s="150"/>
      <c r="BZ63" s="150"/>
      <c r="CA63" s="150"/>
      <c r="CB63" s="150"/>
      <c r="CC63" s="150"/>
      <c r="CD63" s="150"/>
      <c r="CE63" s="150"/>
      <c r="CF63" s="150"/>
      <c r="CG63" s="150"/>
      <c r="CH63" s="150"/>
      <c r="CI63" s="150"/>
      <c r="CJ63" s="150"/>
      <c r="CK63" s="150"/>
      <c r="CL63" s="150"/>
      <c r="CM63" s="150"/>
      <c r="CN63" s="150"/>
      <c r="CO63" s="150"/>
      <c r="CP63" s="150"/>
      <c r="CQ63" s="150"/>
      <c r="CR63" s="150"/>
      <c r="CS63" s="150"/>
      <c r="CT63" s="150"/>
      <c r="CU63" s="150"/>
      <c r="CV63" s="150"/>
      <c r="CW63" s="150"/>
      <c r="CX63" s="150"/>
      <c r="CY63" s="150"/>
      <c r="CZ63" s="150"/>
      <c r="DA63" s="150"/>
      <c r="DB63" s="150"/>
      <c r="DC63" s="150"/>
      <c r="DD63" s="150"/>
      <c r="DE63" s="150"/>
      <c r="DF63" s="150"/>
      <c r="DG63" s="150"/>
      <c r="DH63" s="150"/>
      <c r="DI63" s="150"/>
      <c r="DJ63" s="150"/>
      <c r="DK63" s="150"/>
      <c r="DL63" s="150"/>
      <c r="DM63" s="150"/>
      <c r="DN63" s="150"/>
      <c r="DO63" s="150"/>
      <c r="DP63" s="150"/>
      <c r="DQ63" s="150"/>
      <c r="DR63" s="150"/>
      <c r="DS63" s="150"/>
      <c r="DT63" s="150"/>
      <c r="DU63" s="150"/>
      <c r="DV63" s="150"/>
      <c r="DW63" s="150"/>
      <c r="DX63" s="150"/>
      <c r="DY63" s="150"/>
      <c r="DZ63" s="150"/>
      <c r="EA63" s="150"/>
      <c r="EB63" s="150"/>
      <c r="EC63" s="150"/>
      <c r="ED63" s="150"/>
      <c r="EE63" s="150"/>
      <c r="EF63" s="150"/>
      <c r="EG63" s="150"/>
      <c r="EH63" s="150"/>
      <c r="EI63" s="150"/>
      <c r="EJ63" s="150"/>
      <c r="EK63" s="150"/>
      <c r="EL63" s="150"/>
      <c r="EM63" s="150"/>
      <c r="EN63" s="150"/>
      <c r="EO63" s="150"/>
      <c r="EP63" s="150"/>
      <c r="EQ63" s="150"/>
      <c r="ER63" s="150"/>
      <c r="ES63" s="150"/>
      <c r="ET63" s="150"/>
      <c r="EU63" s="150"/>
      <c r="EV63" s="150"/>
      <c r="EW63" s="150"/>
      <c r="EX63" s="150"/>
      <c r="EY63" s="150"/>
      <c r="EZ63" s="150"/>
      <c r="FA63" s="150"/>
      <c r="FB63" s="150"/>
      <c r="FC63" s="150"/>
      <c r="FD63" s="150"/>
      <c r="FE63" s="150"/>
      <c r="FF63" s="150"/>
      <c r="FG63" s="150"/>
      <c r="FH63" s="150"/>
      <c r="FI63" s="150"/>
      <c r="FJ63" s="150"/>
      <c r="FK63" s="150"/>
      <c r="FL63" s="150"/>
      <c r="FM63" s="150"/>
      <c r="FN63" s="150"/>
      <c r="FO63" s="150"/>
      <c r="FP63" s="150"/>
      <c r="FQ63" s="150"/>
      <c r="FR63" s="150"/>
      <c r="FS63" s="150"/>
      <c r="FT63" s="150"/>
      <c r="FU63" s="150"/>
      <c r="FV63" s="150"/>
      <c r="FW63" s="150"/>
      <c r="FX63" s="150"/>
      <c r="FY63" s="150"/>
      <c r="FZ63" s="150"/>
      <c r="GA63" s="150"/>
      <c r="GB63" s="150"/>
      <c r="GC63" s="150"/>
      <c r="GD63" s="150"/>
      <c r="GE63" s="150"/>
      <c r="GF63" s="150"/>
      <c r="GG63" s="150"/>
      <c r="GH63" s="150"/>
      <c r="GI63" s="150"/>
      <c r="GJ63" s="150"/>
      <c r="GK63" s="150"/>
      <c r="GL63" s="150"/>
      <c r="GM63" s="150"/>
      <c r="GN63" s="150"/>
      <c r="GO63" s="150"/>
      <c r="GP63" s="150"/>
      <c r="GQ63" s="150"/>
      <c r="GR63" s="161"/>
      <c r="GS63" s="162"/>
      <c r="GT63" s="158" t="s">
        <v>522</v>
      </c>
      <c r="GU63" s="159" t="s">
        <v>591</v>
      </c>
      <c r="GV63" s="159" t="s">
        <v>817</v>
      </c>
      <c r="GW63" s="239">
        <f t="shared" si="11"/>
        <v>0</v>
      </c>
      <c r="GX63" s="145" t="s">
        <v>560</v>
      </c>
      <c r="GY63" s="136" t="s">
        <v>799</v>
      </c>
    </row>
    <row r="64" spans="1:207" s="136" customFormat="1">
      <c r="A64" s="139"/>
      <c r="B64" s="139" t="s">
        <v>517</v>
      </c>
      <c r="C64" s="139" t="s">
        <v>555</v>
      </c>
      <c r="D64" s="139" t="s">
        <v>8</v>
      </c>
      <c r="E64" s="246" t="s">
        <v>594</v>
      </c>
      <c r="F64" s="139" t="s">
        <v>520</v>
      </c>
      <c r="G64" s="139" t="s">
        <v>818</v>
      </c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  <c r="BJ64" s="150"/>
      <c r="BK64" s="150"/>
      <c r="BL64" s="150"/>
      <c r="BM64" s="150"/>
      <c r="BN64" s="150"/>
      <c r="BO64" s="150"/>
      <c r="BP64" s="150"/>
      <c r="BQ64" s="150"/>
      <c r="BR64" s="150"/>
      <c r="BS64" s="150"/>
      <c r="BT64" s="150"/>
      <c r="BU64" s="150"/>
      <c r="BV64" s="150"/>
      <c r="BW64" s="150"/>
      <c r="BX64" s="150"/>
      <c r="BY64" s="150"/>
      <c r="BZ64" s="150"/>
      <c r="CA64" s="150"/>
      <c r="CB64" s="150"/>
      <c r="CC64" s="150"/>
      <c r="CD64" s="150"/>
      <c r="CE64" s="150"/>
      <c r="CF64" s="150"/>
      <c r="CG64" s="150"/>
      <c r="CH64" s="150"/>
      <c r="CI64" s="150"/>
      <c r="CJ64" s="150"/>
      <c r="CK64" s="150"/>
      <c r="CL64" s="150"/>
      <c r="CM64" s="150"/>
      <c r="CN64" s="150"/>
      <c r="CO64" s="150"/>
      <c r="CP64" s="150"/>
      <c r="CQ64" s="150"/>
      <c r="CR64" s="150"/>
      <c r="CS64" s="150"/>
      <c r="CT64" s="150"/>
      <c r="CU64" s="150"/>
      <c r="CV64" s="150"/>
      <c r="CW64" s="150"/>
      <c r="CX64" s="150"/>
      <c r="CY64" s="150"/>
      <c r="CZ64" s="150"/>
      <c r="DA64" s="150"/>
      <c r="DB64" s="150"/>
      <c r="DC64" s="150"/>
      <c r="DD64" s="150"/>
      <c r="DE64" s="150"/>
      <c r="DF64" s="150"/>
      <c r="DG64" s="150"/>
      <c r="DH64" s="150"/>
      <c r="DI64" s="150"/>
      <c r="DJ64" s="150"/>
      <c r="DK64" s="150"/>
      <c r="DL64" s="150"/>
      <c r="DM64" s="150"/>
      <c r="DN64" s="150"/>
      <c r="DO64" s="150"/>
      <c r="DP64" s="150"/>
      <c r="DQ64" s="150"/>
      <c r="DR64" s="150"/>
      <c r="DS64" s="150"/>
      <c r="DT64" s="150"/>
      <c r="DU64" s="150"/>
      <c r="DV64" s="150"/>
      <c r="DW64" s="150"/>
      <c r="DX64" s="150"/>
      <c r="DY64" s="150"/>
      <c r="DZ64" s="150"/>
      <c r="EA64" s="150"/>
      <c r="EB64" s="150"/>
      <c r="EC64" s="150"/>
      <c r="ED64" s="150"/>
      <c r="EE64" s="142">
        <f>30-30</f>
        <v>0</v>
      </c>
      <c r="EF64" s="150"/>
      <c r="EG64" s="150"/>
      <c r="EH64" s="150"/>
      <c r="EI64" s="150"/>
      <c r="EJ64" s="150"/>
      <c r="EK64" s="150"/>
      <c r="EL64" s="150"/>
      <c r="EM64" s="150"/>
      <c r="EN64" s="150"/>
      <c r="EO64" s="150"/>
      <c r="EP64" s="150"/>
      <c r="EQ64" s="150"/>
      <c r="ER64" s="150"/>
      <c r="ES64" s="150"/>
      <c r="ET64" s="150"/>
      <c r="EU64" s="150"/>
      <c r="EV64" s="142">
        <f>50-50</f>
        <v>0</v>
      </c>
      <c r="EW64" s="150"/>
      <c r="EX64" s="150"/>
      <c r="EY64" s="150"/>
      <c r="EZ64" s="142">
        <f>50-50</f>
        <v>0</v>
      </c>
      <c r="FA64" s="150"/>
      <c r="FB64" s="150"/>
      <c r="FC64" s="150"/>
      <c r="FD64" s="150"/>
      <c r="FE64" s="150"/>
      <c r="FF64" s="150"/>
      <c r="FG64" s="150"/>
      <c r="FH64" s="150"/>
      <c r="FI64" s="150"/>
      <c r="FJ64" s="150"/>
      <c r="FK64" s="150"/>
      <c r="FL64" s="150"/>
      <c r="FM64" s="150"/>
      <c r="FN64" s="150"/>
      <c r="FO64" s="150"/>
      <c r="FP64" s="150"/>
      <c r="FQ64" s="150"/>
      <c r="FR64" s="150"/>
      <c r="FS64" s="150"/>
      <c r="FT64" s="150"/>
      <c r="FU64" s="150"/>
      <c r="FV64" s="150"/>
      <c r="FW64" s="150"/>
      <c r="FX64" s="150"/>
      <c r="FY64" s="150"/>
      <c r="FZ64" s="150"/>
      <c r="GA64" s="150"/>
      <c r="GB64" s="150"/>
      <c r="GC64" s="150"/>
      <c r="GD64" s="150"/>
      <c r="GE64" s="150"/>
      <c r="GF64" s="150"/>
      <c r="GG64" s="150"/>
      <c r="GH64" s="150"/>
      <c r="GI64" s="150"/>
      <c r="GJ64" s="150"/>
      <c r="GK64" s="150"/>
      <c r="GL64" s="150"/>
      <c r="GM64" s="150"/>
      <c r="GN64" s="150"/>
      <c r="GO64" s="150"/>
      <c r="GP64" s="150"/>
      <c r="GQ64" s="150"/>
      <c r="GR64" s="161"/>
      <c r="GS64" s="162"/>
      <c r="GT64" s="158"/>
      <c r="GU64" s="159" t="s">
        <v>819</v>
      </c>
      <c r="GV64" s="159" t="s">
        <v>712</v>
      </c>
      <c r="GW64" s="239">
        <f t="shared" si="11"/>
        <v>0</v>
      </c>
      <c r="GX64" s="136" t="s">
        <v>573</v>
      </c>
    </row>
    <row r="65" spans="1:207" s="136" customFormat="1">
      <c r="A65" s="139"/>
      <c r="B65" s="139" t="s">
        <v>517</v>
      </c>
      <c r="C65" s="139" t="s">
        <v>555</v>
      </c>
      <c r="D65" s="139" t="s">
        <v>4</v>
      </c>
      <c r="E65" s="246" t="s">
        <v>594</v>
      </c>
      <c r="F65" s="139" t="s">
        <v>520</v>
      </c>
      <c r="G65" s="139" t="s">
        <v>818</v>
      </c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42">
        <f>10-10+5</f>
        <v>5</v>
      </c>
      <c r="AZ65" s="142">
        <f>10-10</f>
        <v>0</v>
      </c>
      <c r="BA65" s="142">
        <f>10-10+5</f>
        <v>5</v>
      </c>
      <c r="BB65" s="150"/>
      <c r="BC65" s="142">
        <f>10-10+2</f>
        <v>2</v>
      </c>
      <c r="BD65" s="150"/>
      <c r="BE65" s="150"/>
      <c r="BF65" s="150"/>
      <c r="BG65" s="150"/>
      <c r="BH65" s="150"/>
      <c r="BI65" s="150"/>
      <c r="BJ65" s="150"/>
      <c r="BK65" s="150"/>
      <c r="BL65" s="150"/>
      <c r="BM65" s="150"/>
      <c r="BN65" s="142">
        <f>30-30</f>
        <v>0</v>
      </c>
      <c r="BO65" s="142">
        <f>30-30+5</f>
        <v>5</v>
      </c>
      <c r="BP65" s="142">
        <f>30-30+5</f>
        <v>5</v>
      </c>
      <c r="BQ65" s="142">
        <f>30-30+2</f>
        <v>2</v>
      </c>
      <c r="BR65" s="150"/>
      <c r="BS65" s="150"/>
      <c r="BT65" s="150"/>
      <c r="BU65" s="150"/>
      <c r="BV65" s="150"/>
      <c r="BW65" s="150"/>
      <c r="BX65" s="150"/>
      <c r="BY65" s="150"/>
      <c r="BZ65" s="150"/>
      <c r="CA65" s="150"/>
      <c r="CB65" s="142">
        <f>30-30+1</f>
        <v>1</v>
      </c>
      <c r="CC65" s="142">
        <f>30-30+1</f>
        <v>1</v>
      </c>
      <c r="CD65" s="142">
        <f>30-30</f>
        <v>0</v>
      </c>
      <c r="CE65" s="142">
        <f>30-30</f>
        <v>0</v>
      </c>
      <c r="CF65" s="150"/>
      <c r="CG65" s="142">
        <f>30-30+5</f>
        <v>5</v>
      </c>
      <c r="CH65" s="142">
        <f>30-30+1</f>
        <v>1</v>
      </c>
      <c r="CI65" s="142">
        <f>30-30</f>
        <v>0</v>
      </c>
      <c r="CJ65" s="142">
        <f>30-30</f>
        <v>0</v>
      </c>
      <c r="CK65" s="150"/>
      <c r="CL65" s="150"/>
      <c r="CM65" s="142">
        <f>30-30</f>
        <v>0</v>
      </c>
      <c r="CN65" s="142">
        <f>30-30+2</f>
        <v>2</v>
      </c>
      <c r="CO65" s="142">
        <f>30-30+1</f>
        <v>1</v>
      </c>
      <c r="CP65" s="142">
        <f>30-30</f>
        <v>0</v>
      </c>
      <c r="CQ65" s="150"/>
      <c r="CR65" s="142">
        <f>30-30+2</f>
        <v>2</v>
      </c>
      <c r="CS65" s="142">
        <f>30-30+2</f>
        <v>2</v>
      </c>
      <c r="CT65" s="150"/>
      <c r="CU65" s="142">
        <f>30-30</f>
        <v>0</v>
      </c>
      <c r="CV65" s="150"/>
      <c r="CW65" s="150"/>
      <c r="CX65" s="142">
        <f>30-30</f>
        <v>0</v>
      </c>
      <c r="CY65" s="150"/>
      <c r="CZ65" s="142">
        <f>30-30+10</f>
        <v>10</v>
      </c>
      <c r="DA65" s="142">
        <f>30-30+10</f>
        <v>10</v>
      </c>
      <c r="DB65" s="142">
        <f>30-30</f>
        <v>0</v>
      </c>
      <c r="DC65" s="142">
        <f>30-30+20</f>
        <v>20</v>
      </c>
      <c r="DD65" s="150"/>
      <c r="DE65" s="150"/>
      <c r="DF65" s="150"/>
      <c r="DG65" s="150"/>
      <c r="DH65" s="150"/>
      <c r="DI65" s="150"/>
      <c r="DJ65" s="142">
        <f>30-30+5</f>
        <v>5</v>
      </c>
      <c r="DK65" s="142">
        <f>30-30+10</f>
        <v>10</v>
      </c>
      <c r="DL65" s="202">
        <v>2</v>
      </c>
      <c r="DM65" s="142">
        <f>30-30+10</f>
        <v>10</v>
      </c>
      <c r="DN65" s="150"/>
      <c r="DO65" s="150"/>
      <c r="DP65" s="150"/>
      <c r="DQ65" s="150"/>
      <c r="DR65" s="150"/>
      <c r="DS65" s="150"/>
      <c r="DT65" s="150"/>
      <c r="DU65" s="150"/>
      <c r="DV65" s="150"/>
      <c r="DW65" s="150"/>
      <c r="DX65" s="150"/>
      <c r="DY65" s="150"/>
      <c r="DZ65" s="150"/>
      <c r="EA65" s="150"/>
      <c r="EB65" s="150"/>
      <c r="EC65" s="150"/>
      <c r="ED65" s="150"/>
      <c r="EE65" s="146">
        <f>30</f>
        <v>30</v>
      </c>
      <c r="EF65" s="150"/>
      <c r="EG65" s="150"/>
      <c r="EH65" s="150"/>
      <c r="EI65" s="150"/>
      <c r="EJ65" s="150"/>
      <c r="EK65" s="150"/>
      <c r="EL65" s="142">
        <f>50-50+5</f>
        <v>5</v>
      </c>
      <c r="EM65" s="150"/>
      <c r="EN65" s="150"/>
      <c r="EO65" s="142">
        <f>50-50+10</f>
        <v>10</v>
      </c>
      <c r="EP65" s="150"/>
      <c r="EQ65" s="150"/>
      <c r="ER65" s="150"/>
      <c r="ES65" s="142">
        <f>50-50</f>
        <v>0</v>
      </c>
      <c r="ET65" s="150"/>
      <c r="EU65" s="142">
        <f>50-50</f>
        <v>0</v>
      </c>
      <c r="EV65" s="150"/>
      <c r="EW65" s="142">
        <f>50-50</f>
        <v>0</v>
      </c>
      <c r="EX65" s="142">
        <f>50-50</f>
        <v>0</v>
      </c>
      <c r="EY65" s="150"/>
      <c r="EZ65" s="150"/>
      <c r="FA65" s="150"/>
      <c r="FB65" s="142">
        <f>50-50</f>
        <v>0</v>
      </c>
      <c r="FC65" s="150"/>
      <c r="FD65" s="142">
        <f>50-50</f>
        <v>0</v>
      </c>
      <c r="FE65" s="142">
        <f>50-50</f>
        <v>0</v>
      </c>
      <c r="FF65" s="142">
        <f>50-50+10</f>
        <v>10</v>
      </c>
      <c r="FG65" s="142">
        <f>50-50</f>
        <v>0</v>
      </c>
      <c r="FH65" s="150"/>
      <c r="FI65" s="142">
        <f>50-50+10</f>
        <v>10</v>
      </c>
      <c r="FJ65" s="142">
        <f>50-50</f>
        <v>0</v>
      </c>
      <c r="FK65" s="150"/>
      <c r="FL65" s="150"/>
      <c r="FM65" s="150"/>
      <c r="FN65" s="150"/>
      <c r="FO65" s="150"/>
      <c r="FP65" s="150"/>
      <c r="FQ65" s="150"/>
      <c r="FR65" s="150"/>
      <c r="FS65" s="150"/>
      <c r="FT65" s="150"/>
      <c r="FU65" s="150"/>
      <c r="FV65" s="150"/>
      <c r="FW65" s="150"/>
      <c r="FX65" s="150"/>
      <c r="FY65" s="150"/>
      <c r="FZ65" s="150"/>
      <c r="GA65" s="150"/>
      <c r="GB65" s="150"/>
      <c r="GC65" s="150"/>
      <c r="GD65" s="150"/>
      <c r="GE65" s="150"/>
      <c r="GF65" s="150"/>
      <c r="GG65" s="150"/>
      <c r="GH65" s="150"/>
      <c r="GI65" s="150"/>
      <c r="GJ65" s="150"/>
      <c r="GK65" s="150"/>
      <c r="GL65" s="150"/>
      <c r="GM65" s="150"/>
      <c r="GN65" s="150"/>
      <c r="GO65" s="150"/>
      <c r="GP65" s="150"/>
      <c r="GQ65" s="150"/>
      <c r="GR65" s="161"/>
      <c r="GS65" s="162"/>
      <c r="GT65" s="158"/>
      <c r="GU65" s="159" t="s">
        <v>819</v>
      </c>
      <c r="GV65" s="159" t="s">
        <v>712</v>
      </c>
      <c r="GW65" s="239">
        <f t="shared" si="11"/>
        <v>171</v>
      </c>
      <c r="GX65" s="136" t="s">
        <v>573</v>
      </c>
    </row>
    <row r="66" spans="1:207" s="136" customFormat="1">
      <c r="A66" s="139"/>
      <c r="B66" s="139" t="s">
        <v>517</v>
      </c>
      <c r="C66" s="139" t="s">
        <v>555</v>
      </c>
      <c r="D66" s="139" t="s">
        <v>3</v>
      </c>
      <c r="E66" s="246" t="s">
        <v>594</v>
      </c>
      <c r="F66" s="139" t="s">
        <v>520</v>
      </c>
      <c r="G66" s="139" t="s">
        <v>820</v>
      </c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  <c r="CT66" s="142">
        <f>30-30</f>
        <v>0</v>
      </c>
      <c r="CU66" s="150"/>
      <c r="CV66" s="150"/>
      <c r="CW66" s="150"/>
      <c r="CX66" s="150"/>
      <c r="CY66" s="150"/>
      <c r="CZ66" s="150"/>
      <c r="DA66" s="150"/>
      <c r="DB66" s="150"/>
      <c r="DC66" s="150"/>
      <c r="DD66" s="150"/>
      <c r="DE66" s="150"/>
      <c r="DF66" s="150"/>
      <c r="DG66" s="150"/>
      <c r="DH66" s="150"/>
      <c r="DI66" s="150"/>
      <c r="DJ66" s="150"/>
      <c r="DK66" s="150"/>
      <c r="DL66" s="142">
        <f>30-30</f>
        <v>0</v>
      </c>
      <c r="DM66" s="150"/>
      <c r="DN66" s="150"/>
      <c r="DO66" s="150"/>
      <c r="DP66" s="150"/>
      <c r="DQ66" s="150"/>
      <c r="DR66" s="150"/>
      <c r="DS66" s="150"/>
      <c r="DT66" s="150"/>
      <c r="DU66" s="150"/>
      <c r="DV66" s="150"/>
      <c r="DW66" s="150"/>
      <c r="DX66" s="150"/>
      <c r="DY66" s="150"/>
      <c r="DZ66" s="150"/>
      <c r="EA66" s="150"/>
      <c r="EB66" s="150"/>
      <c r="EC66" s="150"/>
      <c r="ED66" s="150"/>
      <c r="EE66" s="150"/>
      <c r="EF66" s="150"/>
      <c r="EG66" s="150"/>
      <c r="EH66" s="150"/>
      <c r="EI66" s="150"/>
      <c r="EJ66" s="150"/>
      <c r="EK66" s="150"/>
      <c r="EL66" s="150"/>
      <c r="EM66" s="150"/>
      <c r="EN66" s="150"/>
      <c r="EO66" s="150"/>
      <c r="EP66" s="150"/>
      <c r="EQ66" s="150"/>
      <c r="ER66" s="150"/>
      <c r="ES66" s="150"/>
      <c r="ET66" s="150"/>
      <c r="EU66" s="150"/>
      <c r="EV66" s="150"/>
      <c r="EW66" s="150"/>
      <c r="EX66" s="150"/>
      <c r="EY66" s="150"/>
      <c r="EZ66" s="150"/>
      <c r="FA66" s="150"/>
      <c r="FB66" s="150"/>
      <c r="FC66" s="150"/>
      <c r="FD66" s="150"/>
      <c r="FE66" s="150"/>
      <c r="FF66" s="150"/>
      <c r="FG66" s="150"/>
      <c r="FH66" s="150"/>
      <c r="FI66" s="150"/>
      <c r="FJ66" s="150"/>
      <c r="FK66" s="150"/>
      <c r="FL66" s="150"/>
      <c r="FM66" s="150"/>
      <c r="FN66" s="150"/>
      <c r="FO66" s="150"/>
      <c r="FP66" s="150"/>
      <c r="FQ66" s="150"/>
      <c r="FR66" s="150"/>
      <c r="FS66" s="150"/>
      <c r="FT66" s="150"/>
      <c r="FU66" s="150"/>
      <c r="FV66" s="150"/>
      <c r="FW66" s="150"/>
      <c r="FX66" s="150"/>
      <c r="FY66" s="150"/>
      <c r="FZ66" s="150"/>
      <c r="GA66" s="150"/>
      <c r="GB66" s="150"/>
      <c r="GC66" s="150"/>
      <c r="GD66" s="150"/>
      <c r="GE66" s="150"/>
      <c r="GF66" s="150"/>
      <c r="GG66" s="150"/>
      <c r="GH66" s="150"/>
      <c r="GI66" s="150"/>
      <c r="GJ66" s="150"/>
      <c r="GK66" s="150"/>
      <c r="GL66" s="150"/>
      <c r="GM66" s="150"/>
      <c r="GN66" s="150"/>
      <c r="GO66" s="150"/>
      <c r="GP66" s="150"/>
      <c r="GQ66" s="150"/>
      <c r="GR66" s="161"/>
      <c r="GS66" s="162"/>
      <c r="GT66" s="158"/>
      <c r="GU66" s="159" t="s">
        <v>819</v>
      </c>
      <c r="GV66" s="159" t="s">
        <v>712</v>
      </c>
      <c r="GW66" s="239">
        <f t="shared" si="11"/>
        <v>0</v>
      </c>
      <c r="GX66" s="136" t="s">
        <v>573</v>
      </c>
    </row>
    <row r="67" spans="1:207" s="136" customFormat="1">
      <c r="A67" s="139"/>
      <c r="B67" s="139" t="s">
        <v>517</v>
      </c>
      <c r="C67" s="139" t="s">
        <v>555</v>
      </c>
      <c r="D67" s="139" t="s">
        <v>8</v>
      </c>
      <c r="E67" s="244" t="s">
        <v>594</v>
      </c>
      <c r="F67" s="139" t="s">
        <v>520</v>
      </c>
      <c r="G67" s="139" t="s">
        <v>821</v>
      </c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X67" s="150"/>
      <c r="BY67" s="150"/>
      <c r="BZ67" s="150"/>
      <c r="CA67" s="150"/>
      <c r="CB67" s="150"/>
      <c r="CC67" s="150"/>
      <c r="CD67" s="150"/>
      <c r="CE67" s="150"/>
      <c r="CF67" s="150"/>
      <c r="CG67" s="150"/>
      <c r="CH67" s="150"/>
      <c r="CI67" s="150"/>
      <c r="CJ67" s="150"/>
      <c r="CK67" s="150"/>
      <c r="CL67" s="150"/>
      <c r="CM67" s="150"/>
      <c r="CN67" s="150"/>
      <c r="CO67" s="150"/>
      <c r="CP67" s="150"/>
      <c r="CQ67" s="150"/>
      <c r="CR67" s="150"/>
      <c r="CS67" s="150"/>
      <c r="CT67" s="150"/>
      <c r="CU67" s="150"/>
      <c r="CV67" s="150"/>
      <c r="CW67" s="150"/>
      <c r="CX67" s="150"/>
      <c r="CY67" s="150"/>
      <c r="CZ67" s="150"/>
      <c r="DA67" s="150"/>
      <c r="DB67" s="150"/>
      <c r="DC67" s="150"/>
      <c r="DD67" s="150"/>
      <c r="DE67" s="150"/>
      <c r="DF67" s="150"/>
      <c r="DG67" s="150"/>
      <c r="DH67" s="202">
        <v>20</v>
      </c>
      <c r="DI67" s="150"/>
      <c r="DJ67" s="150"/>
      <c r="DK67" s="150"/>
      <c r="DL67" s="150"/>
      <c r="DM67" s="150"/>
      <c r="DN67" s="150"/>
      <c r="DO67" s="150"/>
      <c r="DP67" s="150"/>
      <c r="DQ67" s="150"/>
      <c r="DR67" s="150"/>
      <c r="DS67" s="150"/>
      <c r="DT67" s="150"/>
      <c r="DU67" s="150"/>
      <c r="DV67" s="150"/>
      <c r="DW67" s="150"/>
      <c r="DX67" s="150"/>
      <c r="DY67" s="150"/>
      <c r="DZ67" s="150"/>
      <c r="EA67" s="150"/>
      <c r="EB67" s="150"/>
      <c r="EC67" s="150"/>
      <c r="ED67" s="150"/>
      <c r="EE67" s="150"/>
      <c r="EF67" s="150"/>
      <c r="EG67" s="150"/>
      <c r="EH67" s="150"/>
      <c r="EI67" s="150"/>
      <c r="EJ67" s="150"/>
      <c r="EK67" s="150"/>
      <c r="EL67" s="150"/>
      <c r="EM67" s="150"/>
      <c r="EN67" s="150"/>
      <c r="EO67" s="150"/>
      <c r="EP67" s="150"/>
      <c r="EQ67" s="150"/>
      <c r="ER67" s="150"/>
      <c r="ES67" s="150"/>
      <c r="ET67" s="150"/>
      <c r="EU67" s="150"/>
      <c r="EV67" s="142">
        <f>100-100</f>
        <v>0</v>
      </c>
      <c r="EW67" s="150"/>
      <c r="EX67" s="150"/>
      <c r="EY67" s="150"/>
      <c r="EZ67" s="142">
        <f>100-100</f>
        <v>0</v>
      </c>
      <c r="FA67" s="150"/>
      <c r="FB67" s="150"/>
      <c r="FC67" s="150"/>
      <c r="FD67" s="150"/>
      <c r="FE67" s="150"/>
      <c r="FF67" s="150"/>
      <c r="FG67" s="150"/>
      <c r="FH67" s="150"/>
      <c r="FI67" s="150"/>
      <c r="FJ67" s="150"/>
      <c r="FK67" s="150"/>
      <c r="FL67" s="150"/>
      <c r="FM67" s="150"/>
      <c r="FN67" s="150"/>
      <c r="FO67" s="150"/>
      <c r="FP67" s="150"/>
      <c r="FQ67" s="150"/>
      <c r="FR67" s="150"/>
      <c r="FS67" s="150"/>
      <c r="FT67" s="150"/>
      <c r="FU67" s="150"/>
      <c r="FV67" s="150"/>
      <c r="FW67" s="150"/>
      <c r="FX67" s="150"/>
      <c r="FY67" s="150"/>
      <c r="FZ67" s="150"/>
      <c r="GA67" s="150"/>
      <c r="GB67" s="150"/>
      <c r="GC67" s="150"/>
      <c r="GD67" s="150"/>
      <c r="GE67" s="150"/>
      <c r="GF67" s="150"/>
      <c r="GG67" s="150"/>
      <c r="GH67" s="150"/>
      <c r="GI67" s="150"/>
      <c r="GJ67" s="150"/>
      <c r="GK67" s="150"/>
      <c r="GL67" s="150"/>
      <c r="GM67" s="150"/>
      <c r="GN67" s="150"/>
      <c r="GO67" s="150"/>
      <c r="GP67" s="150"/>
      <c r="GQ67" s="150"/>
      <c r="GR67" s="161"/>
      <c r="GS67" s="162"/>
      <c r="GT67" s="159"/>
      <c r="GU67" s="159" t="s">
        <v>724</v>
      </c>
      <c r="GV67" s="159" t="s">
        <v>712</v>
      </c>
      <c r="GW67" s="239">
        <f t="shared" si="11"/>
        <v>20</v>
      </c>
      <c r="GX67" s="136" t="s">
        <v>573</v>
      </c>
    </row>
    <row r="68" spans="1:207" s="136" customFormat="1">
      <c r="A68" s="139"/>
      <c r="B68" s="139" t="s">
        <v>517</v>
      </c>
      <c r="C68" s="139" t="s">
        <v>555</v>
      </c>
      <c r="D68" s="139" t="s">
        <v>4</v>
      </c>
      <c r="E68" s="244" t="s">
        <v>594</v>
      </c>
      <c r="F68" s="139" t="s">
        <v>520</v>
      </c>
      <c r="G68" s="139" t="s">
        <v>821</v>
      </c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42">
        <f>10-10+5</f>
        <v>5</v>
      </c>
      <c r="AZ68" s="142">
        <f>10-10</f>
        <v>0</v>
      </c>
      <c r="BA68" s="142">
        <f>10-10+3</f>
        <v>3</v>
      </c>
      <c r="BB68" s="142">
        <f>10-10+7</f>
        <v>7</v>
      </c>
      <c r="BC68" s="142">
        <f>10-10+2</f>
        <v>2</v>
      </c>
      <c r="BD68" s="150"/>
      <c r="BE68" s="150"/>
      <c r="BF68" s="150"/>
      <c r="BG68" s="150"/>
      <c r="BH68" s="150"/>
      <c r="BI68" s="150"/>
      <c r="BJ68" s="150"/>
      <c r="BK68" s="150"/>
      <c r="BL68" s="150"/>
      <c r="BM68" s="150"/>
      <c r="BN68" s="142">
        <f>10-10</f>
        <v>0</v>
      </c>
      <c r="BO68" s="142">
        <f>10-10+5</f>
        <v>5</v>
      </c>
      <c r="BP68" s="142">
        <f>10-10+5</f>
        <v>5</v>
      </c>
      <c r="BQ68" s="142">
        <f>10-10+2</f>
        <v>2</v>
      </c>
      <c r="BR68" s="150"/>
      <c r="BS68" s="142">
        <f>10-10+10</f>
        <v>10</v>
      </c>
      <c r="BT68" s="150"/>
      <c r="BU68" s="150"/>
      <c r="BV68" s="150"/>
      <c r="BW68" s="150"/>
      <c r="BX68" s="150"/>
      <c r="BY68" s="150"/>
      <c r="BZ68" s="150"/>
      <c r="CA68" s="150"/>
      <c r="CB68" s="142">
        <f>10-10+1</f>
        <v>1</v>
      </c>
      <c r="CC68" s="142">
        <f>10-10+1</f>
        <v>1</v>
      </c>
      <c r="CD68" s="142">
        <f>10-10</f>
        <v>0</v>
      </c>
      <c r="CE68" s="142">
        <f>10-10</f>
        <v>0</v>
      </c>
      <c r="CF68" s="150"/>
      <c r="CG68" s="142">
        <f>10-10+5</f>
        <v>5</v>
      </c>
      <c r="CH68" s="142">
        <f>10-10</f>
        <v>0</v>
      </c>
      <c r="CI68" s="142">
        <f>10-10</f>
        <v>0</v>
      </c>
      <c r="CJ68" s="142">
        <f>10-10</f>
        <v>0</v>
      </c>
      <c r="CK68" s="142">
        <f>10-10+1</f>
        <v>1</v>
      </c>
      <c r="CL68" s="150"/>
      <c r="CM68" s="142">
        <f>10-10</f>
        <v>0</v>
      </c>
      <c r="CN68" s="142">
        <f>10-10+1</f>
        <v>1</v>
      </c>
      <c r="CO68" s="142">
        <f>10-10+1</f>
        <v>1</v>
      </c>
      <c r="CP68" s="142">
        <f>10-10</f>
        <v>0</v>
      </c>
      <c r="CQ68" s="202">
        <v>2</v>
      </c>
      <c r="CR68" s="142">
        <f>10-10+1</f>
        <v>1</v>
      </c>
      <c r="CS68" s="142">
        <f>20-20+1</f>
        <v>1</v>
      </c>
      <c r="CT68" s="150"/>
      <c r="CU68" s="142">
        <f>20-20+1</f>
        <v>1</v>
      </c>
      <c r="CV68" s="142">
        <f>20-20</f>
        <v>0</v>
      </c>
      <c r="CW68" s="150"/>
      <c r="CX68" s="142">
        <f>20-20</f>
        <v>0</v>
      </c>
      <c r="CY68" s="150"/>
      <c r="CZ68" s="150"/>
      <c r="DA68" s="142">
        <f>150-150+5</f>
        <v>5</v>
      </c>
      <c r="DB68" s="142">
        <f>20-20</f>
        <v>0</v>
      </c>
      <c r="DC68" s="142">
        <f>50-50+5</f>
        <v>5</v>
      </c>
      <c r="DD68" s="150"/>
      <c r="DE68" s="150"/>
      <c r="DF68" s="150"/>
      <c r="DG68" s="150"/>
      <c r="DH68" s="142">
        <f>50-50</f>
        <v>0</v>
      </c>
      <c r="DI68" s="150"/>
      <c r="DJ68" s="142">
        <f>50-50+3</f>
        <v>3</v>
      </c>
      <c r="DK68" s="142">
        <f>200-200+5</f>
        <v>5</v>
      </c>
      <c r="DL68" s="202">
        <v>2</v>
      </c>
      <c r="DM68" s="142">
        <f>100-100+10</f>
        <v>10</v>
      </c>
      <c r="DN68" s="142">
        <f>100-100+10</f>
        <v>10</v>
      </c>
      <c r="DO68" s="150"/>
      <c r="DP68" s="150"/>
      <c r="DQ68" s="150"/>
      <c r="DR68" s="150"/>
      <c r="DS68" s="150"/>
      <c r="DT68" s="150"/>
      <c r="DU68" s="150"/>
      <c r="DV68" s="150"/>
      <c r="DW68" s="150"/>
      <c r="DX68" s="150"/>
      <c r="DY68" s="150"/>
      <c r="DZ68" s="150"/>
      <c r="EA68" s="150"/>
      <c r="EB68" s="150"/>
      <c r="EC68" s="150"/>
      <c r="ED68" s="150"/>
      <c r="EE68" s="150"/>
      <c r="EF68" s="150"/>
      <c r="EG68" s="150"/>
      <c r="EH68" s="150"/>
      <c r="EI68" s="150"/>
      <c r="EJ68" s="150"/>
      <c r="EK68" s="150"/>
      <c r="EL68" s="142">
        <f>100-100+4</f>
        <v>4</v>
      </c>
      <c r="EM68" s="150"/>
      <c r="EN68" s="150"/>
      <c r="EO68" s="142">
        <f>100-100+10</f>
        <v>10</v>
      </c>
      <c r="EP68" s="150"/>
      <c r="EQ68" s="150"/>
      <c r="ER68" s="150"/>
      <c r="ES68" s="150"/>
      <c r="ET68" s="150"/>
      <c r="EU68" s="150"/>
      <c r="EV68" s="150"/>
      <c r="EW68" s="150"/>
      <c r="EX68" s="150"/>
      <c r="EY68" s="150"/>
      <c r="EZ68" s="150"/>
      <c r="FA68" s="150"/>
      <c r="FB68" s="142">
        <f>100-100</f>
        <v>0</v>
      </c>
      <c r="FC68" s="150"/>
      <c r="FD68" s="150"/>
      <c r="FE68" s="142">
        <f>100-100</f>
        <v>0</v>
      </c>
      <c r="FF68" s="150"/>
      <c r="FG68" s="150"/>
      <c r="FH68" s="150"/>
      <c r="FI68" s="150"/>
      <c r="FJ68" s="150"/>
      <c r="FK68" s="150"/>
      <c r="FL68" s="150"/>
      <c r="FM68" s="150"/>
      <c r="FN68" s="150"/>
      <c r="FO68" s="150"/>
      <c r="FP68" s="150"/>
      <c r="FQ68" s="150"/>
      <c r="FR68" s="150"/>
      <c r="FS68" s="150"/>
      <c r="FT68" s="150"/>
      <c r="FU68" s="150"/>
      <c r="FV68" s="150"/>
      <c r="FW68" s="150"/>
      <c r="FX68" s="150"/>
      <c r="FY68" s="150"/>
      <c r="FZ68" s="150"/>
      <c r="GA68" s="150"/>
      <c r="GB68" s="150"/>
      <c r="GC68" s="150"/>
      <c r="GD68" s="150"/>
      <c r="GE68" s="150"/>
      <c r="GF68" s="150"/>
      <c r="GG68" s="150"/>
      <c r="GH68" s="150"/>
      <c r="GI68" s="150"/>
      <c r="GJ68" s="150"/>
      <c r="GK68" s="150"/>
      <c r="GL68" s="150"/>
      <c r="GM68" s="150"/>
      <c r="GN68" s="150"/>
      <c r="GO68" s="150"/>
      <c r="GP68" s="150"/>
      <c r="GQ68" s="150"/>
      <c r="GR68" s="161"/>
      <c r="GS68" s="162"/>
      <c r="GT68" s="159"/>
      <c r="GU68" s="159" t="s">
        <v>724</v>
      </c>
      <c r="GV68" s="159" t="s">
        <v>712</v>
      </c>
      <c r="GW68" s="239">
        <f t="shared" si="11"/>
        <v>108</v>
      </c>
      <c r="GX68" s="136" t="s">
        <v>573</v>
      </c>
    </row>
    <row r="69" spans="1:207" s="136" customFormat="1">
      <c r="A69" s="139"/>
      <c r="B69" s="139" t="s">
        <v>517</v>
      </c>
      <c r="C69" s="139" t="s">
        <v>555</v>
      </c>
      <c r="D69" s="139" t="s">
        <v>3</v>
      </c>
      <c r="E69" s="244" t="s">
        <v>594</v>
      </c>
      <c r="F69" s="139" t="s">
        <v>520</v>
      </c>
      <c r="G69" s="139" t="s">
        <v>822</v>
      </c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  <c r="BD69" s="150"/>
      <c r="BE69" s="150"/>
      <c r="BF69" s="150"/>
      <c r="BG69" s="150"/>
      <c r="BH69" s="150"/>
      <c r="BI69" s="150"/>
      <c r="BJ69" s="150"/>
      <c r="BK69" s="150"/>
      <c r="BL69" s="150"/>
      <c r="BM69" s="150"/>
      <c r="BN69" s="150"/>
      <c r="BO69" s="150"/>
      <c r="BP69" s="150"/>
      <c r="BQ69" s="150"/>
      <c r="BR69" s="150"/>
      <c r="BS69" s="150"/>
      <c r="BT69" s="150"/>
      <c r="BU69" s="150"/>
      <c r="BV69" s="150"/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42">
        <f>10-10</f>
        <v>0</v>
      </c>
      <c r="CR69" s="150"/>
      <c r="CS69" s="150"/>
      <c r="CT69" s="142">
        <f>10-10</f>
        <v>0</v>
      </c>
      <c r="CU69" s="150"/>
      <c r="CV69" s="150"/>
      <c r="CW69" s="150"/>
      <c r="CX69" s="150"/>
      <c r="CY69" s="150"/>
      <c r="CZ69" s="150"/>
      <c r="DA69" s="150"/>
      <c r="DB69" s="150"/>
      <c r="DC69" s="150"/>
      <c r="DD69" s="150"/>
      <c r="DE69" s="150"/>
      <c r="DF69" s="150"/>
      <c r="DG69" s="150"/>
      <c r="DH69" s="150"/>
      <c r="DI69" s="150"/>
      <c r="DJ69" s="150"/>
      <c r="DK69" s="150"/>
      <c r="DL69" s="142">
        <f>50-50</f>
        <v>0</v>
      </c>
      <c r="DM69" s="150"/>
      <c r="DN69" s="150"/>
      <c r="DO69" s="150"/>
      <c r="DP69" s="150"/>
      <c r="DQ69" s="150"/>
      <c r="DR69" s="150"/>
      <c r="DS69" s="150"/>
      <c r="DT69" s="150"/>
      <c r="DU69" s="150"/>
      <c r="DV69" s="150"/>
      <c r="DW69" s="150"/>
      <c r="DX69" s="150"/>
      <c r="DY69" s="150"/>
      <c r="DZ69" s="150"/>
      <c r="EA69" s="150"/>
      <c r="EB69" s="150"/>
      <c r="EC69" s="150"/>
      <c r="ED69" s="150"/>
      <c r="EE69" s="150"/>
      <c r="EF69" s="150"/>
      <c r="EG69" s="150"/>
      <c r="EH69" s="150"/>
      <c r="EI69" s="150"/>
      <c r="EJ69" s="150"/>
      <c r="EK69" s="150"/>
      <c r="EL69" s="150"/>
      <c r="EM69" s="150"/>
      <c r="EN69" s="150"/>
      <c r="EO69" s="150"/>
      <c r="EP69" s="150"/>
      <c r="EQ69" s="150"/>
      <c r="ER69" s="150"/>
      <c r="ES69" s="150"/>
      <c r="ET69" s="150"/>
      <c r="EU69" s="150"/>
      <c r="EV69" s="150"/>
      <c r="EW69" s="150"/>
      <c r="EX69" s="150"/>
      <c r="EY69" s="150"/>
      <c r="EZ69" s="150"/>
      <c r="FA69" s="150"/>
      <c r="FB69" s="150"/>
      <c r="FC69" s="150"/>
      <c r="FD69" s="150"/>
      <c r="FE69" s="150"/>
      <c r="FF69" s="150"/>
      <c r="FG69" s="150"/>
      <c r="FH69" s="150"/>
      <c r="FI69" s="150"/>
      <c r="FJ69" s="150"/>
      <c r="FK69" s="150"/>
      <c r="FL69" s="150"/>
      <c r="FM69" s="150"/>
      <c r="FN69" s="150"/>
      <c r="FO69" s="150"/>
      <c r="FP69" s="150"/>
      <c r="FQ69" s="150"/>
      <c r="FR69" s="150"/>
      <c r="FS69" s="150"/>
      <c r="FT69" s="150"/>
      <c r="FU69" s="150"/>
      <c r="FV69" s="150"/>
      <c r="FW69" s="150"/>
      <c r="FX69" s="150"/>
      <c r="FY69" s="150"/>
      <c r="FZ69" s="150"/>
      <c r="GA69" s="150"/>
      <c r="GB69" s="150"/>
      <c r="GC69" s="150"/>
      <c r="GD69" s="150"/>
      <c r="GE69" s="150"/>
      <c r="GF69" s="150"/>
      <c r="GG69" s="150"/>
      <c r="GH69" s="150"/>
      <c r="GI69" s="150"/>
      <c r="GJ69" s="150"/>
      <c r="GK69" s="150"/>
      <c r="GL69" s="150"/>
      <c r="GM69" s="150"/>
      <c r="GN69" s="150"/>
      <c r="GO69" s="150"/>
      <c r="GP69" s="150"/>
      <c r="GQ69" s="150"/>
      <c r="GR69" s="161"/>
      <c r="GS69" s="162"/>
      <c r="GT69" s="158"/>
      <c r="GU69" s="159" t="s">
        <v>724</v>
      </c>
      <c r="GV69" s="159" t="s">
        <v>712</v>
      </c>
      <c r="GW69" s="239">
        <f t="shared" si="11"/>
        <v>0</v>
      </c>
      <c r="GX69" s="136" t="s">
        <v>573</v>
      </c>
    </row>
    <row r="70" spans="1:207" s="136" customFormat="1">
      <c r="A70" s="139"/>
      <c r="B70" s="241" t="s">
        <v>517</v>
      </c>
      <c r="C70" s="158" t="s">
        <v>555</v>
      </c>
      <c r="D70" s="158" t="s">
        <v>8</v>
      </c>
      <c r="E70" s="160" t="s">
        <v>597</v>
      </c>
      <c r="F70" s="158" t="s">
        <v>520</v>
      </c>
      <c r="G70" s="139" t="s">
        <v>823</v>
      </c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  <c r="AM70" s="150"/>
      <c r="AN70" s="150"/>
      <c r="AO70" s="150"/>
      <c r="AP70" s="150"/>
      <c r="AQ70" s="150"/>
      <c r="AR70" s="150"/>
      <c r="AS70" s="150"/>
      <c r="AT70" s="150"/>
      <c r="AU70" s="150"/>
      <c r="AV70" s="150"/>
      <c r="AW70" s="150"/>
      <c r="AX70" s="150"/>
      <c r="AY70" s="150"/>
      <c r="AZ70" s="150"/>
      <c r="BA70" s="150"/>
      <c r="BB70" s="150"/>
      <c r="BC70" s="150"/>
      <c r="BD70" s="150"/>
      <c r="BE70" s="150"/>
      <c r="BF70" s="150"/>
      <c r="BG70" s="150"/>
      <c r="BH70" s="150"/>
      <c r="BI70" s="150"/>
      <c r="BJ70" s="150"/>
      <c r="BK70" s="150"/>
      <c r="BL70" s="150"/>
      <c r="BM70" s="150"/>
      <c r="BN70" s="150"/>
      <c r="BO70" s="150"/>
      <c r="BP70" s="150"/>
      <c r="BQ70" s="150"/>
      <c r="BR70" s="150"/>
      <c r="BS70" s="150"/>
      <c r="BT70" s="150"/>
      <c r="BU70" s="150"/>
      <c r="BV70" s="150"/>
      <c r="BW70" s="150"/>
      <c r="BX70" s="150"/>
      <c r="BY70" s="150"/>
      <c r="BZ70" s="150"/>
      <c r="CA70" s="150"/>
      <c r="CB70" s="150"/>
      <c r="CC70" s="150"/>
      <c r="CD70" s="150"/>
      <c r="CE70" s="150"/>
      <c r="CF70" s="150"/>
      <c r="CG70" s="150"/>
      <c r="CH70" s="150"/>
      <c r="CI70" s="150"/>
      <c r="CJ70" s="150"/>
      <c r="CK70" s="150"/>
      <c r="CL70" s="150"/>
      <c r="CM70" s="150"/>
      <c r="CN70" s="150"/>
      <c r="CO70" s="150"/>
      <c r="CP70" s="150"/>
      <c r="CQ70" s="150"/>
      <c r="CR70" s="150"/>
      <c r="CS70" s="150"/>
      <c r="CT70" s="150"/>
      <c r="CU70" s="150"/>
      <c r="CV70" s="150"/>
      <c r="CW70" s="150"/>
      <c r="CX70" s="150"/>
      <c r="CY70" s="150"/>
      <c r="CZ70" s="150"/>
      <c r="DA70" s="150"/>
      <c r="DB70" s="150"/>
      <c r="DC70" s="150"/>
      <c r="DD70" s="150"/>
      <c r="DE70" s="150"/>
      <c r="DF70" s="150"/>
      <c r="DG70" s="150"/>
      <c r="DH70" s="150"/>
      <c r="DI70" s="150"/>
      <c r="DJ70" s="150"/>
      <c r="DK70" s="150"/>
      <c r="DL70" s="150"/>
      <c r="DM70" s="150"/>
      <c r="DN70" s="150"/>
      <c r="DO70" s="150"/>
      <c r="DP70" s="150"/>
      <c r="DQ70" s="150"/>
      <c r="DR70" s="150"/>
      <c r="DS70" s="150"/>
      <c r="DT70" s="150"/>
      <c r="DU70" s="150"/>
      <c r="DV70" s="150"/>
      <c r="DW70" s="150"/>
      <c r="DX70" s="150"/>
      <c r="DY70" s="150"/>
      <c r="DZ70" s="150"/>
      <c r="EA70" s="150"/>
      <c r="EB70" s="150"/>
      <c r="EC70" s="150"/>
      <c r="ED70" s="150"/>
      <c r="EE70" s="150"/>
      <c r="EF70" s="150"/>
      <c r="EG70" s="150"/>
      <c r="EH70" s="150"/>
      <c r="EI70" s="150"/>
      <c r="EJ70" s="150"/>
      <c r="EK70" s="150"/>
      <c r="EL70" s="150"/>
      <c r="EM70" s="150"/>
      <c r="EN70" s="150"/>
      <c r="EO70" s="150"/>
      <c r="EP70" s="150"/>
      <c r="EQ70" s="150"/>
      <c r="ER70" s="150"/>
      <c r="ES70" s="150"/>
      <c r="ET70" s="150"/>
      <c r="EU70" s="150"/>
      <c r="EV70" s="150"/>
      <c r="EW70" s="150"/>
      <c r="EX70" s="150"/>
      <c r="EY70" s="150"/>
      <c r="EZ70" s="150"/>
      <c r="FA70" s="150"/>
      <c r="FB70" s="150"/>
      <c r="FC70" s="150"/>
      <c r="FD70" s="150"/>
      <c r="FE70" s="150"/>
      <c r="FF70" s="150"/>
      <c r="FG70" s="150"/>
      <c r="FH70" s="150"/>
      <c r="FI70" s="150"/>
      <c r="FJ70" s="150"/>
      <c r="FK70" s="150"/>
      <c r="FL70" s="150"/>
      <c r="FM70" s="150"/>
      <c r="FN70" s="150"/>
      <c r="FO70" s="150"/>
      <c r="FP70" s="150"/>
      <c r="FQ70" s="150"/>
      <c r="FR70" s="150"/>
      <c r="FS70" s="150"/>
      <c r="FT70" s="150"/>
      <c r="FU70" s="150"/>
      <c r="FV70" s="150"/>
      <c r="FW70" s="150"/>
      <c r="FX70" s="150"/>
      <c r="FY70" s="150"/>
      <c r="FZ70" s="150"/>
      <c r="GA70" s="150"/>
      <c r="GB70" s="150"/>
      <c r="GC70" s="150"/>
      <c r="GD70" s="150"/>
      <c r="GE70" s="146">
        <f>10</f>
        <v>10</v>
      </c>
      <c r="GF70" s="150"/>
      <c r="GG70" s="150"/>
      <c r="GH70" s="150"/>
      <c r="GI70" s="150"/>
      <c r="GJ70" s="150"/>
      <c r="GK70" s="150"/>
      <c r="GL70" s="150"/>
      <c r="GM70" s="150"/>
      <c r="GN70" s="150"/>
      <c r="GO70" s="150"/>
      <c r="GP70" s="150"/>
      <c r="GQ70" s="150"/>
      <c r="GR70" s="161"/>
      <c r="GS70" s="162"/>
      <c r="GT70" s="158" t="s">
        <v>522</v>
      </c>
      <c r="GU70" s="159" t="s">
        <v>599</v>
      </c>
      <c r="GV70" s="159" t="s">
        <v>712</v>
      </c>
      <c r="GW70" s="239">
        <f t="shared" si="11"/>
        <v>10</v>
      </c>
      <c r="GX70" s="136" t="s">
        <v>573</v>
      </c>
    </row>
    <row r="71" spans="1:207" s="136" customFormat="1">
      <c r="A71" s="139"/>
      <c r="B71" s="241" t="s">
        <v>517</v>
      </c>
      <c r="C71" s="158" t="s">
        <v>555</v>
      </c>
      <c r="D71" s="158" t="s">
        <v>4</v>
      </c>
      <c r="E71" s="160" t="s">
        <v>597</v>
      </c>
      <c r="F71" s="158" t="s">
        <v>520</v>
      </c>
      <c r="G71" s="139" t="s">
        <v>823</v>
      </c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  <c r="AK71" s="150"/>
      <c r="AL71" s="150"/>
      <c r="AM71" s="150"/>
      <c r="AN71" s="150"/>
      <c r="AO71" s="150"/>
      <c r="AP71" s="150"/>
      <c r="AQ71" s="150"/>
      <c r="AR71" s="150"/>
      <c r="AS71" s="150"/>
      <c r="AT71" s="150"/>
      <c r="AU71" s="150"/>
      <c r="AV71" s="150"/>
      <c r="AW71" s="150"/>
      <c r="AX71" s="150"/>
      <c r="AY71" s="150"/>
      <c r="AZ71" s="150"/>
      <c r="BA71" s="150"/>
      <c r="BB71" s="150"/>
      <c r="BC71" s="150"/>
      <c r="BD71" s="150"/>
      <c r="BE71" s="150"/>
      <c r="BF71" s="150"/>
      <c r="BG71" s="150"/>
      <c r="BH71" s="150"/>
      <c r="BI71" s="150"/>
      <c r="BJ71" s="150"/>
      <c r="BK71" s="150"/>
      <c r="BL71" s="150"/>
      <c r="BM71" s="150"/>
      <c r="BN71" s="150"/>
      <c r="BO71" s="150"/>
      <c r="BP71" s="150"/>
      <c r="BQ71" s="150"/>
      <c r="BR71" s="150"/>
      <c r="BS71" s="150"/>
      <c r="BT71" s="150"/>
      <c r="BU71" s="150"/>
      <c r="BV71" s="150"/>
      <c r="BW71" s="150"/>
      <c r="BX71" s="150"/>
      <c r="BY71" s="150"/>
      <c r="BZ71" s="150"/>
      <c r="CA71" s="150"/>
      <c r="CB71" s="150"/>
      <c r="CC71" s="150"/>
      <c r="CD71" s="150"/>
      <c r="CE71" s="150"/>
      <c r="CF71" s="150"/>
      <c r="CG71" s="142">
        <f>10-10+5</f>
        <v>5</v>
      </c>
      <c r="CH71" s="150"/>
      <c r="CI71" s="150"/>
      <c r="CJ71" s="150"/>
      <c r="CK71" s="150"/>
      <c r="CL71" s="150"/>
      <c r="CM71" s="150"/>
      <c r="CN71" s="142">
        <f>10-10+3</f>
        <v>3</v>
      </c>
      <c r="CO71" s="150"/>
      <c r="CP71" s="150"/>
      <c r="CQ71" s="150"/>
      <c r="CR71" s="150"/>
      <c r="CS71" s="142">
        <f>20-20+3</f>
        <v>3</v>
      </c>
      <c r="CT71" s="150"/>
      <c r="CU71" s="150"/>
      <c r="CV71" s="150"/>
      <c r="CW71" s="150"/>
      <c r="CX71" s="150"/>
      <c r="CY71" s="150"/>
      <c r="CZ71" s="150"/>
      <c r="DA71" s="142">
        <f>20-20+20</f>
        <v>20</v>
      </c>
      <c r="DB71" s="150"/>
      <c r="DC71" s="150"/>
      <c r="DD71" s="150"/>
      <c r="DE71" s="150"/>
      <c r="DF71" s="150"/>
      <c r="DG71" s="150"/>
      <c r="DH71" s="150"/>
      <c r="DI71" s="150"/>
      <c r="DJ71" s="150"/>
      <c r="DK71" s="142">
        <f>50-50+10</f>
        <v>10</v>
      </c>
      <c r="DL71" s="150"/>
      <c r="DM71" s="142">
        <f>50-50+20</f>
        <v>20</v>
      </c>
      <c r="DN71" s="150"/>
      <c r="DO71" s="150"/>
      <c r="DP71" s="150"/>
      <c r="DQ71" s="150"/>
      <c r="DR71" s="150"/>
      <c r="DS71" s="150"/>
      <c r="DT71" s="150"/>
      <c r="DU71" s="150"/>
      <c r="DV71" s="150"/>
      <c r="DW71" s="150"/>
      <c r="DX71" s="150"/>
      <c r="DY71" s="150"/>
      <c r="DZ71" s="150"/>
      <c r="EA71" s="150"/>
      <c r="EB71" s="150"/>
      <c r="EC71" s="150"/>
      <c r="ED71" s="150"/>
      <c r="EE71" s="150"/>
      <c r="EF71" s="150"/>
      <c r="EG71" s="150"/>
      <c r="EH71" s="150"/>
      <c r="EI71" s="150"/>
      <c r="EJ71" s="150"/>
      <c r="EK71" s="150"/>
      <c r="EL71" s="142">
        <f>100-100+10</f>
        <v>10</v>
      </c>
      <c r="EM71" s="150"/>
      <c r="EN71" s="150"/>
      <c r="EO71" s="150"/>
      <c r="EP71" s="150"/>
      <c r="EQ71" s="150"/>
      <c r="ER71" s="150"/>
      <c r="ES71" s="150"/>
      <c r="ET71" s="150"/>
      <c r="EU71" s="150"/>
      <c r="EV71" s="150"/>
      <c r="EW71" s="142">
        <f>200-200</f>
        <v>0</v>
      </c>
      <c r="EX71" s="150"/>
      <c r="EY71" s="150"/>
      <c r="EZ71" s="150"/>
      <c r="FA71" s="150"/>
      <c r="FB71" s="150"/>
      <c r="FC71" s="150"/>
      <c r="FD71" s="150"/>
      <c r="FE71" s="150"/>
      <c r="FF71" s="150"/>
      <c r="FG71" s="150"/>
      <c r="FH71" s="150"/>
      <c r="FI71" s="150"/>
      <c r="FJ71" s="150"/>
      <c r="FK71" s="150"/>
      <c r="FL71" s="150"/>
      <c r="FM71" s="150"/>
      <c r="FN71" s="150"/>
      <c r="FO71" s="150"/>
      <c r="FP71" s="150"/>
      <c r="FQ71" s="150"/>
      <c r="FR71" s="150"/>
      <c r="FS71" s="150"/>
      <c r="FT71" s="150"/>
      <c r="FU71" s="150"/>
      <c r="FV71" s="150"/>
      <c r="FW71" s="150"/>
      <c r="FX71" s="150"/>
      <c r="FY71" s="150"/>
      <c r="FZ71" s="150"/>
      <c r="GA71" s="150"/>
      <c r="GB71" s="150"/>
      <c r="GC71" s="150"/>
      <c r="GD71" s="150"/>
      <c r="GE71" s="150"/>
      <c r="GF71" s="150"/>
      <c r="GG71" s="150"/>
      <c r="GH71" s="150"/>
      <c r="GI71" s="150"/>
      <c r="GJ71" s="150"/>
      <c r="GK71" s="150"/>
      <c r="GL71" s="150"/>
      <c r="GM71" s="150"/>
      <c r="GN71" s="150"/>
      <c r="GO71" s="150"/>
      <c r="GP71" s="150"/>
      <c r="GQ71" s="150"/>
      <c r="GR71" s="161"/>
      <c r="GS71" s="162"/>
      <c r="GT71" s="158" t="s">
        <v>522</v>
      </c>
      <c r="GU71" s="159" t="s">
        <v>599</v>
      </c>
      <c r="GV71" s="159" t="s">
        <v>712</v>
      </c>
      <c r="GW71" s="239">
        <f t="shared" si="11"/>
        <v>71</v>
      </c>
      <c r="GX71" s="136" t="s">
        <v>573</v>
      </c>
    </row>
    <row r="72" spans="1:207" s="136" customFormat="1">
      <c r="A72" s="139"/>
      <c r="B72" s="241" t="s">
        <v>517</v>
      </c>
      <c r="C72" s="158" t="s">
        <v>555</v>
      </c>
      <c r="D72" s="158" t="s">
        <v>3</v>
      </c>
      <c r="E72" s="160" t="s">
        <v>597</v>
      </c>
      <c r="F72" s="158" t="s">
        <v>520</v>
      </c>
      <c r="G72" s="139" t="s">
        <v>824</v>
      </c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  <c r="BX72" s="150"/>
      <c r="BY72" s="150"/>
      <c r="BZ72" s="150"/>
      <c r="CA72" s="150"/>
      <c r="CB72" s="150"/>
      <c r="CC72" s="150"/>
      <c r="CD72" s="150"/>
      <c r="CE72" s="150"/>
      <c r="CF72" s="150"/>
      <c r="CG72" s="150"/>
      <c r="CH72" s="150"/>
      <c r="CI72" s="150"/>
      <c r="CJ72" s="150"/>
      <c r="CK72" s="150"/>
      <c r="CL72" s="150"/>
      <c r="CM72" s="150"/>
      <c r="CN72" s="150"/>
      <c r="CO72" s="150"/>
      <c r="CP72" s="150"/>
      <c r="CQ72" s="150"/>
      <c r="CR72" s="150"/>
      <c r="CS72" s="150"/>
      <c r="CT72" s="150"/>
      <c r="CU72" s="150"/>
      <c r="CV72" s="150"/>
      <c r="CW72" s="150"/>
      <c r="CX72" s="150"/>
      <c r="CY72" s="150"/>
      <c r="CZ72" s="150"/>
      <c r="DA72" s="150"/>
      <c r="DB72" s="150"/>
      <c r="DD72" s="150"/>
      <c r="DE72" s="150"/>
      <c r="DF72" s="150"/>
      <c r="DG72" s="150"/>
      <c r="DH72" s="150"/>
      <c r="DI72" s="150"/>
      <c r="DJ72" s="150"/>
      <c r="DK72" s="150"/>
      <c r="DL72" s="150"/>
      <c r="DM72" s="150"/>
      <c r="DN72" s="150"/>
      <c r="DO72" s="150"/>
      <c r="DP72" s="150"/>
      <c r="DQ72" s="150"/>
      <c r="DR72" s="150"/>
      <c r="DS72" s="150"/>
      <c r="DT72" s="150"/>
      <c r="DU72" s="150"/>
      <c r="DV72" s="150"/>
      <c r="DW72" s="150"/>
      <c r="DX72" s="150"/>
      <c r="DY72" s="150"/>
      <c r="DZ72" s="150"/>
      <c r="EA72" s="150"/>
      <c r="EB72" s="150"/>
      <c r="EC72" s="150"/>
      <c r="ED72" s="150"/>
      <c r="EE72" s="150"/>
      <c r="EF72" s="150"/>
      <c r="EG72" s="150"/>
      <c r="EH72" s="154"/>
      <c r="EI72" s="156">
        <f>360-360</f>
        <v>0</v>
      </c>
      <c r="EJ72" s="156">
        <f>380-380</f>
        <v>0</v>
      </c>
      <c r="EK72" s="154"/>
      <c r="EL72" s="150"/>
      <c r="EM72" s="150"/>
      <c r="EN72" s="150"/>
      <c r="EO72" s="150"/>
      <c r="EP72" s="150"/>
      <c r="EQ72" s="150"/>
      <c r="ER72" s="150"/>
      <c r="ES72" s="150"/>
      <c r="ET72" s="150"/>
      <c r="EU72" s="150"/>
      <c r="EV72" s="150"/>
      <c r="EX72" s="150"/>
      <c r="EY72" s="150"/>
      <c r="EZ72" s="150"/>
      <c r="FA72" s="150"/>
      <c r="FB72" s="150"/>
      <c r="FC72" s="150"/>
      <c r="FD72" s="150"/>
      <c r="FE72" s="150"/>
      <c r="FF72" s="150"/>
      <c r="FG72" s="150"/>
      <c r="FH72" s="150"/>
      <c r="FI72" s="150"/>
      <c r="FJ72" s="150"/>
      <c r="FK72" s="150"/>
      <c r="FL72" s="150"/>
      <c r="FM72" s="150"/>
      <c r="FN72" s="150"/>
      <c r="FP72" s="150"/>
      <c r="FQ72" s="150"/>
      <c r="FR72" s="150"/>
      <c r="FS72" s="150"/>
      <c r="FT72" s="150"/>
      <c r="FU72" s="150"/>
      <c r="FV72" s="150"/>
      <c r="FW72" s="150"/>
      <c r="FX72" s="150"/>
      <c r="FY72" s="150"/>
      <c r="FZ72" s="150"/>
      <c r="GA72" s="150"/>
      <c r="GB72" s="150"/>
      <c r="GC72" s="142">
        <f>182-182</f>
        <v>0</v>
      </c>
      <c r="GD72" s="142">
        <f>182-182</f>
        <v>0</v>
      </c>
      <c r="GE72" s="142">
        <f>200-200</f>
        <v>0</v>
      </c>
      <c r="GF72" s="150"/>
      <c r="GG72" s="150"/>
      <c r="GH72" s="150"/>
      <c r="GI72" s="150"/>
      <c r="GJ72" s="150"/>
      <c r="GK72" s="150"/>
      <c r="GL72" s="150"/>
      <c r="GM72" s="150"/>
      <c r="GN72" s="150"/>
      <c r="GO72" s="150"/>
      <c r="GP72" s="150"/>
      <c r="GQ72" s="150"/>
      <c r="GR72" s="161"/>
      <c r="GS72" s="162"/>
      <c r="GT72" s="158" t="s">
        <v>522</v>
      </c>
      <c r="GU72" s="159" t="s">
        <v>599</v>
      </c>
      <c r="GV72" s="159" t="s">
        <v>712</v>
      </c>
      <c r="GW72" s="239">
        <f t="shared" si="11"/>
        <v>0</v>
      </c>
      <c r="GX72" s="136" t="s">
        <v>573</v>
      </c>
    </row>
    <row r="73" spans="1:207" s="136" customFormat="1">
      <c r="A73" s="139"/>
      <c r="B73" s="241" t="s">
        <v>517</v>
      </c>
      <c r="C73" s="158" t="s">
        <v>555</v>
      </c>
      <c r="D73" s="158" t="s">
        <v>8</v>
      </c>
      <c r="E73" s="154" t="s">
        <v>602</v>
      </c>
      <c r="F73" s="158" t="s">
        <v>520</v>
      </c>
      <c r="G73" s="139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0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  <c r="BB73" s="154"/>
      <c r="BC73" s="154"/>
      <c r="BD73" s="154"/>
      <c r="BE73" s="154"/>
      <c r="BF73" s="154"/>
      <c r="BG73" s="154"/>
      <c r="BH73" s="154"/>
      <c r="BI73" s="154"/>
      <c r="BJ73" s="154"/>
      <c r="BK73" s="154"/>
      <c r="BL73" s="154"/>
      <c r="BM73" s="154"/>
      <c r="BN73" s="154"/>
      <c r="BO73" s="154"/>
      <c r="BP73" s="154"/>
      <c r="BQ73" s="154"/>
      <c r="BR73" s="154"/>
      <c r="BS73" s="154"/>
      <c r="BT73" s="154"/>
      <c r="BU73" s="154"/>
      <c r="BV73" s="154"/>
      <c r="BW73" s="154"/>
      <c r="BX73" s="154"/>
      <c r="BY73" s="154"/>
      <c r="BZ73" s="154"/>
      <c r="CA73" s="154"/>
      <c r="CB73" s="154"/>
      <c r="CC73" s="154"/>
      <c r="CD73" s="154"/>
      <c r="CE73" s="154"/>
      <c r="CF73" s="154"/>
      <c r="CG73" s="154"/>
      <c r="CH73" s="154"/>
      <c r="CI73" s="154"/>
      <c r="CJ73" s="154"/>
      <c r="CK73" s="154"/>
      <c r="CL73" s="154"/>
      <c r="CM73" s="154"/>
      <c r="CN73" s="154"/>
      <c r="CO73" s="154"/>
      <c r="CP73" s="154"/>
      <c r="CQ73" s="154"/>
      <c r="CR73" s="154"/>
      <c r="CS73" s="154"/>
      <c r="CT73" s="154"/>
      <c r="CU73" s="154"/>
      <c r="CV73" s="154"/>
      <c r="CW73" s="154"/>
      <c r="CX73" s="154"/>
      <c r="CY73" s="154"/>
      <c r="CZ73" s="154"/>
      <c r="DA73" s="154"/>
      <c r="DB73" s="154"/>
      <c r="DC73" s="154"/>
      <c r="DD73" s="154"/>
      <c r="DE73" s="154"/>
      <c r="DF73" s="154"/>
      <c r="DG73" s="154"/>
      <c r="DH73" s="202">
        <v>40</v>
      </c>
      <c r="DI73" s="154"/>
      <c r="DJ73" s="154"/>
      <c r="DK73" s="154"/>
      <c r="DL73" s="154"/>
      <c r="DM73" s="154"/>
      <c r="DN73" s="154"/>
      <c r="DO73" s="154"/>
      <c r="DP73" s="154"/>
      <c r="DU73" s="154"/>
      <c r="DV73" s="154"/>
      <c r="DW73" s="154"/>
      <c r="DX73" s="156">
        <f>390-390</f>
        <v>0</v>
      </c>
      <c r="DY73" s="154"/>
      <c r="DZ73" s="154"/>
      <c r="EA73" s="154"/>
      <c r="EB73" s="154"/>
      <c r="EC73" s="154"/>
      <c r="ED73" s="154"/>
      <c r="EE73" s="156">
        <f>160-160</f>
        <v>0</v>
      </c>
      <c r="EF73" s="154"/>
      <c r="EG73" s="154"/>
      <c r="EH73" s="154"/>
      <c r="EI73" s="154"/>
      <c r="EJ73" s="154"/>
      <c r="EK73" s="154"/>
      <c r="EL73" s="154"/>
      <c r="EM73" s="154"/>
      <c r="EN73" s="154"/>
      <c r="EO73" s="154"/>
      <c r="EP73" s="154"/>
      <c r="EQ73" s="154"/>
      <c r="ER73" s="154"/>
      <c r="ES73" s="154"/>
      <c r="ET73" s="154"/>
      <c r="EU73" s="154"/>
      <c r="EV73" s="156">
        <f>360-360</f>
        <v>0</v>
      </c>
      <c r="EW73" s="156">
        <f>380-380</f>
        <v>0</v>
      </c>
      <c r="EX73" s="154"/>
      <c r="EY73" s="154"/>
      <c r="EZ73" s="156">
        <f>250-250</f>
        <v>0</v>
      </c>
      <c r="FA73" s="154"/>
      <c r="FB73" s="154"/>
      <c r="FC73" s="154"/>
      <c r="FD73" s="154"/>
      <c r="FE73" s="154"/>
      <c r="FF73" s="154"/>
      <c r="FG73" s="154"/>
      <c r="FH73" s="154"/>
      <c r="FI73" s="154"/>
      <c r="FJ73" s="154"/>
      <c r="FK73" s="154"/>
      <c r="FL73" s="154"/>
      <c r="FM73" s="156">
        <f>500-500</f>
        <v>0</v>
      </c>
      <c r="FN73" s="154"/>
      <c r="FO73" s="156">
        <f>180-180</f>
        <v>0</v>
      </c>
      <c r="FP73" s="156">
        <f>20-20</f>
        <v>0</v>
      </c>
      <c r="FQ73" s="154"/>
      <c r="FR73" s="154"/>
      <c r="FS73" s="156">
        <f>166-166+170</f>
        <v>170</v>
      </c>
      <c r="FT73" s="156">
        <f>200-200+200</f>
        <v>200</v>
      </c>
      <c r="FU73" s="154"/>
      <c r="FV73" s="154"/>
      <c r="FW73" s="156">
        <f>185-185</f>
        <v>0</v>
      </c>
      <c r="FX73" s="154"/>
      <c r="FY73" s="154"/>
      <c r="FZ73" s="154"/>
      <c r="GA73" s="154"/>
      <c r="GB73" s="154"/>
      <c r="GC73" s="154"/>
      <c r="GD73" s="154"/>
      <c r="GE73" s="154"/>
      <c r="GF73" s="145"/>
      <c r="GG73" s="150"/>
      <c r="GH73" s="150"/>
      <c r="GI73" s="150"/>
      <c r="GJ73" s="150"/>
      <c r="GK73" s="150"/>
      <c r="GL73" s="150"/>
      <c r="GM73" s="150"/>
      <c r="GN73" s="150"/>
      <c r="GO73" s="150"/>
      <c r="GP73" s="150"/>
      <c r="GQ73" s="150"/>
      <c r="GR73" s="161"/>
      <c r="GS73" s="162"/>
      <c r="GT73" s="158"/>
      <c r="GU73" s="159"/>
      <c r="GV73" s="158" t="s">
        <v>579</v>
      </c>
      <c r="GW73" s="239">
        <f t="shared" si="11"/>
        <v>410</v>
      </c>
      <c r="GX73" s="145" t="s">
        <v>580</v>
      </c>
    </row>
    <row r="74" spans="1:207" s="136" customFormat="1">
      <c r="A74" s="139"/>
      <c r="B74" s="241" t="s">
        <v>517</v>
      </c>
      <c r="C74" s="158" t="s">
        <v>555</v>
      </c>
      <c r="D74" s="158" t="s">
        <v>4</v>
      </c>
      <c r="E74" s="154" t="s">
        <v>602</v>
      </c>
      <c r="F74" s="158" t="s">
        <v>520</v>
      </c>
      <c r="G74" s="139"/>
      <c r="H74" s="154"/>
      <c r="I74" s="154"/>
      <c r="J74" s="156">
        <f>20-20</f>
        <v>0</v>
      </c>
      <c r="K74" s="156">
        <f>30-30+10</f>
        <v>10</v>
      </c>
      <c r="L74" s="154"/>
      <c r="M74" s="156">
        <f>40-40</f>
        <v>0</v>
      </c>
      <c r="N74" s="156">
        <f>40-40</f>
        <v>0</v>
      </c>
      <c r="O74" s="156">
        <f>40-40+10</f>
        <v>10</v>
      </c>
      <c r="P74" s="154"/>
      <c r="Q74" s="154"/>
      <c r="R74" s="156">
        <f>16-16</f>
        <v>0</v>
      </c>
      <c r="S74" s="156">
        <f>44-44</f>
        <v>0</v>
      </c>
      <c r="T74" s="154"/>
      <c r="U74" s="154"/>
      <c r="V74" s="156">
        <f>20-20</f>
        <v>0</v>
      </c>
      <c r="W74" s="154"/>
      <c r="X74" s="150"/>
      <c r="Y74" s="156">
        <f>50-50</f>
        <v>0</v>
      </c>
      <c r="Z74" s="154"/>
      <c r="AA74" s="154"/>
      <c r="AB74" s="154"/>
      <c r="AC74" s="154"/>
      <c r="AD74" s="156">
        <f>490-490</f>
        <v>0</v>
      </c>
      <c r="AE74" s="156">
        <f>490-490</f>
        <v>0</v>
      </c>
      <c r="AF74" s="156">
        <f>500-500</f>
        <v>0</v>
      </c>
      <c r="AG74" s="154"/>
      <c r="AH74" s="154"/>
      <c r="AI74" s="156">
        <f>470-470</f>
        <v>0</v>
      </c>
      <c r="AJ74" s="156">
        <f>500-500</f>
        <v>0</v>
      </c>
      <c r="AK74" s="156">
        <f>500-500</f>
        <v>0</v>
      </c>
      <c r="AL74" s="156">
        <f>497-497</f>
        <v>0</v>
      </c>
      <c r="AM74" s="154"/>
      <c r="AN74" s="156">
        <f>500-500</f>
        <v>0</v>
      </c>
      <c r="AO74" s="156">
        <f>500-500</f>
        <v>0</v>
      </c>
      <c r="AP74" s="156">
        <f>200-200</f>
        <v>0</v>
      </c>
      <c r="AQ74" s="156">
        <f>200-200</f>
        <v>0</v>
      </c>
      <c r="AR74" s="154"/>
      <c r="AS74" s="154"/>
      <c r="AT74" s="154"/>
      <c r="AU74" s="154"/>
      <c r="AV74" s="154"/>
      <c r="AW74" s="156">
        <f>52-52</f>
        <v>0</v>
      </c>
      <c r="AX74" s="156">
        <f>46-46</f>
        <v>0</v>
      </c>
      <c r="AY74" s="156">
        <f>3-3+5</f>
        <v>5</v>
      </c>
      <c r="AZ74" s="156">
        <f>85-85</f>
        <v>0</v>
      </c>
      <c r="BA74" s="154"/>
      <c r="BB74" s="156">
        <f>425-425+15</f>
        <v>15</v>
      </c>
      <c r="BC74" s="156">
        <f>80-80+5</f>
        <v>5</v>
      </c>
      <c r="BD74" s="156">
        <f>100-100</f>
        <v>0</v>
      </c>
      <c r="BE74" s="154"/>
      <c r="BF74" s="154"/>
      <c r="BG74" s="154"/>
      <c r="BH74" s="154"/>
      <c r="BI74" s="154"/>
      <c r="BJ74" s="154"/>
      <c r="BK74" s="154"/>
      <c r="BL74" s="156">
        <f>82-82</f>
        <v>0</v>
      </c>
      <c r="BM74" s="156">
        <f>85-85</f>
        <v>0</v>
      </c>
      <c r="BN74" s="156">
        <f>50-50</f>
        <v>0</v>
      </c>
      <c r="BO74" s="156">
        <f>75-75+20</f>
        <v>20</v>
      </c>
      <c r="BP74" s="156">
        <f>20-20+10</f>
        <v>10</v>
      </c>
      <c r="BQ74" s="156">
        <f>30-30+5</f>
        <v>5</v>
      </c>
      <c r="BR74" s="156">
        <f>100-100</f>
        <v>0</v>
      </c>
      <c r="BS74" s="154"/>
      <c r="BT74" s="154"/>
      <c r="BU74" s="154"/>
      <c r="BV74" s="154"/>
      <c r="BW74" s="154"/>
      <c r="BX74" s="154"/>
      <c r="BY74" s="156">
        <f>464-464</f>
        <v>0</v>
      </c>
      <c r="BZ74" s="156">
        <f>430-430</f>
        <v>0</v>
      </c>
      <c r="CA74" s="156">
        <f>430-430</f>
        <v>0</v>
      </c>
      <c r="CB74" s="156">
        <f>335-335+5</f>
        <v>5</v>
      </c>
      <c r="CC74" s="156">
        <f>514-514+2</f>
        <v>2</v>
      </c>
      <c r="CD74" s="156">
        <f>514-514</f>
        <v>0</v>
      </c>
      <c r="CE74" s="156">
        <f>514-514</f>
        <v>0</v>
      </c>
      <c r="CF74" s="156">
        <f>430-430</f>
        <v>0</v>
      </c>
      <c r="CG74" s="156">
        <f>10-10+10</f>
        <v>10</v>
      </c>
      <c r="CH74" s="156">
        <f>383-383</f>
        <v>0</v>
      </c>
      <c r="CI74" s="156">
        <f>383-383</f>
        <v>0</v>
      </c>
      <c r="CJ74" s="156">
        <f>490-490</f>
        <v>0</v>
      </c>
      <c r="CK74" s="156">
        <f>470-470</f>
        <v>0</v>
      </c>
      <c r="CL74" s="156">
        <f>329-329+10</f>
        <v>10</v>
      </c>
      <c r="CM74" s="156">
        <f>131-131</f>
        <v>0</v>
      </c>
      <c r="CN74" s="156">
        <f>350-350+10</f>
        <v>10</v>
      </c>
      <c r="CO74" s="156">
        <f>478-478+5</f>
        <v>5</v>
      </c>
      <c r="CP74" s="156">
        <f>500-500</f>
        <v>0</v>
      </c>
      <c r="CQ74" s="156">
        <f>440-440</f>
        <v>0</v>
      </c>
      <c r="CR74" s="156">
        <f>100-100+10</f>
        <v>10</v>
      </c>
      <c r="CS74" s="156">
        <f>220-220+20</f>
        <v>20</v>
      </c>
      <c r="CT74" s="156">
        <f>375-375</f>
        <v>0</v>
      </c>
      <c r="CU74" s="156">
        <f>420-420+5</f>
        <v>5</v>
      </c>
      <c r="CV74" s="156">
        <f>525-525</f>
        <v>0</v>
      </c>
      <c r="CW74" s="154"/>
      <c r="CX74" s="156">
        <f>491-491</f>
        <v>0</v>
      </c>
      <c r="CY74" s="156">
        <f>314-314+20</f>
        <v>20</v>
      </c>
      <c r="CZ74" s="287">
        <v>30</v>
      </c>
      <c r="DA74" s="156">
        <f>180-180+40</f>
        <v>40</v>
      </c>
      <c r="DB74" s="156">
        <f>288-288</f>
        <v>0</v>
      </c>
      <c r="DC74" s="154"/>
      <c r="DD74" s="154"/>
      <c r="DE74" s="156">
        <f>500-500</f>
        <v>0</v>
      </c>
      <c r="DF74" s="154"/>
      <c r="DG74" s="154"/>
      <c r="DH74" s="156">
        <f>478-478</f>
        <v>0</v>
      </c>
      <c r="DI74" s="154"/>
      <c r="DJ74" s="156">
        <f>240-240+20</f>
        <v>20</v>
      </c>
      <c r="DK74" s="156">
        <f>200-200+50</f>
        <v>50</v>
      </c>
      <c r="DL74" s="156">
        <f>425-425+10</f>
        <v>10</v>
      </c>
      <c r="DM74" s="156">
        <f>90-90+40</f>
        <v>40</v>
      </c>
      <c r="DN74" s="156">
        <f>480-480</f>
        <v>0</v>
      </c>
      <c r="DO74" s="154"/>
      <c r="DP74" s="154"/>
      <c r="DU74" s="154"/>
      <c r="DV74" s="154"/>
      <c r="DW74" s="154"/>
      <c r="DX74" s="154"/>
      <c r="DY74" s="154"/>
      <c r="DZ74" s="154"/>
      <c r="EA74" s="156">
        <f>200-200</f>
        <v>0</v>
      </c>
      <c r="EB74" s="156">
        <f>200-200</f>
        <v>0</v>
      </c>
      <c r="EC74" s="154"/>
      <c r="ED74" s="154"/>
      <c r="EE74" s="247">
        <f>160</f>
        <v>160</v>
      </c>
      <c r="EF74" s="154"/>
      <c r="EG74" s="154"/>
      <c r="EH74" s="154"/>
      <c r="EI74" s="154"/>
      <c r="EJ74" s="154"/>
      <c r="EK74" s="154"/>
      <c r="EL74" s="156">
        <f>440-440+80</f>
        <v>80</v>
      </c>
      <c r="EM74" s="156">
        <f>200-200</f>
        <v>0</v>
      </c>
      <c r="EN74" s="154"/>
      <c r="EO74" s="156">
        <f>430-430</f>
        <v>0</v>
      </c>
      <c r="EP74" s="154"/>
      <c r="EQ74" s="156">
        <f>200-200+20</f>
        <v>20</v>
      </c>
      <c r="ER74" s="154"/>
      <c r="ES74" s="156">
        <f>100-100</f>
        <v>0</v>
      </c>
      <c r="ET74" s="154"/>
      <c r="EU74" s="156">
        <f>480-480</f>
        <v>0</v>
      </c>
      <c r="EV74" s="154"/>
      <c r="EW74" s="154"/>
      <c r="EX74" s="156">
        <f>490-490</f>
        <v>0</v>
      </c>
      <c r="EY74" s="154"/>
      <c r="EZ74" s="154"/>
      <c r="FA74" s="156">
        <f>100-100</f>
        <v>0</v>
      </c>
      <c r="FB74" s="156">
        <f>320-320</f>
        <v>0</v>
      </c>
      <c r="FC74" s="154"/>
      <c r="FD74" s="156">
        <f>500-500</f>
        <v>0</v>
      </c>
      <c r="FE74" s="156">
        <f>500-500</f>
        <v>0</v>
      </c>
      <c r="FF74" s="156">
        <f>390-390</f>
        <v>0</v>
      </c>
      <c r="FG74" s="156">
        <f>390-390</f>
        <v>0</v>
      </c>
      <c r="FH74" s="154"/>
      <c r="FI74" s="156">
        <f>390-390</f>
        <v>0</v>
      </c>
      <c r="FJ74" s="156">
        <f>360-360</f>
        <v>0</v>
      </c>
      <c r="FK74" s="156">
        <f>460-460</f>
        <v>0</v>
      </c>
      <c r="FL74" s="156">
        <f>500-500</f>
        <v>0</v>
      </c>
      <c r="FM74" s="154"/>
      <c r="FN74" s="156">
        <f>450-450</f>
        <v>0</v>
      </c>
      <c r="FO74" s="154"/>
      <c r="FP74" s="287">
        <v>40</v>
      </c>
      <c r="FQ74" s="156">
        <f>400-400</f>
        <v>0</v>
      </c>
      <c r="FR74" s="154"/>
      <c r="FS74" s="154"/>
      <c r="FT74" s="154"/>
      <c r="FU74" s="154"/>
      <c r="FV74" s="154"/>
      <c r="FW74" s="154"/>
      <c r="FX74" s="156">
        <f>485-485</f>
        <v>0</v>
      </c>
      <c r="FY74" s="154"/>
      <c r="FZ74" s="154"/>
      <c r="GA74" s="154"/>
      <c r="GB74" s="154"/>
      <c r="GC74" s="154"/>
      <c r="GD74" s="154"/>
      <c r="GE74" s="154"/>
      <c r="GF74" s="145"/>
      <c r="GG74" s="150"/>
      <c r="GH74" s="150"/>
      <c r="GI74" s="150"/>
      <c r="GJ74" s="150"/>
      <c r="GK74" s="150"/>
      <c r="GL74" s="150"/>
      <c r="GM74" s="150"/>
      <c r="GN74" s="150"/>
      <c r="GO74" s="150"/>
      <c r="GP74" s="150"/>
      <c r="GQ74" s="150"/>
      <c r="GR74" s="161"/>
      <c r="GS74" s="162"/>
      <c r="GT74" s="158"/>
      <c r="GU74" s="159"/>
      <c r="GV74" s="158" t="s">
        <v>579</v>
      </c>
      <c r="GW74" s="239">
        <f t="shared" si="11"/>
        <v>667</v>
      </c>
      <c r="GX74" s="145" t="s">
        <v>580</v>
      </c>
    </row>
    <row r="75" spans="1:207" s="136" customFormat="1">
      <c r="A75" s="139"/>
      <c r="B75" s="241" t="s">
        <v>517</v>
      </c>
      <c r="C75" s="158" t="s">
        <v>555</v>
      </c>
      <c r="D75" s="158" t="s">
        <v>3</v>
      </c>
      <c r="E75" s="154" t="s">
        <v>602</v>
      </c>
      <c r="F75" s="158" t="s">
        <v>520</v>
      </c>
      <c r="G75" s="139"/>
      <c r="H75" s="156">
        <f>30-30</f>
        <v>0</v>
      </c>
      <c r="I75" s="154"/>
      <c r="J75" s="154"/>
      <c r="K75" s="154"/>
      <c r="L75" s="156">
        <f>60-60</f>
        <v>0</v>
      </c>
      <c r="M75" s="154"/>
      <c r="N75" s="154"/>
      <c r="O75" s="154"/>
      <c r="P75" s="154"/>
      <c r="Q75" s="156">
        <f>60-60</f>
        <v>0</v>
      </c>
      <c r="R75" s="154"/>
      <c r="S75" s="154"/>
      <c r="T75" s="154"/>
      <c r="U75" s="156">
        <f>40-40</f>
        <v>0</v>
      </c>
      <c r="V75" s="154"/>
      <c r="W75" s="154"/>
      <c r="X75" s="150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4"/>
      <c r="CD75" s="154"/>
      <c r="CE75" s="154"/>
      <c r="CF75" s="154"/>
      <c r="CG75" s="154"/>
      <c r="CH75" s="154"/>
      <c r="CI75" s="154"/>
      <c r="CJ75" s="154"/>
      <c r="CK75" s="154"/>
      <c r="CL75" s="154"/>
      <c r="CM75" s="154"/>
      <c r="CN75" s="154"/>
      <c r="CO75" s="154"/>
      <c r="CP75" s="154"/>
      <c r="CQ75" s="154"/>
      <c r="CR75" s="154"/>
      <c r="CS75" s="154"/>
      <c r="CT75" s="154"/>
      <c r="CU75" s="154"/>
      <c r="CV75" s="154"/>
      <c r="CW75" s="154"/>
      <c r="CX75" s="154"/>
      <c r="CY75" s="154"/>
      <c r="CZ75" s="156">
        <f>257-257</f>
        <v>0</v>
      </c>
      <c r="DA75" s="154"/>
      <c r="DB75" s="154"/>
      <c r="DC75" s="154"/>
      <c r="DD75" s="154"/>
      <c r="DE75" s="154"/>
      <c r="DF75" s="154"/>
      <c r="DG75" s="154"/>
      <c r="DH75" s="154"/>
      <c r="DI75" s="154"/>
      <c r="DJ75" s="154"/>
      <c r="DK75" s="154"/>
      <c r="DL75" s="154"/>
      <c r="DM75" s="154"/>
      <c r="DN75" s="154"/>
      <c r="DO75" s="154"/>
      <c r="DP75" s="154"/>
      <c r="DQ75" s="154"/>
      <c r="DR75" s="154"/>
      <c r="DS75" s="154"/>
      <c r="DT75" s="154"/>
      <c r="DU75" s="154"/>
      <c r="DV75" s="154"/>
      <c r="DW75" s="154"/>
      <c r="DX75" s="154"/>
      <c r="DY75" s="154"/>
      <c r="DZ75" s="154"/>
      <c r="EA75" s="154"/>
      <c r="EB75" s="154"/>
      <c r="EC75" s="154"/>
      <c r="ED75" s="154"/>
      <c r="EE75" s="154"/>
      <c r="EF75" s="154"/>
      <c r="EG75" s="154"/>
      <c r="EH75" s="154"/>
      <c r="EI75" s="154"/>
      <c r="EJ75" s="154"/>
      <c r="EK75" s="154"/>
      <c r="EL75" s="154"/>
      <c r="EM75" s="154"/>
      <c r="EN75" s="154"/>
      <c r="EO75" s="154"/>
      <c r="EP75" s="154"/>
      <c r="EQ75" s="154"/>
      <c r="ER75" s="154"/>
      <c r="ES75" s="154"/>
      <c r="ET75" s="154"/>
      <c r="EU75" s="154"/>
      <c r="EV75" s="154"/>
      <c r="EW75" s="154"/>
      <c r="EX75" s="154"/>
      <c r="EY75" s="154"/>
      <c r="EZ75" s="154"/>
      <c r="FA75" s="154"/>
      <c r="FB75" s="154"/>
      <c r="FC75" s="154"/>
      <c r="FD75" s="154"/>
      <c r="FE75" s="154"/>
      <c r="FF75" s="154"/>
      <c r="FG75" s="154"/>
      <c r="FH75" s="154"/>
      <c r="FI75" s="154"/>
      <c r="FJ75" s="154"/>
      <c r="FK75" s="154"/>
      <c r="FL75" s="154"/>
      <c r="FM75" s="154"/>
      <c r="FN75" s="154"/>
      <c r="FO75" s="154"/>
      <c r="FP75" s="154"/>
      <c r="FQ75" s="154"/>
      <c r="FR75" s="154"/>
      <c r="FS75" s="154"/>
      <c r="FT75" s="154"/>
      <c r="FU75" s="156">
        <f>375-375</f>
        <v>0</v>
      </c>
      <c r="FV75" s="154"/>
      <c r="FW75" s="154"/>
      <c r="FX75" s="154"/>
      <c r="FY75" s="154"/>
      <c r="FZ75" s="154"/>
      <c r="GA75" s="154"/>
      <c r="GB75" s="154"/>
      <c r="GC75" s="154"/>
      <c r="GD75" s="154"/>
      <c r="GE75" s="154"/>
      <c r="GF75" s="145"/>
      <c r="GG75" s="150"/>
      <c r="GH75" s="150"/>
      <c r="GI75" s="150"/>
      <c r="GJ75" s="150"/>
      <c r="GK75" s="150"/>
      <c r="GL75" s="150"/>
      <c r="GM75" s="150"/>
      <c r="GN75" s="150"/>
      <c r="GO75" s="150"/>
      <c r="GP75" s="150"/>
      <c r="GQ75" s="150"/>
      <c r="GR75" s="161"/>
      <c r="GS75" s="162"/>
      <c r="GT75" s="158"/>
      <c r="GU75" s="159"/>
      <c r="GV75" s="158" t="s">
        <v>579</v>
      </c>
      <c r="GW75" s="239">
        <f t="shared" si="11"/>
        <v>0</v>
      </c>
      <c r="GX75" s="145" t="s">
        <v>580</v>
      </c>
    </row>
    <row r="76" spans="1:207" s="136" customFormat="1">
      <c r="A76" s="139"/>
      <c r="B76" s="139" t="s">
        <v>517</v>
      </c>
      <c r="C76" s="139" t="s">
        <v>555</v>
      </c>
      <c r="D76" s="139" t="s">
        <v>636</v>
      </c>
      <c r="E76" s="244" t="s">
        <v>825</v>
      </c>
      <c r="F76" s="139" t="s">
        <v>520</v>
      </c>
      <c r="G76" s="139" t="s">
        <v>826</v>
      </c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  <c r="AK76" s="150"/>
      <c r="AL76" s="150"/>
      <c r="AM76" s="150"/>
      <c r="AN76" s="150"/>
      <c r="AO76" s="150"/>
      <c r="AP76" s="150"/>
      <c r="AQ76" s="150"/>
      <c r="AR76" s="150"/>
      <c r="AS76" s="150"/>
      <c r="AT76" s="150"/>
      <c r="AU76" s="150"/>
      <c r="AV76" s="150"/>
      <c r="AW76" s="150"/>
      <c r="AX76" s="150"/>
      <c r="AY76" s="150"/>
      <c r="AZ76" s="150"/>
      <c r="BA76" s="150"/>
      <c r="BB76" s="150"/>
      <c r="BC76" s="150"/>
      <c r="BD76" s="150"/>
      <c r="BE76" s="150"/>
      <c r="BF76" s="150"/>
      <c r="BG76" s="150"/>
      <c r="BH76" s="150"/>
      <c r="BI76" s="150"/>
      <c r="BJ76" s="150"/>
      <c r="BK76" s="150"/>
      <c r="BL76" s="150"/>
      <c r="BM76" s="150"/>
      <c r="BN76" s="150"/>
      <c r="BO76" s="150"/>
      <c r="BP76" s="150"/>
      <c r="BQ76" s="150"/>
      <c r="BR76" s="150"/>
      <c r="BS76" s="150"/>
      <c r="BT76" s="150"/>
      <c r="BU76" s="150"/>
      <c r="BV76" s="150"/>
      <c r="BW76" s="150"/>
      <c r="BX76" s="150"/>
      <c r="BY76" s="150"/>
      <c r="BZ76" s="150"/>
      <c r="CA76" s="150"/>
      <c r="CB76" s="150"/>
      <c r="CC76" s="150"/>
      <c r="CD76" s="150"/>
      <c r="CE76" s="150"/>
      <c r="CF76" s="150"/>
      <c r="CG76" s="150"/>
      <c r="CH76" s="150"/>
      <c r="CI76" s="150"/>
      <c r="CJ76" s="150"/>
      <c r="CK76" s="150"/>
      <c r="CL76" s="150"/>
      <c r="CM76" s="150"/>
      <c r="CN76" s="150"/>
      <c r="CO76" s="150"/>
      <c r="CP76" s="150"/>
      <c r="CQ76" s="150"/>
      <c r="CR76" s="150"/>
      <c r="CS76" s="150"/>
      <c r="CT76" s="150"/>
      <c r="CU76" s="150"/>
      <c r="CV76" s="150"/>
      <c r="CW76" s="150"/>
      <c r="CX76" s="150"/>
      <c r="CY76" s="150"/>
      <c r="CZ76" s="150"/>
      <c r="DA76" s="150"/>
      <c r="DB76" s="150"/>
      <c r="DC76" s="150"/>
      <c r="DD76" s="150"/>
      <c r="DE76" s="150"/>
      <c r="DF76" s="150"/>
      <c r="DG76" s="150"/>
      <c r="DH76" s="150"/>
      <c r="DI76" s="150"/>
      <c r="DJ76" s="150"/>
      <c r="DK76" s="150"/>
      <c r="DL76" s="150"/>
      <c r="DM76" s="150"/>
      <c r="DN76" s="150"/>
      <c r="DO76" s="150"/>
      <c r="DP76" s="150"/>
      <c r="DQ76" s="150"/>
      <c r="DR76" s="150"/>
      <c r="DS76" s="150"/>
      <c r="DT76" s="150"/>
      <c r="DU76" s="150"/>
      <c r="DV76" s="150"/>
      <c r="DW76" s="150"/>
      <c r="DX76" s="150"/>
      <c r="DY76" s="150"/>
      <c r="DZ76" s="150"/>
      <c r="EA76" s="150"/>
      <c r="EB76" s="150"/>
      <c r="EC76" s="150"/>
      <c r="ED76" s="150"/>
      <c r="EE76" s="150"/>
      <c r="EF76" s="150"/>
      <c r="EG76" s="150"/>
      <c r="EH76" s="150"/>
      <c r="EI76" s="150"/>
      <c r="EJ76" s="150"/>
      <c r="EK76" s="150"/>
      <c r="EL76" s="150"/>
      <c r="EM76" s="150"/>
      <c r="EN76" s="150"/>
      <c r="EO76" s="150"/>
      <c r="EP76" s="150"/>
      <c r="EQ76" s="150"/>
      <c r="ER76" s="150"/>
      <c r="ES76" s="150"/>
      <c r="ET76" s="150"/>
      <c r="EU76" s="150"/>
      <c r="EV76" s="150"/>
      <c r="EW76" s="150"/>
      <c r="EX76" s="150"/>
      <c r="EY76" s="150"/>
      <c r="EZ76" s="150"/>
      <c r="FA76" s="150"/>
      <c r="FB76" s="150"/>
      <c r="FC76" s="150"/>
      <c r="FD76" s="150"/>
      <c r="FE76" s="150"/>
      <c r="FF76" s="150"/>
      <c r="FG76" s="150"/>
      <c r="FH76" s="150"/>
      <c r="FI76" s="150"/>
      <c r="FJ76" s="150"/>
      <c r="FK76" s="150"/>
      <c r="FL76" s="150"/>
      <c r="FM76" s="150"/>
      <c r="FN76" s="150"/>
      <c r="FO76" s="150"/>
      <c r="FP76" s="150"/>
      <c r="FQ76" s="150"/>
      <c r="FR76" s="150"/>
      <c r="FS76" s="150"/>
      <c r="FT76" s="150"/>
      <c r="FU76" s="150"/>
      <c r="FV76" s="150"/>
      <c r="FW76" s="150"/>
      <c r="FX76" s="150"/>
      <c r="FY76" s="150"/>
      <c r="FZ76" s="150"/>
      <c r="GA76" s="150"/>
      <c r="GB76" s="150"/>
      <c r="GC76" s="150"/>
      <c r="GD76" s="150"/>
      <c r="GE76" s="150"/>
      <c r="GF76" s="150"/>
      <c r="GG76" s="150"/>
      <c r="GH76" s="150"/>
      <c r="GI76" s="150"/>
      <c r="GJ76" s="150"/>
      <c r="GK76" s="150"/>
      <c r="GL76" s="150"/>
      <c r="GM76" s="150"/>
      <c r="GN76" s="150"/>
      <c r="GO76" s="150"/>
      <c r="GP76" s="150"/>
      <c r="GQ76" s="150"/>
      <c r="GR76" s="161"/>
      <c r="GS76" s="162"/>
      <c r="GT76" s="159" t="s">
        <v>522</v>
      </c>
      <c r="GU76" s="159" t="s">
        <v>827</v>
      </c>
      <c r="GV76" s="159" t="s">
        <v>828</v>
      </c>
      <c r="GW76" s="239">
        <f t="shared" si="11"/>
        <v>0</v>
      </c>
      <c r="GX76" s="136" t="s">
        <v>560</v>
      </c>
      <c r="GY76" s="136" t="s">
        <v>799</v>
      </c>
    </row>
    <row r="77" spans="1:207" s="136" customFormat="1">
      <c r="A77" s="139"/>
      <c r="B77" s="139" t="s">
        <v>517</v>
      </c>
      <c r="C77" s="139" t="s">
        <v>555</v>
      </c>
      <c r="D77" s="139" t="s">
        <v>4</v>
      </c>
      <c r="E77" s="244" t="s">
        <v>825</v>
      </c>
      <c r="F77" s="139" t="s">
        <v>520</v>
      </c>
      <c r="G77" s="139" t="s">
        <v>826</v>
      </c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0"/>
      <c r="AR77" s="150"/>
      <c r="AS77" s="150"/>
      <c r="AT77" s="150"/>
      <c r="AU77" s="150"/>
      <c r="AV77" s="150"/>
      <c r="AW77" s="150"/>
      <c r="AX77" s="150"/>
      <c r="AY77" s="150"/>
      <c r="AZ77" s="150"/>
      <c r="BA77" s="150"/>
      <c r="BB77" s="150"/>
      <c r="BC77" s="150"/>
      <c r="BD77" s="150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150"/>
      <c r="CE77" s="150"/>
      <c r="CF77" s="150"/>
      <c r="CG77" s="150"/>
      <c r="CH77" s="150"/>
      <c r="CI77" s="150"/>
      <c r="CJ77" s="150"/>
      <c r="CK77" s="150"/>
      <c r="CL77" s="150"/>
      <c r="CM77" s="150"/>
      <c r="CN77" s="150"/>
      <c r="CO77" s="150"/>
      <c r="CP77" s="150"/>
      <c r="CQ77" s="150"/>
      <c r="CR77" s="142">
        <f>10-10+1</f>
        <v>1</v>
      </c>
      <c r="CS77" s="142">
        <f>10-10+2</f>
        <v>2</v>
      </c>
      <c r="CT77" s="150"/>
      <c r="CU77" s="150"/>
      <c r="CV77" s="150"/>
      <c r="CW77" s="150"/>
      <c r="CX77" s="142">
        <f>10-10</f>
        <v>0</v>
      </c>
      <c r="CY77" s="150"/>
      <c r="CZ77" s="150"/>
      <c r="DA77" s="150"/>
      <c r="DB77" s="150"/>
      <c r="DC77" s="150"/>
      <c r="DD77" s="150"/>
      <c r="DE77" s="150"/>
      <c r="DF77" s="150"/>
      <c r="DG77" s="150"/>
      <c r="DH77" s="150"/>
      <c r="DI77" s="150"/>
      <c r="DJ77" s="150"/>
      <c r="DK77" s="150"/>
      <c r="DL77" s="150"/>
      <c r="DM77" s="150"/>
      <c r="DN77" s="150"/>
      <c r="DO77" s="150"/>
      <c r="DP77" s="150"/>
      <c r="DQ77" s="150"/>
      <c r="DR77" s="150"/>
      <c r="DS77" s="150"/>
      <c r="DT77" s="150"/>
      <c r="DU77" s="150"/>
      <c r="DV77" s="150"/>
      <c r="DW77" s="150"/>
      <c r="DX77" s="150"/>
      <c r="DY77" s="150"/>
      <c r="DZ77" s="150"/>
      <c r="EA77" s="150"/>
      <c r="EB77" s="150"/>
      <c r="EC77" s="150"/>
      <c r="ED77" s="150"/>
      <c r="EE77" s="150"/>
      <c r="EF77" s="150"/>
      <c r="EG77" s="150"/>
      <c r="EH77" s="150"/>
      <c r="EI77" s="150"/>
      <c r="EJ77" s="150"/>
      <c r="EK77" s="150"/>
      <c r="EL77" s="142">
        <f>40-40+2</f>
        <v>2</v>
      </c>
      <c r="EM77" s="150"/>
      <c r="EN77" s="150"/>
      <c r="EO77" s="150"/>
      <c r="EP77" s="150"/>
      <c r="EQ77" s="150"/>
      <c r="ER77" s="150"/>
      <c r="ES77" s="150"/>
      <c r="ET77" s="150"/>
      <c r="EU77" s="150"/>
      <c r="EV77" s="142">
        <f>40-40</f>
        <v>0</v>
      </c>
      <c r="EW77" s="150"/>
      <c r="EX77" s="150"/>
      <c r="EY77" s="150"/>
      <c r="EZ77" s="150"/>
      <c r="FA77" s="150"/>
      <c r="FB77" s="150"/>
      <c r="FC77" s="150"/>
      <c r="FD77" s="150"/>
      <c r="FE77" s="150"/>
      <c r="FF77" s="150"/>
      <c r="FG77" s="150"/>
      <c r="FH77" s="150"/>
      <c r="FI77" s="150"/>
      <c r="FJ77" s="150"/>
      <c r="FK77" s="150"/>
      <c r="FL77" s="150"/>
      <c r="FM77" s="150"/>
      <c r="FN77" s="150"/>
      <c r="FO77" s="150"/>
      <c r="FP77" s="150"/>
      <c r="FQ77" s="150"/>
      <c r="FR77" s="150"/>
      <c r="FS77" s="150"/>
      <c r="FT77" s="150"/>
      <c r="FU77" s="150"/>
      <c r="FV77" s="150"/>
      <c r="FW77" s="150"/>
      <c r="FX77" s="150"/>
      <c r="FY77" s="150"/>
      <c r="FZ77" s="150"/>
      <c r="GA77" s="150"/>
      <c r="GB77" s="150"/>
      <c r="GC77" s="150"/>
      <c r="GD77" s="150"/>
      <c r="GE77" s="150"/>
      <c r="GF77" s="150"/>
      <c r="GG77" s="150"/>
      <c r="GH77" s="150"/>
      <c r="GI77" s="150"/>
      <c r="GJ77" s="150"/>
      <c r="GK77" s="150"/>
      <c r="GL77" s="150"/>
      <c r="GM77" s="150"/>
      <c r="GN77" s="150"/>
      <c r="GO77" s="150"/>
      <c r="GP77" s="150"/>
      <c r="GQ77" s="150"/>
      <c r="GR77" s="161"/>
      <c r="GS77" s="162"/>
      <c r="GT77" s="159" t="s">
        <v>522</v>
      </c>
      <c r="GU77" s="159" t="s">
        <v>827</v>
      </c>
      <c r="GV77" s="159" t="s">
        <v>828</v>
      </c>
      <c r="GW77" s="239">
        <f t="shared" si="11"/>
        <v>5</v>
      </c>
      <c r="GX77" s="136" t="s">
        <v>560</v>
      </c>
    </row>
    <row r="78" spans="1:207" s="136" customFormat="1">
      <c r="A78" s="139"/>
      <c r="B78" s="139" t="s">
        <v>517</v>
      </c>
      <c r="C78" s="139" t="s">
        <v>555</v>
      </c>
      <c r="D78" s="139" t="s">
        <v>632</v>
      </c>
      <c r="E78" s="244" t="s">
        <v>825</v>
      </c>
      <c r="F78" s="139" t="s">
        <v>520</v>
      </c>
      <c r="G78" s="139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  <c r="AK78" s="150"/>
      <c r="AL78" s="150"/>
      <c r="AM78" s="150"/>
      <c r="AN78" s="150"/>
      <c r="AO78" s="150"/>
      <c r="AP78" s="150"/>
      <c r="AQ78" s="150"/>
      <c r="AR78" s="150"/>
      <c r="AS78" s="150"/>
      <c r="AT78" s="150"/>
      <c r="AU78" s="150"/>
      <c r="AV78" s="150"/>
      <c r="AW78" s="150"/>
      <c r="AX78" s="150"/>
      <c r="AY78" s="150"/>
      <c r="AZ78" s="150"/>
      <c r="BA78" s="150"/>
      <c r="BB78" s="150"/>
      <c r="BC78" s="150"/>
      <c r="BD78" s="150"/>
      <c r="BE78" s="150"/>
      <c r="BF78" s="150"/>
      <c r="BG78" s="150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  <c r="BT78" s="150"/>
      <c r="BU78" s="150"/>
      <c r="BV78" s="150"/>
      <c r="BW78" s="150"/>
      <c r="BX78" s="150"/>
      <c r="BY78" s="150"/>
      <c r="BZ78" s="150"/>
      <c r="CA78" s="150"/>
      <c r="CB78" s="150"/>
      <c r="CC78" s="150"/>
      <c r="CD78" s="150"/>
      <c r="CE78" s="150"/>
      <c r="CF78" s="150"/>
      <c r="CG78" s="150"/>
      <c r="CH78" s="150"/>
      <c r="CI78" s="150"/>
      <c r="CJ78" s="150"/>
      <c r="CK78" s="150"/>
      <c r="CL78" s="150"/>
      <c r="CM78" s="150"/>
      <c r="CN78" s="150"/>
      <c r="CO78" s="150"/>
      <c r="CP78" s="150"/>
      <c r="CQ78" s="150"/>
      <c r="CR78" s="150"/>
      <c r="CS78" s="150"/>
      <c r="CT78" s="150"/>
      <c r="CU78" s="150"/>
      <c r="CV78" s="150"/>
      <c r="CW78" s="150"/>
      <c r="CX78" s="150"/>
      <c r="CY78" s="150"/>
      <c r="CZ78" s="150"/>
      <c r="DA78" s="150"/>
      <c r="DB78" s="150"/>
      <c r="DC78" s="150"/>
      <c r="DD78" s="150"/>
      <c r="DE78" s="150"/>
      <c r="DF78" s="150"/>
      <c r="DG78" s="150"/>
      <c r="DH78" s="150"/>
      <c r="DI78" s="150"/>
      <c r="DJ78" s="150"/>
      <c r="DK78" s="150"/>
      <c r="DL78" s="150"/>
      <c r="DM78" s="150"/>
      <c r="DN78" s="150"/>
      <c r="DO78" s="150"/>
      <c r="DP78" s="150"/>
      <c r="DQ78" s="150"/>
      <c r="DR78" s="150"/>
      <c r="DS78" s="150"/>
      <c r="DT78" s="150"/>
      <c r="DU78" s="150"/>
      <c r="DV78" s="150"/>
      <c r="DW78" s="150"/>
      <c r="DX78" s="150"/>
      <c r="DY78" s="150"/>
      <c r="DZ78" s="150"/>
      <c r="EA78" s="150"/>
      <c r="EB78" s="150"/>
      <c r="EC78" s="150"/>
      <c r="ED78" s="150"/>
      <c r="EE78" s="150"/>
      <c r="EF78" s="150"/>
      <c r="EG78" s="150"/>
      <c r="EH78" s="150"/>
      <c r="EI78" s="150"/>
      <c r="EJ78" s="150"/>
      <c r="EK78" s="150"/>
      <c r="EL78" s="150"/>
      <c r="EM78" s="150"/>
      <c r="EN78" s="150"/>
      <c r="EO78" s="150"/>
      <c r="EP78" s="150"/>
      <c r="EQ78" s="150"/>
      <c r="ER78" s="150"/>
      <c r="ES78" s="150"/>
      <c r="ET78" s="150"/>
      <c r="EU78" s="150"/>
      <c r="EV78" s="150"/>
      <c r="EW78" s="150"/>
      <c r="EX78" s="150"/>
      <c r="EY78" s="150"/>
      <c r="EZ78" s="150"/>
      <c r="FA78" s="150"/>
      <c r="FB78" s="150"/>
      <c r="FC78" s="150"/>
      <c r="FD78" s="150"/>
      <c r="FE78" s="150"/>
      <c r="FF78" s="150"/>
      <c r="FG78" s="150"/>
      <c r="FH78" s="150"/>
      <c r="FI78" s="150"/>
      <c r="FJ78" s="150"/>
      <c r="FK78" s="150"/>
      <c r="FL78" s="150"/>
      <c r="FM78" s="150"/>
      <c r="FN78" s="150"/>
      <c r="FO78" s="150"/>
      <c r="FP78" s="150"/>
      <c r="FQ78" s="150"/>
      <c r="FR78" s="150"/>
      <c r="FS78" s="150"/>
      <c r="FT78" s="150"/>
      <c r="FU78" s="150"/>
      <c r="FV78" s="150"/>
      <c r="FW78" s="150"/>
      <c r="FX78" s="150"/>
      <c r="FY78" s="150"/>
      <c r="FZ78" s="150"/>
      <c r="GA78" s="150"/>
      <c r="GB78" s="150"/>
      <c r="GC78" s="150"/>
      <c r="GD78" s="150"/>
      <c r="GE78" s="150"/>
      <c r="GF78" s="150"/>
      <c r="GG78" s="150"/>
      <c r="GH78" s="150"/>
      <c r="GI78" s="150"/>
      <c r="GJ78" s="150"/>
      <c r="GK78" s="150"/>
      <c r="GL78" s="150"/>
      <c r="GM78" s="150"/>
      <c r="GN78" s="150"/>
      <c r="GO78" s="150"/>
      <c r="GP78" s="150"/>
      <c r="GQ78" s="150"/>
      <c r="GR78" s="161"/>
      <c r="GS78" s="162"/>
      <c r="GT78" s="159" t="s">
        <v>522</v>
      </c>
      <c r="GU78" s="159" t="s">
        <v>827</v>
      </c>
      <c r="GV78" s="159" t="s">
        <v>828</v>
      </c>
      <c r="GW78" s="239">
        <f t="shared" si="11"/>
        <v>0</v>
      </c>
      <c r="GX78" s="136" t="s">
        <v>560</v>
      </c>
      <c r="GY78" s="136" t="s">
        <v>799</v>
      </c>
    </row>
    <row r="79" spans="1:207" s="136" customFormat="1">
      <c r="A79" s="139"/>
      <c r="B79" s="139" t="s">
        <v>517</v>
      </c>
      <c r="C79" s="139" t="s">
        <v>555</v>
      </c>
      <c r="D79" s="139" t="s">
        <v>636</v>
      </c>
      <c r="E79" s="244" t="s">
        <v>604</v>
      </c>
      <c r="F79" s="139" t="s">
        <v>520</v>
      </c>
      <c r="G79" s="139" t="s">
        <v>829</v>
      </c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0"/>
      <c r="BF79" s="150"/>
      <c r="BG79" s="150"/>
      <c r="BH79" s="150"/>
      <c r="BI79" s="150"/>
      <c r="BJ79" s="150"/>
      <c r="BK79" s="150"/>
      <c r="BL79" s="150"/>
      <c r="BM79" s="150"/>
      <c r="BN79" s="150"/>
      <c r="BO79" s="150"/>
      <c r="BP79" s="150"/>
      <c r="BQ79" s="150"/>
      <c r="BR79" s="150"/>
      <c r="BS79" s="150"/>
      <c r="BT79" s="150"/>
      <c r="BU79" s="150"/>
      <c r="BV79" s="150"/>
      <c r="BW79" s="150"/>
      <c r="BX79" s="150"/>
      <c r="BY79" s="150"/>
      <c r="BZ79" s="150"/>
      <c r="CA79" s="150"/>
      <c r="CB79" s="150"/>
      <c r="CC79" s="150"/>
      <c r="CD79" s="150"/>
      <c r="CE79" s="150"/>
      <c r="CF79" s="150"/>
      <c r="CG79" s="150"/>
      <c r="CH79" s="150"/>
      <c r="CI79" s="150"/>
      <c r="CJ79" s="150"/>
      <c r="CK79" s="150"/>
      <c r="CL79" s="150"/>
      <c r="CM79" s="150"/>
      <c r="CN79" s="150"/>
      <c r="CO79" s="150"/>
      <c r="CP79" s="150"/>
      <c r="CQ79" s="150"/>
      <c r="CR79" s="150"/>
      <c r="CS79" s="150"/>
      <c r="CT79" s="150"/>
      <c r="CU79" s="150"/>
      <c r="CV79" s="150"/>
      <c r="CW79" s="150"/>
      <c r="CX79" s="150"/>
      <c r="CY79" s="150"/>
      <c r="CZ79" s="150"/>
      <c r="DA79" s="150"/>
      <c r="DB79" s="150"/>
      <c r="DC79" s="150"/>
      <c r="DD79" s="150"/>
      <c r="DE79" s="150"/>
      <c r="DF79" s="150"/>
      <c r="DG79" s="150"/>
      <c r="DH79" s="150"/>
      <c r="DI79" s="150"/>
      <c r="DJ79" s="150"/>
      <c r="DK79" s="150"/>
      <c r="DL79" s="150"/>
      <c r="DM79" s="150"/>
      <c r="DN79" s="150"/>
      <c r="DO79" s="150"/>
      <c r="DP79" s="150"/>
      <c r="DQ79" s="150"/>
      <c r="DR79" s="150"/>
      <c r="DS79" s="150"/>
      <c r="DT79" s="150"/>
      <c r="DU79" s="150"/>
      <c r="DV79" s="150"/>
      <c r="DW79" s="150"/>
      <c r="DX79" s="150"/>
      <c r="DY79" s="150"/>
      <c r="DZ79" s="150"/>
      <c r="EA79" s="150"/>
      <c r="EB79" s="150"/>
      <c r="EC79" s="150"/>
      <c r="ED79" s="150"/>
      <c r="EE79" s="150"/>
      <c r="EF79" s="150"/>
      <c r="EG79" s="150"/>
      <c r="EH79" s="150"/>
      <c r="EI79" s="150"/>
      <c r="EJ79" s="150"/>
      <c r="EK79" s="150"/>
      <c r="EL79" s="150"/>
      <c r="EM79" s="150"/>
      <c r="EN79" s="150"/>
      <c r="EO79" s="150"/>
      <c r="EP79" s="150"/>
      <c r="EQ79" s="150"/>
      <c r="ER79" s="150"/>
      <c r="ES79" s="150"/>
      <c r="ET79" s="150"/>
      <c r="EU79" s="150"/>
      <c r="EV79" s="150"/>
      <c r="EW79" s="150"/>
      <c r="EX79" s="150"/>
      <c r="EY79" s="150"/>
      <c r="EZ79" s="150"/>
      <c r="FA79" s="150"/>
      <c r="FB79" s="150"/>
      <c r="FC79" s="150"/>
      <c r="FD79" s="150"/>
      <c r="FE79" s="150"/>
      <c r="FF79" s="150"/>
      <c r="FG79" s="150"/>
      <c r="FH79" s="150"/>
      <c r="FI79" s="150"/>
      <c r="FJ79" s="150"/>
      <c r="FK79" s="150"/>
      <c r="FL79" s="150"/>
      <c r="FM79" s="150"/>
      <c r="FN79" s="150"/>
      <c r="FO79" s="150"/>
      <c r="FP79" s="150"/>
      <c r="FQ79" s="150"/>
      <c r="FR79" s="150"/>
      <c r="FS79" s="150"/>
      <c r="FT79" s="150"/>
      <c r="FU79" s="150"/>
      <c r="FV79" s="150"/>
      <c r="FW79" s="150"/>
      <c r="FX79" s="150"/>
      <c r="FY79" s="150"/>
      <c r="FZ79" s="150"/>
      <c r="GA79" s="150"/>
      <c r="GB79" s="150"/>
      <c r="GC79" s="150"/>
      <c r="GD79" s="150"/>
      <c r="GE79" s="150"/>
      <c r="GF79" s="150"/>
      <c r="GG79" s="150"/>
      <c r="GH79" s="150"/>
      <c r="GI79" s="150"/>
      <c r="GJ79" s="150"/>
      <c r="GK79" s="150"/>
      <c r="GL79" s="150"/>
      <c r="GM79" s="150"/>
      <c r="GN79" s="150"/>
      <c r="GO79" s="150"/>
      <c r="GP79" s="150"/>
      <c r="GQ79" s="150"/>
      <c r="GR79" s="161"/>
      <c r="GS79" s="162"/>
      <c r="GT79" s="158" t="s">
        <v>522</v>
      </c>
      <c r="GU79" s="159" t="s">
        <v>830</v>
      </c>
      <c r="GV79" s="159" t="s">
        <v>831</v>
      </c>
      <c r="GW79" s="239">
        <f t="shared" si="11"/>
        <v>0</v>
      </c>
      <c r="GX79" s="136" t="s">
        <v>560</v>
      </c>
      <c r="GY79" s="136" t="s">
        <v>799</v>
      </c>
    </row>
    <row r="80" spans="1:207" s="136" customFormat="1">
      <c r="A80" s="139"/>
      <c r="B80" s="139" t="s">
        <v>517</v>
      </c>
      <c r="C80" s="139" t="s">
        <v>555</v>
      </c>
      <c r="D80" s="139" t="s">
        <v>4</v>
      </c>
      <c r="E80" s="244" t="s">
        <v>604</v>
      </c>
      <c r="F80" s="139" t="s">
        <v>520</v>
      </c>
      <c r="G80" s="139" t="s">
        <v>829</v>
      </c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0"/>
      <c r="AW80" s="150"/>
      <c r="AX80" s="150"/>
      <c r="AY80" s="150"/>
      <c r="AZ80" s="150"/>
      <c r="BA80" s="150"/>
      <c r="BB80" s="150"/>
      <c r="BC80" s="150"/>
      <c r="BD80" s="150"/>
      <c r="BE80" s="150"/>
      <c r="BF80" s="150"/>
      <c r="BG80" s="150"/>
      <c r="BH80" s="150"/>
      <c r="BI80" s="150"/>
      <c r="BJ80" s="150"/>
      <c r="BK80" s="150"/>
      <c r="BL80" s="150"/>
      <c r="BM80" s="150"/>
      <c r="BN80" s="150"/>
      <c r="BO80" s="150"/>
      <c r="BP80" s="150"/>
      <c r="BQ80" s="150"/>
      <c r="BR80" s="150"/>
      <c r="BS80" s="150"/>
      <c r="BT80" s="150"/>
      <c r="BU80" s="150"/>
      <c r="BV80" s="150"/>
      <c r="BW80" s="150"/>
      <c r="BX80" s="150"/>
      <c r="BY80" s="150"/>
      <c r="BZ80" s="150"/>
      <c r="CA80" s="150"/>
      <c r="CB80" s="150"/>
      <c r="CC80" s="150"/>
      <c r="CD80" s="150"/>
      <c r="CE80" s="150"/>
      <c r="CF80" s="150"/>
      <c r="CG80" s="142">
        <f>10-10+5</f>
        <v>5</v>
      </c>
      <c r="CH80" s="142">
        <f>10-10</f>
        <v>0</v>
      </c>
      <c r="CI80" s="142">
        <f>10-10</f>
        <v>0</v>
      </c>
      <c r="CJ80" s="142">
        <f>10-10</f>
        <v>0</v>
      </c>
      <c r="CK80" s="150"/>
      <c r="CL80" s="150"/>
      <c r="CM80" s="150"/>
      <c r="CN80" s="142">
        <f>20-20+1</f>
        <v>1</v>
      </c>
      <c r="CO80" s="142">
        <f>20-20+1</f>
        <v>1</v>
      </c>
      <c r="CP80" s="142">
        <f>20-20</f>
        <v>0</v>
      </c>
      <c r="CQ80" s="150"/>
      <c r="CR80" s="150"/>
      <c r="CS80" s="142">
        <f>10-10+2</f>
        <v>2</v>
      </c>
      <c r="CT80" s="150"/>
      <c r="CU80" s="150"/>
      <c r="CV80" s="150"/>
      <c r="CW80" s="150"/>
      <c r="CX80" s="150"/>
      <c r="CY80" s="150"/>
      <c r="CZ80" s="150"/>
      <c r="DA80" s="142">
        <f>10-10+5</f>
        <v>5</v>
      </c>
      <c r="DB80" s="142">
        <f>10-10</f>
        <v>0</v>
      </c>
      <c r="DC80" s="142">
        <f>10-10+5</f>
        <v>5</v>
      </c>
      <c r="DD80" s="150"/>
      <c r="DE80" s="150"/>
      <c r="DF80" s="142">
        <f>10-10</f>
        <v>0</v>
      </c>
      <c r="DG80" s="142">
        <f>10-10</f>
        <v>0</v>
      </c>
      <c r="DH80" s="150"/>
      <c r="DI80" s="150"/>
      <c r="DJ80" s="150"/>
      <c r="DK80" s="142">
        <f>50-50+5</f>
        <v>5</v>
      </c>
      <c r="DL80" s="142">
        <f>20-20+2</f>
        <v>2</v>
      </c>
      <c r="DM80" s="150"/>
      <c r="DN80" s="150"/>
      <c r="DO80" s="150"/>
      <c r="DP80" s="150"/>
      <c r="DQ80" s="150"/>
      <c r="DR80" s="150"/>
      <c r="DS80" s="150"/>
      <c r="DT80" s="150"/>
      <c r="DU80" s="150"/>
      <c r="DV80" s="150"/>
      <c r="DW80" s="150"/>
      <c r="DX80" s="142">
        <f>30-30</f>
        <v>0</v>
      </c>
      <c r="DY80" s="150"/>
      <c r="DZ80" s="150"/>
      <c r="EA80" s="150"/>
      <c r="EB80" s="150"/>
      <c r="EC80" s="150"/>
      <c r="ED80" s="150"/>
      <c r="EE80" s="150"/>
      <c r="EF80" s="150"/>
      <c r="EG80" s="150"/>
      <c r="EH80" s="150"/>
      <c r="EI80" s="150"/>
      <c r="EJ80" s="150"/>
      <c r="EK80" s="150"/>
      <c r="EL80" s="142">
        <f>50-50+2</f>
        <v>2</v>
      </c>
      <c r="EM80" s="150"/>
      <c r="EN80" s="150"/>
      <c r="EO80" s="142">
        <f>50-50+10</f>
        <v>10</v>
      </c>
      <c r="EP80" s="150"/>
      <c r="EQ80" s="150"/>
      <c r="ER80" s="150"/>
      <c r="ES80" s="150"/>
      <c r="ET80" s="150"/>
      <c r="EU80" s="150"/>
      <c r="EV80" s="142">
        <f>50-50</f>
        <v>0</v>
      </c>
      <c r="EW80" s="150"/>
      <c r="EX80" s="150"/>
      <c r="EY80" s="150"/>
      <c r="EZ80" s="150"/>
      <c r="FA80" s="150"/>
      <c r="FB80" s="150"/>
      <c r="FC80" s="150"/>
      <c r="FD80" s="150"/>
      <c r="FE80" s="150"/>
      <c r="FF80" s="150"/>
      <c r="FG80" s="150"/>
      <c r="FH80" s="150"/>
      <c r="FI80" s="150"/>
      <c r="FJ80" s="150"/>
      <c r="FK80" s="150"/>
      <c r="FL80" s="150"/>
      <c r="FM80" s="150"/>
      <c r="FN80" s="150"/>
      <c r="FO80" s="142">
        <f>30-30</f>
        <v>0</v>
      </c>
      <c r="FP80" s="150"/>
      <c r="FQ80" s="150"/>
      <c r="FR80" s="150"/>
      <c r="FS80" s="150"/>
      <c r="FT80" s="150"/>
      <c r="FU80" s="150"/>
      <c r="FV80" s="150"/>
      <c r="FW80" s="150"/>
      <c r="FX80" s="150"/>
      <c r="FY80" s="150"/>
      <c r="FZ80" s="150"/>
      <c r="GA80" s="150"/>
      <c r="GB80" s="150"/>
      <c r="GC80" s="150"/>
      <c r="GD80" s="150"/>
      <c r="GE80" s="150"/>
      <c r="GF80" s="150"/>
      <c r="GG80" s="150"/>
      <c r="GH80" s="150"/>
      <c r="GI80" s="150"/>
      <c r="GJ80" s="150"/>
      <c r="GK80" s="150"/>
      <c r="GL80" s="150"/>
      <c r="GM80" s="150"/>
      <c r="GN80" s="150"/>
      <c r="GO80" s="150"/>
      <c r="GP80" s="150"/>
      <c r="GQ80" s="150"/>
      <c r="GR80" s="161"/>
      <c r="GS80" s="162"/>
      <c r="GT80" s="159" t="s">
        <v>522</v>
      </c>
      <c r="GU80" s="159" t="s">
        <v>830</v>
      </c>
      <c r="GV80" s="159" t="s">
        <v>831</v>
      </c>
      <c r="GW80" s="239">
        <f t="shared" si="11"/>
        <v>38</v>
      </c>
      <c r="GX80" s="136" t="s">
        <v>560</v>
      </c>
    </row>
    <row r="81" spans="1:207" s="136" customFormat="1">
      <c r="A81" s="154"/>
      <c r="B81" s="241" t="s">
        <v>517</v>
      </c>
      <c r="C81" s="158" t="s">
        <v>555</v>
      </c>
      <c r="D81" s="154" t="s">
        <v>8</v>
      </c>
      <c r="E81" s="154" t="s">
        <v>728</v>
      </c>
      <c r="F81" s="139" t="s">
        <v>520</v>
      </c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  <c r="BB81" s="154"/>
      <c r="BC81" s="154"/>
      <c r="BD81" s="154"/>
      <c r="BE81" s="154"/>
      <c r="BF81" s="154"/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/>
      <c r="BU81" s="154"/>
      <c r="BV81" s="154"/>
      <c r="BW81" s="154"/>
      <c r="BX81" s="154"/>
      <c r="BY81" s="154"/>
      <c r="BZ81" s="154"/>
      <c r="CA81" s="154"/>
      <c r="CB81" s="154"/>
      <c r="CC81" s="154"/>
      <c r="CD81" s="154"/>
      <c r="CE81" s="154"/>
      <c r="CF81" s="154"/>
      <c r="CG81" s="154"/>
      <c r="CH81" s="154"/>
      <c r="CI81" s="154"/>
      <c r="CJ81" s="154"/>
      <c r="CK81" s="154"/>
      <c r="CL81" s="154"/>
      <c r="CM81" s="154"/>
      <c r="CN81" s="154"/>
      <c r="CO81" s="154"/>
      <c r="CP81" s="154"/>
      <c r="CQ81" s="154"/>
      <c r="CR81" s="154"/>
      <c r="CS81" s="154"/>
      <c r="CT81" s="154"/>
      <c r="CU81" s="154"/>
      <c r="CV81" s="154"/>
      <c r="CW81" s="154"/>
      <c r="CX81" s="154"/>
      <c r="CY81" s="154"/>
      <c r="CZ81" s="154"/>
      <c r="DA81" s="154"/>
      <c r="DB81" s="154"/>
      <c r="DC81" s="154"/>
      <c r="DD81" s="154"/>
      <c r="DE81" s="154"/>
      <c r="DF81" s="154"/>
      <c r="DG81" s="154"/>
      <c r="DH81" s="154"/>
      <c r="DI81" s="154"/>
      <c r="DJ81" s="154"/>
      <c r="DK81" s="154"/>
      <c r="DL81" s="154"/>
      <c r="DM81" s="154"/>
      <c r="DN81" s="154"/>
      <c r="DO81" s="154"/>
      <c r="DP81" s="154"/>
      <c r="DQ81" s="154"/>
      <c r="DR81" s="154"/>
      <c r="DS81" s="154"/>
      <c r="DT81" s="154"/>
      <c r="DU81" s="154"/>
      <c r="DV81" s="154"/>
      <c r="DW81" s="154"/>
      <c r="DX81" s="154"/>
      <c r="DY81" s="154"/>
      <c r="DZ81" s="154"/>
      <c r="EA81" s="287">
        <v>40</v>
      </c>
      <c r="EB81" s="154"/>
      <c r="EC81" s="154"/>
      <c r="ED81" s="154"/>
      <c r="EE81" s="156">
        <f>100-100</f>
        <v>0</v>
      </c>
      <c r="EF81" s="154"/>
      <c r="EG81" s="156">
        <f>40-40</f>
        <v>0</v>
      </c>
      <c r="EH81" s="154"/>
      <c r="EI81" s="154"/>
      <c r="EJ81" s="154"/>
      <c r="EK81" s="154"/>
      <c r="EL81" s="154"/>
      <c r="EM81" s="154"/>
      <c r="EN81" s="156">
        <f>300-300</f>
        <v>0</v>
      </c>
      <c r="EO81" s="154"/>
      <c r="EP81" s="154"/>
      <c r="EQ81" s="154"/>
      <c r="ER81" s="154"/>
      <c r="ES81" s="154"/>
      <c r="ET81" s="154"/>
      <c r="EU81" s="154"/>
      <c r="EV81" s="156">
        <f>100-100</f>
        <v>0</v>
      </c>
      <c r="EW81" s="154"/>
      <c r="EX81" s="154"/>
      <c r="EY81" s="154"/>
      <c r="EZ81" s="156">
        <f>50-50</f>
        <v>0</v>
      </c>
      <c r="FA81" s="156">
        <f>50-50</f>
        <v>0</v>
      </c>
      <c r="FB81" s="154"/>
      <c r="FC81" s="154"/>
      <c r="FD81" s="154"/>
      <c r="FE81" s="154"/>
      <c r="FF81" s="154"/>
      <c r="FG81" s="154"/>
      <c r="FH81" s="154"/>
      <c r="FI81" s="154"/>
      <c r="FJ81" s="154"/>
      <c r="FK81" s="154"/>
      <c r="FL81" s="154"/>
      <c r="FM81" s="154"/>
      <c r="FN81" s="154"/>
      <c r="FO81" s="156">
        <f>100-100</f>
        <v>0</v>
      </c>
      <c r="FP81" s="154"/>
      <c r="FQ81" s="154"/>
      <c r="FR81" s="154"/>
      <c r="FS81" s="154"/>
      <c r="FT81" s="156">
        <f>20-20+20</f>
        <v>20</v>
      </c>
      <c r="FU81" s="154"/>
      <c r="FV81" s="154"/>
      <c r="FW81" s="154"/>
      <c r="FX81" s="154"/>
      <c r="FY81" s="154"/>
      <c r="FZ81" s="154"/>
      <c r="GA81" s="154"/>
      <c r="GB81" s="154"/>
      <c r="GC81" s="154"/>
      <c r="GD81" s="154"/>
      <c r="GE81" s="154"/>
      <c r="GF81" s="154"/>
      <c r="GG81" s="154"/>
      <c r="GH81" s="154"/>
      <c r="GI81" s="154"/>
      <c r="GJ81" s="154"/>
      <c r="GK81" s="154"/>
      <c r="GL81" s="154"/>
      <c r="GM81" s="154"/>
      <c r="GN81" s="154"/>
      <c r="GO81" s="154"/>
      <c r="GP81" s="154"/>
      <c r="GQ81" s="154"/>
      <c r="GR81" s="154"/>
      <c r="GS81" s="154"/>
      <c r="GT81" s="154"/>
      <c r="GU81" s="154"/>
      <c r="GV81" s="154"/>
      <c r="GW81" s="239">
        <f t="shared" si="11"/>
        <v>60</v>
      </c>
      <c r="GX81" s="145" t="s">
        <v>563</v>
      </c>
    </row>
    <row r="82" spans="1:207" s="136" customFormat="1">
      <c r="A82" s="154"/>
      <c r="B82" s="241" t="s">
        <v>517</v>
      </c>
      <c r="C82" s="158" t="s">
        <v>555</v>
      </c>
      <c r="D82" s="154" t="s">
        <v>4</v>
      </c>
      <c r="E82" s="154" t="s">
        <v>728</v>
      </c>
      <c r="F82" s="139" t="s">
        <v>520</v>
      </c>
      <c r="G82" s="154"/>
      <c r="H82" s="154"/>
      <c r="I82" s="154"/>
      <c r="J82" s="154"/>
      <c r="K82" s="154"/>
      <c r="L82" s="154"/>
      <c r="M82" s="154"/>
      <c r="N82" s="154"/>
      <c r="O82" s="156">
        <f>10-10+2</f>
        <v>2</v>
      </c>
      <c r="P82" s="154"/>
      <c r="Q82" s="154"/>
      <c r="R82" s="156">
        <f>2-2</f>
        <v>0</v>
      </c>
      <c r="S82" s="156">
        <f>2-2</f>
        <v>0</v>
      </c>
      <c r="T82" s="154"/>
      <c r="U82" s="154"/>
      <c r="V82" s="156">
        <f>10-10+2</f>
        <v>2</v>
      </c>
      <c r="W82" s="156">
        <f>100-100+5</f>
        <v>5</v>
      </c>
      <c r="X82" s="154"/>
      <c r="Y82" s="156">
        <f>40-40</f>
        <v>0</v>
      </c>
      <c r="Z82" s="156">
        <f>200-200+5</f>
        <v>5</v>
      </c>
      <c r="AA82" s="156">
        <f>20-20+5</f>
        <v>5</v>
      </c>
      <c r="AB82" s="156">
        <f>20-20</f>
        <v>0</v>
      </c>
      <c r="AC82" s="154"/>
      <c r="AD82" s="156">
        <f>200-200</f>
        <v>0</v>
      </c>
      <c r="AE82" s="156">
        <f>200-200</f>
        <v>0</v>
      </c>
      <c r="AF82" s="156">
        <f>200-200+4</f>
        <v>4</v>
      </c>
      <c r="AG82" s="154"/>
      <c r="AH82" s="156">
        <f>20-20</f>
        <v>0</v>
      </c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6">
        <f>10-10</f>
        <v>0</v>
      </c>
      <c r="AX82" s="156">
        <f>2-2</f>
        <v>0</v>
      </c>
      <c r="AY82" s="156">
        <f>10-10+5</f>
        <v>5</v>
      </c>
      <c r="AZ82" s="156">
        <f>10-10</f>
        <v>0</v>
      </c>
      <c r="BA82" s="156">
        <f>20-20+3</f>
        <v>3</v>
      </c>
      <c r="BB82" s="156">
        <f>20-20+2</f>
        <v>2</v>
      </c>
      <c r="BC82" s="156">
        <f>10-10+1</f>
        <v>1</v>
      </c>
      <c r="BD82" s="156">
        <f>10-10</f>
        <v>0</v>
      </c>
      <c r="BE82" s="154"/>
      <c r="BF82" s="154"/>
      <c r="BG82" s="154"/>
      <c r="BH82" s="154"/>
      <c r="BI82" s="154"/>
      <c r="BJ82" s="154"/>
      <c r="BK82" s="154"/>
      <c r="BL82" s="156">
        <f>5-5</f>
        <v>0</v>
      </c>
      <c r="BM82" s="156">
        <f>2-2</f>
        <v>0</v>
      </c>
      <c r="BN82" s="156">
        <f>5-5</f>
        <v>0</v>
      </c>
      <c r="BO82" s="156">
        <f>5-5+5</f>
        <v>5</v>
      </c>
      <c r="BP82" s="156">
        <f>20-20+2</f>
        <v>2</v>
      </c>
      <c r="BQ82" s="156">
        <f>5-5+2</f>
        <v>2</v>
      </c>
      <c r="BR82" s="156">
        <f>10-10</f>
        <v>0</v>
      </c>
      <c r="BS82" s="156">
        <f>10-10+10</f>
        <v>10</v>
      </c>
      <c r="BT82" s="154"/>
      <c r="BU82" s="154"/>
      <c r="BV82" s="154"/>
      <c r="BW82" s="154"/>
      <c r="BX82" s="154"/>
      <c r="BY82" s="156">
        <f>1-1+1</f>
        <v>1</v>
      </c>
      <c r="BZ82" s="154"/>
      <c r="CA82" s="154"/>
      <c r="CB82" s="156">
        <f>30-30+1</f>
        <v>1</v>
      </c>
      <c r="CC82" s="156">
        <f>20-20+1</f>
        <v>1</v>
      </c>
      <c r="CD82" s="156">
        <f>20-20</f>
        <v>0</v>
      </c>
      <c r="CE82" s="156">
        <f>20-20</f>
        <v>0</v>
      </c>
      <c r="CF82" s="154"/>
      <c r="CG82" s="156">
        <f>10-10+5</f>
        <v>5</v>
      </c>
      <c r="CH82" s="156">
        <f>20-20+1</f>
        <v>1</v>
      </c>
      <c r="CI82" s="156">
        <f>20-20</f>
        <v>0</v>
      </c>
      <c r="CJ82" s="156">
        <f>5-5</f>
        <v>0</v>
      </c>
      <c r="CK82" s="156">
        <f>5-5</f>
        <v>0</v>
      </c>
      <c r="CL82" s="156">
        <f>5-5+5</f>
        <v>5</v>
      </c>
      <c r="CM82" s="156">
        <f>20-20</f>
        <v>0</v>
      </c>
      <c r="CN82" s="156">
        <f>20-20+1</f>
        <v>1</v>
      </c>
      <c r="CO82" s="156">
        <f>20-20+1</f>
        <v>1</v>
      </c>
      <c r="CP82" s="156">
        <f>20-20</f>
        <v>0</v>
      </c>
      <c r="CQ82" s="156">
        <f>20-20+2</f>
        <v>2</v>
      </c>
      <c r="CR82" s="156">
        <f>30-30+1</f>
        <v>1</v>
      </c>
      <c r="CS82" s="156">
        <f>60-60+2</f>
        <v>2</v>
      </c>
      <c r="CT82" s="156">
        <f>30-30</f>
        <v>0</v>
      </c>
      <c r="CU82" s="156">
        <f>40-40</f>
        <v>0</v>
      </c>
      <c r="CV82" s="156">
        <f>40-40</f>
        <v>0</v>
      </c>
      <c r="CW82" s="154"/>
      <c r="CX82" s="156">
        <f t="shared" ref="CX82:DB82" si="20">50-50</f>
        <v>0</v>
      </c>
      <c r="CY82" s="156">
        <f>50-50+10</f>
        <v>10</v>
      </c>
      <c r="CZ82" s="156">
        <f>50-50+5</f>
        <v>5</v>
      </c>
      <c r="DA82" s="156">
        <f>50-50+10</f>
        <v>10</v>
      </c>
      <c r="DB82" s="156">
        <f t="shared" si="20"/>
        <v>0</v>
      </c>
      <c r="DC82" s="156">
        <f>50-50+10</f>
        <v>10</v>
      </c>
      <c r="DD82" s="154"/>
      <c r="DE82" s="156">
        <f>50-50</f>
        <v>0</v>
      </c>
      <c r="DF82" s="156">
        <f>50-50</f>
        <v>0</v>
      </c>
      <c r="DG82" s="156">
        <f>50-50+2</f>
        <v>2</v>
      </c>
      <c r="DH82" s="154"/>
      <c r="DI82" s="154"/>
      <c r="DJ82" s="156">
        <f>30-30+2</f>
        <v>2</v>
      </c>
      <c r="DK82" s="156">
        <f>50-50+10</f>
        <v>10</v>
      </c>
      <c r="DL82" s="156">
        <f>50-50+2</f>
        <v>2</v>
      </c>
      <c r="DM82" s="156">
        <f>50-50+10</f>
        <v>10</v>
      </c>
      <c r="DN82" s="156">
        <f>50-50+10</f>
        <v>10</v>
      </c>
      <c r="DO82" s="154"/>
      <c r="DP82" s="154"/>
      <c r="DQ82" s="154"/>
      <c r="DR82" s="154"/>
      <c r="DS82" s="154"/>
      <c r="DT82" s="154"/>
      <c r="DU82" s="154"/>
      <c r="DV82" s="154"/>
      <c r="DW82" s="154"/>
      <c r="DX82" s="156">
        <f>60-60</f>
        <v>0</v>
      </c>
      <c r="DY82" s="154"/>
      <c r="DZ82" s="156">
        <f>60-60</f>
        <v>0</v>
      </c>
      <c r="EA82" s="156">
        <f>160-160</f>
        <v>0</v>
      </c>
      <c r="EB82" s="156">
        <f>160-160</f>
        <v>0</v>
      </c>
      <c r="EC82" s="154"/>
      <c r="ED82" s="154"/>
      <c r="EE82" s="157">
        <f>100</f>
        <v>100</v>
      </c>
      <c r="EF82" s="154"/>
      <c r="EG82" s="154"/>
      <c r="EH82" s="154"/>
      <c r="EI82" s="154"/>
      <c r="EJ82" s="154"/>
      <c r="EK82" s="154"/>
      <c r="EL82" s="156">
        <f>500-500+5</f>
        <v>5</v>
      </c>
      <c r="EM82" s="154"/>
      <c r="EN82" s="154"/>
      <c r="EO82" s="156">
        <f>300-300+20</f>
        <v>20</v>
      </c>
      <c r="EP82" s="154"/>
      <c r="EQ82" s="154"/>
      <c r="ER82" s="154"/>
      <c r="ES82" s="156">
        <f>300-300</f>
        <v>0</v>
      </c>
      <c r="ET82" s="154"/>
      <c r="EU82" s="156">
        <f>200-200</f>
        <v>0</v>
      </c>
      <c r="EV82" s="154"/>
      <c r="EW82" s="156">
        <f>100-100</f>
        <v>0</v>
      </c>
      <c r="EX82" s="156">
        <f>100-100</f>
        <v>0</v>
      </c>
      <c r="EY82" s="156">
        <f>50-50</f>
        <v>0</v>
      </c>
      <c r="EZ82" s="154"/>
      <c r="FA82" s="154"/>
      <c r="FB82" s="156">
        <f>50-50</f>
        <v>0</v>
      </c>
      <c r="FC82" s="154"/>
      <c r="FD82" s="154"/>
      <c r="FE82" s="156">
        <f>50-50</f>
        <v>0</v>
      </c>
      <c r="FF82" s="156">
        <f>50-50+5</f>
        <v>5</v>
      </c>
      <c r="FG82" s="156">
        <f>50-50</f>
        <v>0</v>
      </c>
      <c r="FH82" s="154"/>
      <c r="FI82" s="154"/>
      <c r="FJ82" s="154"/>
      <c r="FK82" s="154"/>
      <c r="FL82" s="154"/>
      <c r="FM82" s="154"/>
      <c r="FN82" s="154"/>
      <c r="FO82" s="154"/>
      <c r="FP82" s="156">
        <f>100-100+20</f>
        <v>20</v>
      </c>
      <c r="FQ82" s="156">
        <f>100-100</f>
        <v>0</v>
      </c>
      <c r="FR82" s="154"/>
      <c r="FS82" s="154"/>
      <c r="FT82" s="154"/>
      <c r="FU82" s="156">
        <f>10-10</f>
        <v>0</v>
      </c>
      <c r="FV82" s="154"/>
      <c r="FW82" s="154"/>
      <c r="FX82" s="154"/>
      <c r="FY82" s="154"/>
      <c r="FZ82" s="154"/>
      <c r="GA82" s="154"/>
      <c r="GB82" s="154"/>
      <c r="GC82" s="154"/>
      <c r="GD82" s="154"/>
      <c r="GE82" s="154"/>
      <c r="GF82" s="154"/>
      <c r="GG82" s="154"/>
      <c r="GH82" s="154"/>
      <c r="GI82" s="154"/>
      <c r="GJ82" s="154"/>
      <c r="GK82" s="154"/>
      <c r="GL82" s="154"/>
      <c r="GM82" s="154"/>
      <c r="GN82" s="154"/>
      <c r="GO82" s="154"/>
      <c r="GP82" s="154"/>
      <c r="GQ82" s="154"/>
      <c r="GR82" s="154"/>
      <c r="GS82" s="154"/>
      <c r="GT82" s="154"/>
      <c r="GU82" s="154"/>
      <c r="GV82" s="154"/>
      <c r="GW82" s="239">
        <f t="shared" si="11"/>
        <v>295</v>
      </c>
      <c r="GX82" s="145" t="s">
        <v>563</v>
      </c>
    </row>
    <row r="83" spans="1:207" s="136" customFormat="1">
      <c r="A83" s="139"/>
      <c r="B83" s="139" t="s">
        <v>517</v>
      </c>
      <c r="C83" s="139" t="s">
        <v>555</v>
      </c>
      <c r="D83" s="139" t="s">
        <v>8</v>
      </c>
      <c r="E83" s="160" t="s">
        <v>609</v>
      </c>
      <c r="F83" s="139" t="s">
        <v>520</v>
      </c>
      <c r="G83" s="139" t="s">
        <v>832</v>
      </c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0"/>
      <c r="BF83" s="150"/>
      <c r="BG83" s="150"/>
      <c r="BH83" s="150"/>
      <c r="BI83" s="150"/>
      <c r="BJ83" s="150"/>
      <c r="BK83" s="150"/>
      <c r="BL83" s="150"/>
      <c r="BM83" s="150"/>
      <c r="BN83" s="150"/>
      <c r="BO83" s="150"/>
      <c r="BP83" s="150"/>
      <c r="BQ83" s="150"/>
      <c r="BR83" s="150"/>
      <c r="BS83" s="150"/>
      <c r="BT83" s="150"/>
      <c r="BU83" s="150"/>
      <c r="BV83" s="150"/>
      <c r="BW83" s="150"/>
      <c r="BX83" s="150"/>
      <c r="BY83" s="150"/>
      <c r="BZ83" s="150"/>
      <c r="CA83" s="150"/>
      <c r="CB83" s="150"/>
      <c r="CC83" s="150"/>
      <c r="CD83" s="150"/>
      <c r="CE83" s="150"/>
      <c r="CF83" s="150"/>
      <c r="CG83" s="150"/>
      <c r="CH83" s="150"/>
      <c r="CI83" s="150"/>
      <c r="CJ83" s="150"/>
      <c r="CK83" s="150"/>
      <c r="CL83" s="150"/>
      <c r="CM83" s="150"/>
      <c r="CN83" s="150"/>
      <c r="CO83" s="150"/>
      <c r="CP83" s="150"/>
      <c r="CQ83" s="150"/>
      <c r="CR83" s="150"/>
      <c r="CS83" s="150"/>
      <c r="CT83" s="150"/>
      <c r="CU83" s="150"/>
      <c r="CV83" s="150"/>
      <c r="CW83" s="150"/>
      <c r="CX83" s="150"/>
      <c r="CY83" s="150"/>
      <c r="CZ83" s="150"/>
      <c r="DA83" s="150"/>
      <c r="DB83" s="150"/>
      <c r="DC83" s="150"/>
      <c r="DD83" s="150"/>
      <c r="DE83" s="150"/>
      <c r="DF83" s="150"/>
      <c r="DG83" s="150"/>
      <c r="DH83" s="150"/>
      <c r="DI83" s="150"/>
      <c r="DJ83" s="150"/>
      <c r="DK83" s="150"/>
      <c r="DL83" s="150"/>
      <c r="DM83" s="150"/>
      <c r="DN83" s="150"/>
      <c r="DO83" s="150"/>
      <c r="DP83" s="150"/>
      <c r="DQ83" s="150"/>
      <c r="DR83" s="150"/>
      <c r="DS83" s="150"/>
      <c r="DT83" s="150"/>
      <c r="DU83" s="150"/>
      <c r="DV83" s="150"/>
      <c r="DW83" s="150"/>
      <c r="DX83" s="150"/>
      <c r="DY83" s="150"/>
      <c r="DZ83" s="150"/>
      <c r="EA83" s="202">
        <v>1400</v>
      </c>
      <c r="EB83" s="150"/>
      <c r="EC83" s="150"/>
      <c r="ED83" s="150"/>
      <c r="EE83" s="150"/>
      <c r="EF83" s="150"/>
      <c r="EG83" s="150"/>
      <c r="EH83" s="150"/>
      <c r="EI83" s="150"/>
      <c r="EJ83" s="150"/>
      <c r="EK83" s="150"/>
      <c r="EL83" s="150"/>
      <c r="EM83" s="150"/>
      <c r="EN83" s="150"/>
      <c r="EO83" s="150"/>
      <c r="EP83" s="150"/>
      <c r="EQ83" s="150"/>
      <c r="ER83" s="202">
        <v>243</v>
      </c>
      <c r="ES83" s="150"/>
      <c r="ET83" s="150"/>
      <c r="EU83" s="150"/>
      <c r="EV83" s="142">
        <f>1000-1000</f>
        <v>0</v>
      </c>
      <c r="EW83" s="150"/>
      <c r="EX83" s="150"/>
      <c r="EY83" s="150"/>
      <c r="EZ83" s="142">
        <f>500-500</f>
        <v>0</v>
      </c>
      <c r="FA83" s="142">
        <f>500-500</f>
        <v>0</v>
      </c>
      <c r="FB83" s="150"/>
      <c r="FC83" s="150"/>
      <c r="FD83" s="150"/>
      <c r="FE83" s="150"/>
      <c r="FF83" s="150"/>
      <c r="FG83" s="150"/>
      <c r="FH83" s="150"/>
      <c r="FI83" s="150"/>
      <c r="FJ83" s="150"/>
      <c r="FK83" s="150"/>
      <c r="FL83" s="150"/>
      <c r="FM83" s="150"/>
      <c r="FN83" s="150"/>
      <c r="FO83" s="142">
        <f>500-500+20</f>
        <v>20</v>
      </c>
      <c r="FP83" s="150"/>
      <c r="FQ83" s="150"/>
      <c r="FR83" s="150"/>
      <c r="FS83" s="150"/>
      <c r="FT83" s="150"/>
      <c r="FU83" s="150"/>
      <c r="FV83" s="150"/>
      <c r="FW83" s="150"/>
      <c r="FX83" s="150"/>
      <c r="FY83" s="150"/>
      <c r="FZ83" s="150"/>
      <c r="GA83" s="150"/>
      <c r="GB83" s="150"/>
      <c r="GC83" s="150"/>
      <c r="GD83" s="150"/>
      <c r="GE83" s="150"/>
      <c r="GF83" s="150"/>
      <c r="GG83" s="150"/>
      <c r="GH83" s="150"/>
      <c r="GI83" s="150"/>
      <c r="GJ83" s="150"/>
      <c r="GK83" s="150"/>
      <c r="GL83" s="150"/>
      <c r="GM83" s="150"/>
      <c r="GN83" s="150"/>
      <c r="GO83" s="150"/>
      <c r="GP83" s="150"/>
      <c r="GQ83" s="150"/>
      <c r="GR83" s="161"/>
      <c r="GS83" s="162"/>
      <c r="GT83" s="158"/>
      <c r="GU83" s="159"/>
      <c r="GV83" s="159" t="s">
        <v>579</v>
      </c>
      <c r="GW83" s="239">
        <f t="shared" si="11"/>
        <v>1663</v>
      </c>
      <c r="GX83" s="136" t="s">
        <v>588</v>
      </c>
    </row>
    <row r="84" spans="1:207" s="136" customFormat="1">
      <c r="A84" s="139"/>
      <c r="B84" s="139" t="s">
        <v>517</v>
      </c>
      <c r="C84" s="139" t="s">
        <v>555</v>
      </c>
      <c r="D84" s="139" t="s">
        <v>4</v>
      </c>
      <c r="E84" s="160" t="s">
        <v>609</v>
      </c>
      <c r="F84" s="139" t="s">
        <v>520</v>
      </c>
      <c r="G84" s="139" t="s">
        <v>832</v>
      </c>
      <c r="H84" s="150"/>
      <c r="I84" s="150"/>
      <c r="J84" s="150"/>
      <c r="K84" s="150"/>
      <c r="L84" s="150"/>
      <c r="M84" s="142">
        <f>200-200</f>
        <v>0</v>
      </c>
      <c r="N84" s="142">
        <f>200-200</f>
        <v>0</v>
      </c>
      <c r="O84" s="142">
        <f>100-100+5</f>
        <v>5</v>
      </c>
      <c r="P84" s="150"/>
      <c r="Q84" s="150"/>
      <c r="R84" s="142">
        <f>200-200</f>
        <v>0</v>
      </c>
      <c r="S84" s="142">
        <f>200-200</f>
        <v>0</v>
      </c>
      <c r="T84" s="150"/>
      <c r="U84" s="150"/>
      <c r="V84" s="150"/>
      <c r="W84" s="142">
        <f>300-300+20</f>
        <v>20</v>
      </c>
      <c r="X84" s="150"/>
      <c r="Y84" s="142">
        <f>100-100</f>
        <v>0</v>
      </c>
      <c r="Z84" s="142">
        <f>200-200+20</f>
        <v>20</v>
      </c>
      <c r="AA84" s="142">
        <f>200-200+20</f>
        <v>20</v>
      </c>
      <c r="AB84" s="142">
        <f>300-300</f>
        <v>0</v>
      </c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202">
        <v>30</v>
      </c>
      <c r="AZ84" s="150"/>
      <c r="BA84" s="202">
        <v>10</v>
      </c>
      <c r="BB84" s="150"/>
      <c r="BC84" s="150"/>
      <c r="BD84" s="150"/>
      <c r="BE84" s="202">
        <v>60</v>
      </c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42">
        <f>100-100+5</f>
        <v>5</v>
      </c>
      <c r="BR84" s="142">
        <f>100-100</f>
        <v>0</v>
      </c>
      <c r="BS84" s="202">
        <v>10</v>
      </c>
      <c r="BT84" s="150"/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150"/>
      <c r="CG84" s="142">
        <f>100-100+40</f>
        <v>40</v>
      </c>
      <c r="CH84" s="142">
        <f>100-100</f>
        <v>0</v>
      </c>
      <c r="CI84" s="142">
        <f>100-100</f>
        <v>0</v>
      </c>
      <c r="CJ84" s="150"/>
      <c r="CK84" s="150"/>
      <c r="CL84" s="142">
        <f>200-200+25</f>
        <v>25</v>
      </c>
      <c r="CM84" s="142">
        <f>100-100</f>
        <v>0</v>
      </c>
      <c r="CN84" s="142">
        <f>200-200+10</f>
        <v>10</v>
      </c>
      <c r="CO84" s="202">
        <v>5</v>
      </c>
      <c r="CP84" s="142">
        <f>100-100</f>
        <v>0</v>
      </c>
      <c r="CQ84" s="150"/>
      <c r="CR84" s="142">
        <f>100-100+10</f>
        <v>10</v>
      </c>
      <c r="CS84" s="142">
        <f>100-100+20</f>
        <v>20</v>
      </c>
      <c r="CT84" s="150"/>
      <c r="CU84" s="150"/>
      <c r="CV84" s="142">
        <f>100-100</f>
        <v>0</v>
      </c>
      <c r="CW84" s="150"/>
      <c r="CX84" s="150"/>
      <c r="CY84" s="142">
        <f>150-150+40</f>
        <v>40</v>
      </c>
      <c r="CZ84" s="142">
        <f>200-200+20</f>
        <v>20</v>
      </c>
      <c r="DA84" s="142">
        <f>200-200+10</f>
        <v>10</v>
      </c>
      <c r="DB84" s="142">
        <f>100-100</f>
        <v>0</v>
      </c>
      <c r="DC84" s="150"/>
      <c r="DD84" s="150"/>
      <c r="DE84" s="150"/>
      <c r="DF84" s="150"/>
      <c r="DG84" s="150"/>
      <c r="DH84" s="150"/>
      <c r="DI84" s="150"/>
      <c r="DJ84" s="142">
        <f>300-300+30</f>
        <v>30</v>
      </c>
      <c r="DK84" s="142">
        <f>500-500+50</f>
        <v>50</v>
      </c>
      <c r="DL84" s="202">
        <v>10</v>
      </c>
      <c r="DM84" s="142">
        <f>260-260+40</f>
        <v>40</v>
      </c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202">
        <v>680</v>
      </c>
      <c r="EF84" s="150"/>
      <c r="EG84" s="150"/>
      <c r="EH84" s="150"/>
      <c r="EI84" s="150"/>
      <c r="EJ84" s="150"/>
      <c r="EK84" s="150"/>
      <c r="EL84" s="142">
        <f>300-300+80</f>
        <v>80</v>
      </c>
      <c r="EM84" s="150"/>
      <c r="EN84" s="150"/>
      <c r="EO84" s="202">
        <v>150</v>
      </c>
      <c r="EP84" s="150"/>
      <c r="EQ84" s="150"/>
      <c r="ER84" s="202">
        <v>390</v>
      </c>
      <c r="ES84" s="150"/>
      <c r="ET84" s="150"/>
      <c r="EU84" s="150"/>
      <c r="EV84" s="150"/>
      <c r="EW84" s="150" t="s">
        <v>833</v>
      </c>
      <c r="EX84" s="150"/>
      <c r="EY84" s="150"/>
      <c r="EZ84" s="150"/>
      <c r="FA84" s="150"/>
      <c r="FB84" s="150"/>
      <c r="FC84" s="150"/>
      <c r="FD84" s="150"/>
      <c r="FE84" s="150"/>
      <c r="FF84" s="150"/>
      <c r="FG84" s="150"/>
      <c r="FH84" s="150"/>
      <c r="FI84" s="150"/>
      <c r="FJ84" s="150"/>
      <c r="FK84" s="150"/>
      <c r="FL84" s="150"/>
      <c r="FM84" s="150"/>
      <c r="FN84" s="150"/>
      <c r="FO84" s="150"/>
      <c r="FP84" s="142">
        <f>500-500+60</f>
        <v>60</v>
      </c>
      <c r="FQ84" s="142">
        <f>500-500</f>
        <v>0</v>
      </c>
      <c r="FR84" s="150"/>
      <c r="FS84" s="150"/>
      <c r="FT84" s="150"/>
      <c r="FU84" s="150"/>
      <c r="FV84" s="150"/>
      <c r="FW84" s="150"/>
      <c r="FX84" s="150"/>
      <c r="FY84" s="150"/>
      <c r="FZ84" s="150"/>
      <c r="GA84" s="150"/>
      <c r="GB84" s="150"/>
      <c r="GC84" s="150"/>
      <c r="GD84" s="150"/>
      <c r="GE84" s="150"/>
      <c r="GF84" s="150"/>
      <c r="GG84" s="150"/>
      <c r="GH84" s="150"/>
      <c r="GI84" s="150"/>
      <c r="GJ84" s="150"/>
      <c r="GK84" s="150"/>
      <c r="GL84" s="150"/>
      <c r="GM84" s="150"/>
      <c r="GN84" s="150"/>
      <c r="GO84" s="150"/>
      <c r="GP84" s="150"/>
      <c r="GQ84" s="150"/>
      <c r="GR84" s="161"/>
      <c r="GS84" s="162"/>
      <c r="GT84" s="158"/>
      <c r="GU84" s="159"/>
      <c r="GV84" s="159" t="s">
        <v>579</v>
      </c>
      <c r="GW84" s="239">
        <f t="shared" si="11"/>
        <v>1850</v>
      </c>
      <c r="GX84" s="136" t="s">
        <v>588</v>
      </c>
    </row>
    <row r="85" spans="1:207" s="136" customFormat="1">
      <c r="A85" s="139"/>
      <c r="B85" s="139" t="s">
        <v>517</v>
      </c>
      <c r="C85" s="139" t="s">
        <v>555</v>
      </c>
      <c r="D85" s="139" t="s">
        <v>3</v>
      </c>
      <c r="E85" s="160" t="s">
        <v>609</v>
      </c>
      <c r="F85" s="139" t="s">
        <v>520</v>
      </c>
      <c r="G85" s="139" t="s">
        <v>834</v>
      </c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  <c r="AK85" s="150"/>
      <c r="AL85" s="150"/>
      <c r="AM85" s="150"/>
      <c r="AN85" s="150"/>
      <c r="AO85" s="150"/>
      <c r="AP85" s="150"/>
      <c r="AQ85" s="150"/>
      <c r="AR85" s="150"/>
      <c r="AS85" s="150"/>
      <c r="AT85" s="150"/>
      <c r="AU85" s="150"/>
      <c r="AV85" s="150"/>
      <c r="AW85" s="150"/>
      <c r="AX85" s="150"/>
      <c r="AY85" s="150"/>
      <c r="AZ85" s="150"/>
      <c r="BA85" s="150"/>
      <c r="BB85" s="150"/>
      <c r="BC85" s="150"/>
      <c r="BD85" s="150"/>
      <c r="BE85" s="150"/>
      <c r="BF85" s="150"/>
      <c r="BG85" s="150"/>
      <c r="BH85" s="150"/>
      <c r="BI85" s="150"/>
      <c r="BJ85" s="150"/>
      <c r="BK85" s="150"/>
      <c r="BL85" s="150"/>
      <c r="BM85" s="150"/>
      <c r="BN85" s="150"/>
      <c r="BO85" s="150"/>
      <c r="BP85" s="150"/>
      <c r="BQ85" s="150"/>
      <c r="BR85" s="150"/>
      <c r="BS85" s="150"/>
      <c r="BT85" s="150"/>
      <c r="BU85" s="150"/>
      <c r="BV85" s="150"/>
      <c r="BW85" s="150"/>
      <c r="BX85" s="150"/>
      <c r="BY85" s="150"/>
      <c r="BZ85" s="150"/>
      <c r="CA85" s="150"/>
      <c r="CB85" s="150"/>
      <c r="CC85" s="150"/>
      <c r="CD85" s="150"/>
      <c r="CE85" s="150"/>
      <c r="CF85" s="150"/>
      <c r="CG85" s="150"/>
      <c r="CH85" s="150"/>
      <c r="CI85" s="150"/>
      <c r="CJ85" s="150"/>
      <c r="CK85" s="150"/>
      <c r="CL85" s="150"/>
      <c r="CM85" s="150"/>
      <c r="CN85" s="150"/>
      <c r="CO85" s="150"/>
      <c r="CP85" s="150"/>
      <c r="CQ85" s="142">
        <f>100-100</f>
        <v>0</v>
      </c>
      <c r="CR85" s="150"/>
      <c r="CS85" s="150"/>
      <c r="CT85" s="150"/>
      <c r="CU85" s="150"/>
      <c r="CV85" s="150"/>
      <c r="CW85" s="150"/>
      <c r="CX85" s="150"/>
      <c r="CY85" s="150"/>
      <c r="CZ85" s="150"/>
      <c r="DA85" s="150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42">
        <f>200-200</f>
        <v>0</v>
      </c>
      <c r="DM85" s="150"/>
      <c r="DN85" s="150"/>
      <c r="DO85" s="150"/>
      <c r="DP85" s="150"/>
      <c r="DQ85" s="150"/>
      <c r="DR85" s="150"/>
      <c r="DS85" s="150"/>
      <c r="DT85" s="150"/>
      <c r="DU85" s="150"/>
      <c r="DV85" s="150"/>
      <c r="DW85" s="150"/>
      <c r="DX85" s="150"/>
      <c r="DY85" s="150"/>
      <c r="DZ85" s="150"/>
      <c r="EA85" s="150"/>
      <c r="EB85" s="150"/>
      <c r="EC85" s="150"/>
      <c r="ED85" s="150"/>
      <c r="EE85" s="150"/>
      <c r="EF85" s="150"/>
      <c r="EG85" s="150"/>
      <c r="EH85" s="150"/>
      <c r="EI85" s="150"/>
      <c r="EJ85" s="150"/>
      <c r="EK85" s="150"/>
      <c r="EL85" s="150"/>
      <c r="EM85" s="150"/>
      <c r="EN85" s="150"/>
      <c r="EO85" s="150"/>
      <c r="EP85" s="150"/>
      <c r="EQ85" s="150"/>
      <c r="ER85" s="150"/>
      <c r="ES85" s="150"/>
      <c r="ET85" s="150"/>
      <c r="EU85" s="150"/>
      <c r="EV85" s="150"/>
      <c r="EW85" s="150"/>
      <c r="EX85" s="150"/>
      <c r="EY85" s="150"/>
      <c r="EZ85" s="150"/>
      <c r="FA85" s="150"/>
      <c r="FB85" s="150"/>
      <c r="FC85" s="150"/>
      <c r="FD85" s="150"/>
      <c r="FE85" s="150"/>
      <c r="FF85" s="150"/>
      <c r="FG85" s="150"/>
      <c r="FH85" s="150"/>
      <c r="FI85" s="150"/>
      <c r="FJ85" s="150"/>
      <c r="FK85" s="150"/>
      <c r="FL85" s="150"/>
      <c r="FM85" s="150"/>
      <c r="FN85" s="150"/>
      <c r="FO85" s="150"/>
      <c r="FP85" s="150"/>
      <c r="FQ85" s="150"/>
      <c r="FR85" s="150"/>
      <c r="FS85" s="150"/>
      <c r="FT85" s="150"/>
      <c r="FU85" s="150"/>
      <c r="FV85" s="150"/>
      <c r="FW85" s="150"/>
      <c r="FX85" s="150"/>
      <c r="FY85" s="150"/>
      <c r="FZ85" s="150"/>
      <c r="GA85" s="150"/>
      <c r="GB85" s="150"/>
      <c r="GC85" s="150"/>
      <c r="GD85" s="150"/>
      <c r="GE85" s="150"/>
      <c r="GF85" s="150"/>
      <c r="GG85" s="150"/>
      <c r="GH85" s="150"/>
      <c r="GI85" s="150"/>
      <c r="GJ85" s="150"/>
      <c r="GK85" s="150"/>
      <c r="GL85" s="150"/>
      <c r="GM85" s="150"/>
      <c r="GN85" s="150"/>
      <c r="GO85" s="150"/>
      <c r="GP85" s="150"/>
      <c r="GQ85" s="150"/>
      <c r="GR85" s="161"/>
      <c r="GS85" s="162"/>
      <c r="GT85" s="158"/>
      <c r="GU85" s="159"/>
      <c r="GV85" s="159" t="s">
        <v>579</v>
      </c>
      <c r="GW85" s="239">
        <f t="shared" si="11"/>
        <v>0</v>
      </c>
      <c r="GX85" s="136" t="s">
        <v>588</v>
      </c>
    </row>
    <row r="86" spans="1:207" s="289" customFormat="1" hidden="1">
      <c r="A86" s="138"/>
      <c r="B86" s="138"/>
      <c r="C86" s="138"/>
      <c r="D86" s="206" t="s">
        <v>4</v>
      </c>
      <c r="E86" s="207" t="s">
        <v>609</v>
      </c>
      <c r="F86" s="138"/>
      <c r="G86" s="138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G86" s="202">
        <v>5</v>
      </c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41"/>
      <c r="CX86" s="141"/>
      <c r="CY86" s="141"/>
      <c r="CZ86" s="141"/>
      <c r="DA86" s="141"/>
      <c r="DB86" s="141"/>
      <c r="DC86" s="141"/>
      <c r="DD86" s="141"/>
      <c r="DE86" s="141"/>
      <c r="DF86" s="141"/>
      <c r="DG86" s="141"/>
      <c r="DH86" s="141"/>
      <c r="DI86" s="141"/>
      <c r="DJ86" s="141"/>
      <c r="DK86" s="141"/>
      <c r="DL86" s="141"/>
      <c r="DM86" s="141"/>
      <c r="DN86" s="141"/>
      <c r="DO86" s="141"/>
      <c r="DP86" s="141"/>
      <c r="DQ86" s="141"/>
      <c r="DR86" s="141"/>
      <c r="DS86" s="141"/>
      <c r="DT86" s="141"/>
      <c r="DU86" s="141"/>
      <c r="DV86" s="141"/>
      <c r="DW86" s="141"/>
      <c r="DX86" s="141"/>
      <c r="DY86" s="141"/>
      <c r="DZ86" s="141"/>
      <c r="EA86" s="141"/>
      <c r="EB86" s="141"/>
      <c r="EC86" s="141"/>
      <c r="ED86" s="141"/>
      <c r="EE86" s="141"/>
      <c r="EF86" s="141"/>
      <c r="EG86" s="141"/>
      <c r="EH86" s="141"/>
      <c r="EI86" s="141"/>
      <c r="EJ86" s="141"/>
      <c r="EK86" s="141"/>
      <c r="EL86" s="141"/>
      <c r="EM86" s="141"/>
      <c r="EN86" s="141"/>
      <c r="EO86" s="141"/>
      <c r="EP86" s="141"/>
      <c r="EQ86" s="141"/>
      <c r="ER86" s="141"/>
      <c r="ES86" s="141"/>
      <c r="ET86" s="141"/>
      <c r="EU86" s="141"/>
      <c r="EV86" s="141"/>
      <c r="EW86" s="141"/>
      <c r="EX86" s="141"/>
      <c r="EY86" s="141"/>
      <c r="EZ86" s="141"/>
      <c r="FA86" s="141"/>
      <c r="FB86" s="141"/>
      <c r="FC86" s="141"/>
      <c r="FD86" s="141"/>
      <c r="FE86" s="141"/>
      <c r="FF86" s="141"/>
      <c r="FG86" s="141"/>
      <c r="FH86" s="141"/>
      <c r="FI86" s="141"/>
      <c r="FJ86" s="141"/>
      <c r="FK86" s="141"/>
      <c r="FL86" s="141"/>
      <c r="FM86" s="141"/>
      <c r="FN86" s="141"/>
      <c r="FO86" s="141"/>
      <c r="FP86" s="141"/>
      <c r="FQ86" s="141"/>
      <c r="FR86" s="141"/>
      <c r="FS86" s="141"/>
      <c r="FT86" s="141"/>
      <c r="FU86" s="141"/>
      <c r="FV86" s="141"/>
      <c r="FW86" s="141"/>
      <c r="FX86" s="141"/>
      <c r="FY86" s="141"/>
      <c r="FZ86" s="141"/>
      <c r="GA86" s="141"/>
      <c r="GB86" s="141"/>
      <c r="GC86" s="141"/>
      <c r="GD86" s="141"/>
      <c r="GE86" s="141"/>
      <c r="GF86" s="141"/>
      <c r="GG86" s="141"/>
      <c r="GH86" s="141"/>
      <c r="GI86" s="141"/>
      <c r="GJ86" s="141"/>
      <c r="GK86" s="141"/>
      <c r="GL86" s="141"/>
      <c r="GM86" s="141"/>
      <c r="GN86" s="141"/>
      <c r="GO86" s="141"/>
      <c r="GP86" s="141"/>
      <c r="GQ86" s="141"/>
      <c r="GR86" s="151"/>
      <c r="GS86" s="152"/>
      <c r="GT86" s="204"/>
      <c r="GU86" s="153"/>
      <c r="GV86" s="153"/>
      <c r="GW86" s="239">
        <f t="shared" si="11"/>
        <v>5</v>
      </c>
    </row>
    <row r="87" spans="1:207" s="136" customFormat="1">
      <c r="A87" s="139"/>
      <c r="B87" s="139" t="s">
        <v>517</v>
      </c>
      <c r="C87" s="139" t="s">
        <v>555</v>
      </c>
      <c r="D87" s="139" t="s">
        <v>636</v>
      </c>
      <c r="E87" s="244" t="s">
        <v>731</v>
      </c>
      <c r="F87" s="139" t="s">
        <v>520</v>
      </c>
      <c r="G87" s="139" t="s">
        <v>835</v>
      </c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150"/>
      <c r="BW87" s="150"/>
      <c r="BX87" s="150"/>
      <c r="BY87" s="150"/>
      <c r="BZ87" s="150"/>
      <c r="CA87" s="150"/>
      <c r="CB87" s="150"/>
      <c r="CC87" s="150"/>
      <c r="CD87" s="150"/>
      <c r="CE87" s="150"/>
      <c r="CF87" s="150"/>
      <c r="CG87" s="150"/>
      <c r="CH87" s="150"/>
      <c r="CI87" s="150"/>
      <c r="CJ87" s="150"/>
      <c r="CK87" s="150"/>
      <c r="CL87" s="150"/>
      <c r="CM87" s="150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/>
      <c r="DM87" s="150"/>
      <c r="DN87" s="150"/>
      <c r="DO87" s="150"/>
      <c r="DP87" s="150"/>
      <c r="DQ87" s="150"/>
      <c r="DR87" s="150"/>
      <c r="DS87" s="150"/>
      <c r="DT87" s="150"/>
      <c r="DU87" s="150"/>
      <c r="DV87" s="150"/>
      <c r="DW87" s="150"/>
      <c r="DX87" s="150"/>
      <c r="DY87" s="150"/>
      <c r="DZ87" s="150"/>
      <c r="EA87" s="150"/>
      <c r="EB87" s="150"/>
      <c r="EC87" s="150"/>
      <c r="ED87" s="150"/>
      <c r="EE87" s="150"/>
      <c r="EF87" s="150"/>
      <c r="EG87" s="150"/>
      <c r="EH87" s="150"/>
      <c r="EI87" s="150"/>
      <c r="EJ87" s="150"/>
      <c r="EK87" s="150"/>
      <c r="EL87" s="150"/>
      <c r="EM87" s="150"/>
      <c r="EN87" s="150"/>
      <c r="EO87" s="150"/>
      <c r="EP87" s="150"/>
      <c r="EQ87" s="150"/>
      <c r="ER87" s="150"/>
      <c r="ES87" s="150"/>
      <c r="ET87" s="150"/>
      <c r="EU87" s="150"/>
      <c r="EV87" s="150"/>
      <c r="EW87" s="150"/>
      <c r="EX87" s="150"/>
      <c r="EY87" s="150"/>
      <c r="EZ87" s="150"/>
      <c r="FA87" s="150"/>
      <c r="FB87" s="150"/>
      <c r="FC87" s="150"/>
      <c r="FD87" s="150"/>
      <c r="FE87" s="150"/>
      <c r="FF87" s="150"/>
      <c r="FG87" s="150"/>
      <c r="FH87" s="150"/>
      <c r="FI87" s="150"/>
      <c r="FJ87" s="150"/>
      <c r="FK87" s="150"/>
      <c r="FL87" s="150"/>
      <c r="FM87" s="150"/>
      <c r="FN87" s="150"/>
      <c r="FO87" s="150"/>
      <c r="FP87" s="150"/>
      <c r="FQ87" s="150"/>
      <c r="FR87" s="150"/>
      <c r="FS87" s="150"/>
      <c r="FT87" s="150"/>
      <c r="FU87" s="150"/>
      <c r="FV87" s="150"/>
      <c r="FW87" s="150"/>
      <c r="FX87" s="150"/>
      <c r="FY87" s="150"/>
      <c r="FZ87" s="150"/>
      <c r="GA87" s="150"/>
      <c r="GB87" s="150"/>
      <c r="GC87" s="150"/>
      <c r="GD87" s="150"/>
      <c r="GE87" s="150"/>
      <c r="GF87" s="150"/>
      <c r="GG87" s="150"/>
      <c r="GH87" s="150"/>
      <c r="GI87" s="150"/>
      <c r="GJ87" s="150"/>
      <c r="GK87" s="150"/>
      <c r="GL87" s="150"/>
      <c r="GM87" s="150"/>
      <c r="GN87" s="150"/>
      <c r="GO87" s="150"/>
      <c r="GP87" s="150"/>
      <c r="GQ87" s="150"/>
      <c r="GR87" s="161"/>
      <c r="GS87" s="162"/>
      <c r="GT87" s="159" t="s">
        <v>522</v>
      </c>
      <c r="GU87" s="159" t="s">
        <v>733</v>
      </c>
      <c r="GV87" s="159"/>
      <c r="GW87" s="239">
        <f t="shared" si="11"/>
        <v>0</v>
      </c>
      <c r="GX87" s="136" t="s">
        <v>560</v>
      </c>
      <c r="GY87" s="136" t="s">
        <v>799</v>
      </c>
    </row>
    <row r="88" spans="1:207" s="136" customFormat="1">
      <c r="A88" s="139"/>
      <c r="B88" s="139" t="s">
        <v>517</v>
      </c>
      <c r="C88" s="139" t="s">
        <v>555</v>
      </c>
      <c r="D88" s="139" t="s">
        <v>4</v>
      </c>
      <c r="E88" s="244" t="s">
        <v>731</v>
      </c>
      <c r="F88" s="139" t="s">
        <v>520</v>
      </c>
      <c r="G88" s="139" t="s">
        <v>835</v>
      </c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6">
        <f>5-5</f>
        <v>0</v>
      </c>
      <c r="T88" s="154"/>
      <c r="U88" s="154"/>
      <c r="V88" s="154"/>
      <c r="W88" s="154"/>
      <c r="X88" s="154"/>
      <c r="Y88" s="156">
        <f>4-4</f>
        <v>0</v>
      </c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6">
        <f>10-10+10</f>
        <v>10</v>
      </c>
      <c r="BB88" s="154"/>
      <c r="BC88" s="154"/>
      <c r="BD88" s="154"/>
      <c r="BE88" s="154"/>
      <c r="BF88" s="154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4"/>
      <c r="CD88" s="154"/>
      <c r="CE88" s="154"/>
      <c r="CF88" s="154"/>
      <c r="CG88" s="154"/>
      <c r="CH88" s="154"/>
      <c r="CI88" s="154"/>
      <c r="CJ88" s="154"/>
      <c r="CK88" s="154"/>
      <c r="CL88" s="154"/>
      <c r="CM88" s="154"/>
      <c r="CN88" s="154"/>
      <c r="CO88" s="154"/>
      <c r="CP88" s="154"/>
      <c r="CQ88" s="154"/>
      <c r="CR88" s="154"/>
      <c r="CS88" s="156">
        <f>30-30+5</f>
        <v>5</v>
      </c>
      <c r="CT88" s="154"/>
      <c r="CU88" s="154"/>
      <c r="CV88" s="154"/>
      <c r="CW88" s="154"/>
      <c r="CX88" s="154"/>
      <c r="CY88" s="154"/>
      <c r="CZ88" s="154"/>
      <c r="DA88" s="154"/>
      <c r="DB88" s="154"/>
      <c r="DC88" s="154"/>
      <c r="DD88" s="154"/>
      <c r="DE88" s="154"/>
      <c r="DF88" s="154"/>
      <c r="DG88" s="154"/>
      <c r="DH88" s="154"/>
      <c r="DI88" s="154"/>
      <c r="DJ88" s="154"/>
      <c r="DK88" s="154"/>
      <c r="DL88" s="154"/>
      <c r="DM88" s="154"/>
      <c r="DN88" s="154"/>
      <c r="DO88" s="154"/>
      <c r="DP88" s="154"/>
      <c r="DQ88" s="154"/>
      <c r="DR88" s="154"/>
      <c r="DS88" s="154"/>
      <c r="DT88" s="154"/>
      <c r="DU88" s="154"/>
      <c r="DV88" s="154"/>
      <c r="DW88" s="154"/>
      <c r="DX88" s="156">
        <f>30-30</f>
        <v>0</v>
      </c>
      <c r="DY88" s="154"/>
      <c r="DZ88" s="154"/>
      <c r="EA88" s="154"/>
      <c r="EB88" s="154"/>
      <c r="EC88" s="154"/>
      <c r="ED88" s="154"/>
      <c r="EE88" s="154"/>
      <c r="EF88" s="154"/>
      <c r="EG88" s="154"/>
      <c r="EH88" s="154"/>
      <c r="EI88" s="154"/>
      <c r="EJ88" s="154"/>
      <c r="EK88" s="154"/>
      <c r="EL88" s="156">
        <f>10-10+5</f>
        <v>5</v>
      </c>
      <c r="EM88" s="154"/>
      <c r="EN88" s="154"/>
      <c r="EO88" s="154"/>
      <c r="EP88" s="154"/>
      <c r="EQ88" s="154"/>
      <c r="ER88" s="154"/>
      <c r="ES88" s="156">
        <f>10-10</f>
        <v>0</v>
      </c>
      <c r="ET88" s="154"/>
      <c r="EU88" s="154"/>
      <c r="EV88" s="156">
        <f>10-10</f>
        <v>0</v>
      </c>
      <c r="EW88" s="156">
        <f>70-70</f>
        <v>0</v>
      </c>
      <c r="EX88" s="154"/>
      <c r="EY88" s="154"/>
      <c r="EZ88" s="154"/>
      <c r="FA88" s="154"/>
      <c r="FB88" s="154"/>
      <c r="FC88" s="154"/>
      <c r="FD88" s="154"/>
      <c r="FE88" s="154"/>
      <c r="FF88" s="154"/>
      <c r="FG88" s="154"/>
      <c r="FH88" s="154"/>
      <c r="FI88" s="154"/>
      <c r="FJ88" s="154"/>
      <c r="FK88" s="154"/>
      <c r="FL88" s="154"/>
      <c r="FM88" s="154"/>
      <c r="FN88" s="154"/>
      <c r="FO88" s="154"/>
      <c r="FP88" s="154"/>
      <c r="FQ88" s="154"/>
      <c r="FR88" s="154"/>
      <c r="FS88" s="154"/>
      <c r="FT88" s="154"/>
      <c r="FU88" s="154"/>
      <c r="FV88" s="154"/>
      <c r="FW88" s="154"/>
      <c r="FX88" s="154"/>
      <c r="FY88" s="154"/>
      <c r="FZ88" s="154"/>
      <c r="GA88" s="154"/>
      <c r="GB88" s="154"/>
      <c r="GC88" s="154"/>
      <c r="GD88" s="154"/>
      <c r="GE88" s="154"/>
      <c r="GF88" s="154"/>
      <c r="GG88" s="154"/>
      <c r="GH88" s="154"/>
      <c r="GI88" s="154"/>
      <c r="GJ88" s="154"/>
      <c r="GK88" s="154"/>
      <c r="GL88" s="154"/>
      <c r="GM88" s="154"/>
      <c r="GN88" s="154"/>
      <c r="GO88" s="154"/>
      <c r="GP88" s="154"/>
      <c r="GQ88" s="154"/>
      <c r="GR88" s="161"/>
      <c r="GS88" s="162"/>
      <c r="GT88" s="159" t="s">
        <v>522</v>
      </c>
      <c r="GU88" s="159" t="s">
        <v>733</v>
      </c>
      <c r="GV88" s="159"/>
      <c r="GW88" s="239">
        <f t="shared" si="11"/>
        <v>20</v>
      </c>
      <c r="GX88" s="136" t="s">
        <v>560</v>
      </c>
    </row>
    <row r="89" spans="1:207" s="136" customFormat="1">
      <c r="A89" s="139"/>
      <c r="B89" s="139" t="s">
        <v>517</v>
      </c>
      <c r="C89" s="139" t="s">
        <v>555</v>
      </c>
      <c r="D89" s="139" t="s">
        <v>632</v>
      </c>
      <c r="E89" s="244" t="s">
        <v>731</v>
      </c>
      <c r="F89" s="139" t="s">
        <v>520</v>
      </c>
      <c r="G89" s="139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0"/>
      <c r="EN89" s="150"/>
      <c r="EO89" s="150"/>
      <c r="EP89" s="150"/>
      <c r="EQ89" s="150"/>
      <c r="ER89" s="150"/>
      <c r="ES89" s="150"/>
      <c r="ET89" s="150"/>
      <c r="EU89" s="150"/>
      <c r="EV89" s="150"/>
      <c r="EW89" s="150"/>
      <c r="EX89" s="150"/>
      <c r="EY89" s="150"/>
      <c r="EZ89" s="150"/>
      <c r="FA89" s="150"/>
      <c r="FB89" s="150"/>
      <c r="FC89" s="150"/>
      <c r="FD89" s="150"/>
      <c r="FE89" s="150"/>
      <c r="FF89" s="150"/>
      <c r="FG89" s="150"/>
      <c r="FH89" s="150"/>
      <c r="FI89" s="150"/>
      <c r="FJ89" s="150"/>
      <c r="FK89" s="150"/>
      <c r="FL89" s="150"/>
      <c r="FM89" s="150"/>
      <c r="FN89" s="150"/>
      <c r="FO89" s="150"/>
      <c r="FP89" s="150"/>
      <c r="FQ89" s="150"/>
      <c r="FR89" s="150"/>
      <c r="FS89" s="150"/>
      <c r="FT89" s="150"/>
      <c r="FU89" s="150"/>
      <c r="FV89" s="150"/>
      <c r="FW89" s="150"/>
      <c r="FX89" s="150"/>
      <c r="FY89" s="150"/>
      <c r="FZ89" s="150"/>
      <c r="GA89" s="150"/>
      <c r="GB89" s="150"/>
      <c r="GC89" s="150"/>
      <c r="GD89" s="150"/>
      <c r="GE89" s="150"/>
      <c r="GF89" s="150"/>
      <c r="GG89" s="150"/>
      <c r="GH89" s="150"/>
      <c r="GI89" s="150"/>
      <c r="GJ89" s="150"/>
      <c r="GK89" s="150"/>
      <c r="GL89" s="150"/>
      <c r="GM89" s="150"/>
      <c r="GN89" s="150"/>
      <c r="GO89" s="150"/>
      <c r="GP89" s="150"/>
      <c r="GQ89" s="150"/>
      <c r="GR89" s="161"/>
      <c r="GS89" s="162"/>
      <c r="GT89" s="159" t="s">
        <v>522</v>
      </c>
      <c r="GU89" s="159" t="s">
        <v>733</v>
      </c>
      <c r="GV89" s="159"/>
      <c r="GW89" s="239">
        <f t="shared" si="11"/>
        <v>0</v>
      </c>
      <c r="GX89" s="136" t="s">
        <v>560</v>
      </c>
      <c r="GY89" s="136" t="s">
        <v>799</v>
      </c>
    </row>
    <row r="90" spans="1:207" s="136" customFormat="1">
      <c r="A90" s="139"/>
      <c r="B90" s="139" t="s">
        <v>517</v>
      </c>
      <c r="C90" s="139" t="s">
        <v>555</v>
      </c>
      <c r="D90" s="139" t="s">
        <v>636</v>
      </c>
      <c r="E90" s="244" t="s">
        <v>611</v>
      </c>
      <c r="F90" s="139" t="s">
        <v>520</v>
      </c>
      <c r="G90" s="139" t="s">
        <v>836</v>
      </c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  <c r="AX90" s="150"/>
      <c r="AY90" s="150"/>
      <c r="AZ90" s="150"/>
      <c r="BA90" s="150"/>
      <c r="BB90" s="150"/>
      <c r="BC90" s="150"/>
      <c r="BD90" s="150"/>
      <c r="BE90" s="150"/>
      <c r="BF90" s="150"/>
      <c r="BG90" s="150"/>
      <c r="BH90" s="150"/>
      <c r="BI90" s="150"/>
      <c r="BJ90" s="150"/>
      <c r="BK90" s="150"/>
      <c r="BL90" s="150"/>
      <c r="BM90" s="150"/>
      <c r="BN90" s="150"/>
      <c r="BO90" s="150"/>
      <c r="BP90" s="150"/>
      <c r="BQ90" s="150"/>
      <c r="BR90" s="150"/>
      <c r="BS90" s="150"/>
      <c r="BT90" s="150"/>
      <c r="BU90" s="150"/>
      <c r="BV90" s="150"/>
      <c r="BW90" s="150"/>
      <c r="BX90" s="150"/>
      <c r="BY90" s="150"/>
      <c r="BZ90" s="150"/>
      <c r="CA90" s="150"/>
      <c r="CB90" s="150"/>
      <c r="CC90" s="150"/>
      <c r="CD90" s="150"/>
      <c r="CE90" s="150"/>
      <c r="CF90" s="150"/>
      <c r="CG90" s="150"/>
      <c r="CH90" s="150"/>
      <c r="CI90" s="150"/>
      <c r="CJ90" s="150"/>
      <c r="CK90" s="150"/>
      <c r="CL90" s="150"/>
      <c r="CM90" s="150"/>
      <c r="CN90" s="150"/>
      <c r="CO90" s="150"/>
      <c r="CP90" s="150"/>
      <c r="CQ90" s="150"/>
      <c r="CR90" s="150"/>
      <c r="CS90" s="150"/>
      <c r="CT90" s="150"/>
      <c r="CU90" s="150"/>
      <c r="CV90" s="150"/>
      <c r="CW90" s="150"/>
      <c r="CX90" s="150"/>
      <c r="CY90" s="150"/>
      <c r="CZ90" s="150"/>
      <c r="DA90" s="150"/>
      <c r="DB90" s="150"/>
      <c r="DC90" s="150"/>
      <c r="DD90" s="150"/>
      <c r="DE90" s="150"/>
      <c r="DF90" s="150"/>
      <c r="DG90" s="150"/>
      <c r="DH90" s="202">
        <v>5</v>
      </c>
      <c r="DI90" s="150"/>
      <c r="DJ90" s="150"/>
      <c r="DK90" s="150"/>
      <c r="DL90" s="150"/>
      <c r="DM90" s="150"/>
      <c r="DN90" s="150"/>
      <c r="DO90" s="150"/>
      <c r="DP90" s="150"/>
      <c r="DQ90" s="150"/>
      <c r="DR90" s="150"/>
      <c r="DS90" s="150"/>
      <c r="DT90" s="150"/>
      <c r="DU90" s="150"/>
      <c r="DV90" s="150"/>
      <c r="DW90" s="150"/>
      <c r="DX90" s="150"/>
      <c r="DY90" s="150"/>
      <c r="DZ90" s="150"/>
      <c r="EA90" s="150"/>
      <c r="EB90" s="150"/>
      <c r="EC90" s="150"/>
      <c r="ED90" s="150"/>
      <c r="EE90" s="150"/>
      <c r="EF90" s="150"/>
      <c r="EG90" s="150"/>
      <c r="EH90" s="150"/>
      <c r="EI90" s="150"/>
      <c r="EJ90" s="150"/>
      <c r="EK90" s="150"/>
      <c r="EL90" s="150"/>
      <c r="EM90" s="150"/>
      <c r="EN90" s="150"/>
      <c r="EO90" s="150"/>
      <c r="EP90" s="150"/>
      <c r="EQ90" s="150"/>
      <c r="ER90" s="150"/>
      <c r="ES90" s="150"/>
      <c r="ET90" s="150"/>
      <c r="EU90" s="150"/>
      <c r="EV90" s="150"/>
      <c r="EW90" s="150"/>
      <c r="EX90" s="150"/>
      <c r="EY90" s="150"/>
      <c r="EZ90" s="150"/>
      <c r="FA90" s="150"/>
      <c r="FB90" s="150"/>
      <c r="FC90" s="150"/>
      <c r="FD90" s="150"/>
      <c r="FE90" s="150"/>
      <c r="FF90" s="150"/>
      <c r="FG90" s="150"/>
      <c r="FH90" s="150"/>
      <c r="FI90" s="150"/>
      <c r="FJ90" s="150"/>
      <c r="FK90" s="150"/>
      <c r="FL90" s="150"/>
      <c r="FM90" s="150"/>
      <c r="FN90" s="150"/>
      <c r="FO90" s="202">
        <v>10</v>
      </c>
      <c r="FP90" s="150"/>
      <c r="FQ90" s="150"/>
      <c r="FR90" s="150"/>
      <c r="FS90" s="150"/>
      <c r="FT90" s="150"/>
      <c r="FU90" s="150"/>
      <c r="FV90" s="150"/>
      <c r="FW90" s="150"/>
      <c r="FX90" s="150"/>
      <c r="FY90" s="150"/>
      <c r="FZ90" s="150"/>
      <c r="GA90" s="150"/>
      <c r="GB90" s="150"/>
      <c r="GC90" s="150"/>
      <c r="GD90" s="150"/>
      <c r="GE90" s="150"/>
      <c r="GF90" s="150"/>
      <c r="GG90" s="150"/>
      <c r="GH90" s="150"/>
      <c r="GI90" s="150"/>
      <c r="GJ90" s="150"/>
      <c r="GK90" s="150"/>
      <c r="GL90" s="150"/>
      <c r="GM90" s="150"/>
      <c r="GN90" s="150"/>
      <c r="GO90" s="150"/>
      <c r="GP90" s="150"/>
      <c r="GQ90" s="150"/>
      <c r="GR90" s="161"/>
      <c r="GS90" s="162"/>
      <c r="GT90" s="158"/>
      <c r="GU90" s="159"/>
      <c r="GV90" s="159"/>
      <c r="GW90" s="239">
        <f t="shared" si="11"/>
        <v>15</v>
      </c>
      <c r="GX90" s="136" t="s">
        <v>560</v>
      </c>
      <c r="GY90" s="136" t="s">
        <v>799</v>
      </c>
    </row>
    <row r="91" spans="1:207" s="136" customFormat="1">
      <c r="A91" s="139"/>
      <c r="B91" s="139" t="s">
        <v>517</v>
      </c>
      <c r="C91" s="139" t="s">
        <v>555</v>
      </c>
      <c r="D91" s="139" t="s">
        <v>4</v>
      </c>
      <c r="E91" s="244" t="s">
        <v>611</v>
      </c>
      <c r="F91" s="139" t="s">
        <v>520</v>
      </c>
      <c r="G91" s="139" t="s">
        <v>836</v>
      </c>
      <c r="H91" s="150"/>
      <c r="I91" s="150"/>
      <c r="J91" s="150"/>
      <c r="K91" s="142">
        <f>1-1+1</f>
        <v>1</v>
      </c>
      <c r="L91" s="150"/>
      <c r="M91" s="150"/>
      <c r="N91" s="150"/>
      <c r="O91" s="150"/>
      <c r="P91" s="150"/>
      <c r="Q91" s="150"/>
      <c r="R91" s="150"/>
      <c r="S91" s="142">
        <f>2-2</f>
        <v>0</v>
      </c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42">
        <f>1-1+1</f>
        <v>1</v>
      </c>
      <c r="BD91" s="142">
        <f>1-1</f>
        <v>0</v>
      </c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42">
        <f>1-1+1</f>
        <v>1</v>
      </c>
      <c r="BZ91" s="142">
        <f>1-1</f>
        <v>0</v>
      </c>
      <c r="CA91" s="142">
        <f>1-1</f>
        <v>0</v>
      </c>
      <c r="CB91" s="142">
        <f>5-5+1</f>
        <v>1</v>
      </c>
      <c r="CC91" s="142">
        <f>5-5+1</f>
        <v>1</v>
      </c>
      <c r="CD91" s="142">
        <f>5-5</f>
        <v>0</v>
      </c>
      <c r="CE91" s="142">
        <f>5-5</f>
        <v>0</v>
      </c>
      <c r="CF91" s="150"/>
      <c r="CG91" s="150"/>
      <c r="CH91" s="142">
        <f>5-5+1</f>
        <v>1</v>
      </c>
      <c r="CI91" s="142">
        <f>5-5</f>
        <v>0</v>
      </c>
      <c r="CJ91" s="142">
        <f>10-10</f>
        <v>0</v>
      </c>
      <c r="CK91" s="142">
        <f>5-5+1</f>
        <v>1</v>
      </c>
      <c r="CL91" s="150"/>
      <c r="CM91" s="150"/>
      <c r="CN91" s="150"/>
      <c r="CO91" s="150"/>
      <c r="CP91" s="150"/>
      <c r="CQ91" s="150"/>
      <c r="CR91" s="150"/>
      <c r="CS91" s="150"/>
      <c r="CT91" s="142">
        <f>10-10</f>
        <v>0</v>
      </c>
      <c r="CU91" s="142">
        <f>10-10</f>
        <v>0</v>
      </c>
      <c r="CV91" s="142">
        <f>10-10</f>
        <v>0</v>
      </c>
      <c r="CW91" s="150"/>
      <c r="CX91" s="142">
        <f>5-5</f>
        <v>0</v>
      </c>
      <c r="CY91" s="150"/>
      <c r="CZ91" s="150"/>
      <c r="DA91" s="150"/>
      <c r="DB91" s="142">
        <f>5-5</f>
        <v>0</v>
      </c>
      <c r="DC91" s="150"/>
      <c r="DD91" s="150"/>
      <c r="DE91" s="142">
        <f>10-10</f>
        <v>0</v>
      </c>
      <c r="DF91" s="150"/>
      <c r="DG91" s="150"/>
      <c r="DH91" s="142">
        <f>5-5</f>
        <v>0</v>
      </c>
      <c r="DI91" s="150"/>
      <c r="DJ91" s="142">
        <f>5-5+5</f>
        <v>5</v>
      </c>
      <c r="DK91" s="142">
        <f>20-20+5</f>
        <v>5</v>
      </c>
      <c r="DL91" s="150"/>
      <c r="DM91" s="150"/>
      <c r="DN91" s="142">
        <f>20-20+20</f>
        <v>20</v>
      </c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0"/>
      <c r="EN91" s="150"/>
      <c r="EO91" s="150"/>
      <c r="EP91" s="150"/>
      <c r="EQ91" s="150"/>
      <c r="ER91" s="150"/>
      <c r="ES91" s="150"/>
      <c r="ET91" s="150"/>
      <c r="EU91" s="150"/>
      <c r="EV91" s="150"/>
      <c r="EW91" s="142">
        <f>20-20</f>
        <v>0</v>
      </c>
      <c r="EX91" s="150"/>
      <c r="EY91" s="150"/>
      <c r="EZ91" s="142">
        <f>10-10</f>
        <v>0</v>
      </c>
      <c r="FA91" s="150"/>
      <c r="FB91" s="150"/>
      <c r="FC91" s="150"/>
      <c r="FD91" s="142">
        <f>10-10</f>
        <v>0</v>
      </c>
      <c r="FE91" s="150"/>
      <c r="FF91" s="150"/>
      <c r="FG91" s="150"/>
      <c r="FH91" s="150"/>
      <c r="FI91" s="150"/>
      <c r="FJ91" s="142">
        <f>10-10</f>
        <v>0</v>
      </c>
      <c r="FK91" s="150"/>
      <c r="FL91" s="150"/>
      <c r="FM91" s="150"/>
      <c r="FN91" s="142">
        <f>10-10</f>
        <v>0</v>
      </c>
      <c r="FO91" s="142">
        <f>20-20</f>
        <v>0</v>
      </c>
      <c r="FP91" s="142">
        <f>10-10+10</f>
        <v>10</v>
      </c>
      <c r="FQ91" s="142">
        <f>10-10</f>
        <v>0</v>
      </c>
      <c r="FR91" s="142">
        <f>10-10</f>
        <v>0</v>
      </c>
      <c r="FS91" s="142">
        <f>50-50+50</f>
        <v>50</v>
      </c>
      <c r="FT91" s="150"/>
      <c r="FU91" s="150"/>
      <c r="FV91" s="150"/>
      <c r="FW91" s="150"/>
      <c r="FX91" s="150"/>
      <c r="FY91" s="150"/>
      <c r="FZ91" s="150"/>
      <c r="GA91" s="150"/>
      <c r="GB91" s="150"/>
      <c r="GC91" s="150"/>
      <c r="GD91" s="150"/>
      <c r="GE91" s="142">
        <f>100-100</f>
        <v>0</v>
      </c>
      <c r="GF91" s="150"/>
      <c r="GG91" s="150"/>
      <c r="GH91" s="150"/>
      <c r="GI91" s="150"/>
      <c r="GJ91" s="150"/>
      <c r="GK91" s="150"/>
      <c r="GL91" s="150"/>
      <c r="GM91" s="150"/>
      <c r="GN91" s="150"/>
      <c r="GO91" s="150"/>
      <c r="GP91" s="150"/>
      <c r="GQ91" s="150"/>
      <c r="GR91" s="161"/>
      <c r="GS91" s="162"/>
      <c r="GT91" s="159"/>
      <c r="GU91" s="159"/>
      <c r="GV91" s="159"/>
      <c r="GW91" s="239">
        <f t="shared" si="11"/>
        <v>97</v>
      </c>
      <c r="GX91" s="136" t="s">
        <v>560</v>
      </c>
    </row>
    <row r="92" spans="1:207" s="136" customFormat="1">
      <c r="A92" s="139"/>
      <c r="B92" s="139" t="s">
        <v>517</v>
      </c>
      <c r="C92" s="139" t="s">
        <v>555</v>
      </c>
      <c r="D92" s="139" t="s">
        <v>632</v>
      </c>
      <c r="E92" s="244" t="s">
        <v>611</v>
      </c>
      <c r="F92" s="139" t="s">
        <v>520</v>
      </c>
      <c r="G92" s="13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50"/>
      <c r="BR92" s="150"/>
      <c r="BS92" s="150"/>
      <c r="BT92" s="150"/>
      <c r="BU92" s="150"/>
      <c r="BV92" s="150"/>
      <c r="BW92" s="150"/>
      <c r="BX92" s="150"/>
      <c r="BY92" s="150"/>
      <c r="BZ92" s="150"/>
      <c r="CA92" s="150"/>
      <c r="CB92" s="150"/>
      <c r="CC92" s="150"/>
      <c r="CD92" s="150"/>
      <c r="CE92" s="150"/>
      <c r="CF92" s="150"/>
      <c r="CG92" s="150"/>
      <c r="CH92" s="150"/>
      <c r="CI92" s="150"/>
      <c r="CJ92" s="150"/>
      <c r="CK92" s="150"/>
      <c r="CL92" s="150"/>
      <c r="CM92" s="150"/>
      <c r="CN92" s="150"/>
      <c r="CO92" s="150"/>
      <c r="CP92" s="150"/>
      <c r="CQ92" s="150"/>
      <c r="CR92" s="150"/>
      <c r="CS92" s="150"/>
      <c r="CT92" s="150"/>
      <c r="CU92" s="150"/>
      <c r="CV92" s="150"/>
      <c r="CW92" s="150"/>
      <c r="CX92" s="150"/>
      <c r="CY92" s="150"/>
      <c r="CZ92" s="150"/>
      <c r="DA92" s="150"/>
      <c r="DB92" s="150"/>
      <c r="DC92" s="150"/>
      <c r="DD92" s="150"/>
      <c r="DE92" s="150"/>
      <c r="DF92" s="150"/>
      <c r="DG92" s="150"/>
      <c r="DH92" s="150"/>
      <c r="DI92" s="150"/>
      <c r="DJ92" s="150"/>
      <c r="DK92" s="150"/>
      <c r="DL92" s="150"/>
      <c r="DM92" s="150"/>
      <c r="DN92" s="150"/>
      <c r="DO92" s="150"/>
      <c r="DP92" s="150"/>
      <c r="DQ92" s="150"/>
      <c r="DR92" s="150"/>
      <c r="DS92" s="150"/>
      <c r="DT92" s="150"/>
      <c r="DU92" s="150"/>
      <c r="DV92" s="150"/>
      <c r="DW92" s="150"/>
      <c r="DX92" s="150"/>
      <c r="DY92" s="150"/>
      <c r="DZ92" s="150"/>
      <c r="EA92" s="150"/>
      <c r="EB92" s="150"/>
      <c r="EC92" s="150"/>
      <c r="ED92" s="150"/>
      <c r="EE92" s="150"/>
      <c r="EF92" s="150"/>
      <c r="EG92" s="150"/>
      <c r="EH92" s="150"/>
      <c r="EI92" s="150"/>
      <c r="EJ92" s="150"/>
      <c r="EK92" s="150"/>
      <c r="EL92" s="150"/>
      <c r="EM92" s="150"/>
      <c r="EN92" s="150"/>
      <c r="EO92" s="150"/>
      <c r="EP92" s="150"/>
      <c r="EQ92" s="150"/>
      <c r="ER92" s="150"/>
      <c r="ES92" s="150"/>
      <c r="ET92" s="150"/>
      <c r="EU92" s="150"/>
      <c r="EV92" s="150"/>
      <c r="EW92" s="150"/>
      <c r="EX92" s="150"/>
      <c r="EY92" s="150"/>
      <c r="EZ92" s="150"/>
      <c r="FA92" s="150"/>
      <c r="FB92" s="150"/>
      <c r="FC92" s="150"/>
      <c r="FD92" s="150"/>
      <c r="FE92" s="150"/>
      <c r="FF92" s="150"/>
      <c r="FG92" s="150"/>
      <c r="FH92" s="150"/>
      <c r="FI92" s="150"/>
      <c r="FJ92" s="150"/>
      <c r="FK92" s="150"/>
      <c r="FL92" s="150"/>
      <c r="FM92" s="150"/>
      <c r="FN92" s="150"/>
      <c r="FO92" s="150"/>
      <c r="FP92" s="150"/>
      <c r="FQ92" s="150"/>
      <c r="FR92" s="150"/>
      <c r="FS92" s="150"/>
      <c r="FT92" s="150"/>
      <c r="FU92" s="150"/>
      <c r="FV92" s="150"/>
      <c r="FW92" s="150"/>
      <c r="FX92" s="150"/>
      <c r="FY92" s="150"/>
      <c r="FZ92" s="150"/>
      <c r="GA92" s="150"/>
      <c r="GB92" s="150"/>
      <c r="GC92" s="150"/>
      <c r="GD92" s="150"/>
      <c r="GE92" s="150"/>
      <c r="GF92" s="150"/>
      <c r="GG92" s="150"/>
      <c r="GH92" s="150"/>
      <c r="GI92" s="150"/>
      <c r="GJ92" s="150"/>
      <c r="GK92" s="150"/>
      <c r="GL92" s="150"/>
      <c r="GM92" s="150"/>
      <c r="GN92" s="150"/>
      <c r="GO92" s="150"/>
      <c r="GP92" s="150"/>
      <c r="GQ92" s="150"/>
      <c r="GR92" s="161"/>
      <c r="GS92" s="162"/>
      <c r="GT92" s="158"/>
      <c r="GU92" s="159"/>
      <c r="GV92" s="159"/>
      <c r="GW92" s="239">
        <f t="shared" si="11"/>
        <v>0</v>
      </c>
      <c r="GX92" s="136" t="s">
        <v>560</v>
      </c>
      <c r="GY92" s="136" t="s">
        <v>799</v>
      </c>
    </row>
    <row r="93" spans="1:207" s="136" customFormat="1">
      <c r="A93" s="154"/>
      <c r="B93" s="241" t="s">
        <v>517</v>
      </c>
      <c r="C93" s="139" t="s">
        <v>555</v>
      </c>
      <c r="D93" s="139" t="s">
        <v>4</v>
      </c>
      <c r="E93" s="160" t="s">
        <v>736</v>
      </c>
      <c r="F93" s="139" t="s">
        <v>520</v>
      </c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154"/>
      <c r="AL93" s="154"/>
      <c r="AM93" s="154"/>
      <c r="AN93" s="154"/>
      <c r="AO93" s="154"/>
      <c r="AP93" s="154"/>
      <c r="AQ93" s="154"/>
      <c r="AR93" s="154"/>
      <c r="AS93" s="154"/>
      <c r="AT93" s="154"/>
      <c r="AU93" s="154"/>
      <c r="AV93" s="154"/>
      <c r="AW93" s="154"/>
      <c r="AX93" s="154"/>
      <c r="AY93" s="154"/>
      <c r="AZ93" s="154"/>
      <c r="BA93" s="154"/>
      <c r="BB93" s="154"/>
      <c r="BC93" s="154"/>
      <c r="BD93" s="154"/>
      <c r="BE93" s="154"/>
      <c r="BF93" s="154"/>
      <c r="BG93" s="154"/>
      <c r="BH93" s="154"/>
      <c r="BI93" s="154"/>
      <c r="BJ93" s="154"/>
      <c r="BK93" s="154"/>
      <c r="BL93" s="154"/>
      <c r="BM93" s="154"/>
      <c r="BN93" s="154"/>
      <c r="BO93" s="154"/>
      <c r="BP93" s="154"/>
      <c r="BQ93" s="154"/>
      <c r="BR93" s="154"/>
      <c r="BS93" s="154"/>
      <c r="BT93" s="154"/>
      <c r="BU93" s="154"/>
      <c r="BV93" s="154"/>
      <c r="BW93" s="154"/>
      <c r="BX93" s="154"/>
      <c r="BY93" s="154"/>
      <c r="BZ93" s="154"/>
      <c r="CA93" s="154"/>
      <c r="CB93" s="154"/>
      <c r="CC93" s="154"/>
      <c r="CD93" s="154"/>
      <c r="CE93" s="154"/>
      <c r="CF93" s="154"/>
      <c r="CG93" s="154"/>
      <c r="CH93" s="154"/>
      <c r="CI93" s="154"/>
      <c r="CJ93" s="154"/>
      <c r="CK93" s="154"/>
      <c r="CL93" s="154"/>
      <c r="CM93" s="154"/>
      <c r="CN93" s="154"/>
      <c r="CO93" s="154"/>
      <c r="CP93" s="156">
        <f>10-10</f>
        <v>0</v>
      </c>
      <c r="CQ93" s="154"/>
      <c r="CR93" s="154"/>
      <c r="CS93" s="156">
        <f>20-20+2</f>
        <v>2</v>
      </c>
      <c r="CT93" s="154"/>
      <c r="CU93" s="156">
        <f>10-10</f>
        <v>0</v>
      </c>
      <c r="CV93" s="156">
        <f>30-30</f>
        <v>0</v>
      </c>
      <c r="CW93" s="154"/>
      <c r="CX93" s="154"/>
      <c r="CY93" s="154"/>
      <c r="CZ93" s="154"/>
      <c r="DA93" s="156">
        <f>30-30+5</f>
        <v>5</v>
      </c>
      <c r="DB93" s="154"/>
      <c r="DC93" s="156">
        <f>40-40+5</f>
        <v>5</v>
      </c>
      <c r="DD93" s="156">
        <f>40-40</f>
        <v>0</v>
      </c>
      <c r="DE93" s="154"/>
      <c r="DF93" s="154"/>
      <c r="DG93" s="154"/>
      <c r="DH93" s="154"/>
      <c r="DI93" s="154"/>
      <c r="DJ93" s="154"/>
      <c r="DK93" s="156">
        <f>20-20+5</f>
        <v>5</v>
      </c>
      <c r="DL93" s="154"/>
      <c r="DM93" s="156">
        <f>40-40</f>
        <v>0</v>
      </c>
      <c r="DN93" s="156">
        <f>40-40+10</f>
        <v>10</v>
      </c>
      <c r="DO93" s="154"/>
      <c r="DP93" s="154"/>
      <c r="DQ93" s="154"/>
      <c r="DR93" s="154"/>
      <c r="DS93" s="154"/>
      <c r="DT93" s="154"/>
      <c r="DU93" s="154"/>
      <c r="DV93" s="154"/>
      <c r="DW93" s="154"/>
      <c r="DX93" s="154"/>
      <c r="DY93" s="154"/>
      <c r="DZ93" s="154"/>
      <c r="EA93" s="154"/>
      <c r="EB93" s="154"/>
      <c r="EC93" s="154"/>
      <c r="ED93" s="154"/>
      <c r="EE93" s="154"/>
      <c r="EF93" s="154"/>
      <c r="EG93" s="154"/>
      <c r="EH93" s="154"/>
      <c r="EI93" s="154"/>
      <c r="EJ93" s="154"/>
      <c r="EK93" s="154"/>
      <c r="EL93" s="154"/>
      <c r="EM93" s="154"/>
      <c r="EN93" s="154"/>
      <c r="EO93" s="154"/>
      <c r="EP93" s="154"/>
      <c r="EQ93" s="154"/>
      <c r="ER93" s="154"/>
      <c r="ES93" s="154"/>
      <c r="ET93" s="154"/>
      <c r="EU93" s="154"/>
      <c r="EV93" s="154"/>
      <c r="EW93" s="154"/>
      <c r="EX93" s="154"/>
      <c r="EY93" s="154"/>
      <c r="EZ93" s="154"/>
      <c r="FA93" s="154"/>
      <c r="FB93" s="154"/>
      <c r="FC93" s="154"/>
      <c r="FD93" s="154"/>
      <c r="FE93" s="154"/>
      <c r="FF93" s="154"/>
      <c r="FG93" s="154"/>
      <c r="FH93" s="154"/>
      <c r="FI93" s="154"/>
      <c r="FJ93" s="154"/>
      <c r="FK93" s="154"/>
      <c r="FL93" s="154"/>
      <c r="FM93" s="154"/>
      <c r="FN93" s="154"/>
      <c r="FO93" s="154"/>
      <c r="FP93" s="154"/>
      <c r="FQ93" s="154"/>
      <c r="FR93" s="154"/>
      <c r="FS93" s="154"/>
      <c r="FT93" s="154"/>
      <c r="FU93" s="154"/>
      <c r="FV93" s="154"/>
      <c r="FW93" s="154"/>
      <c r="FX93" s="154"/>
      <c r="FY93" s="154"/>
      <c r="FZ93" s="154"/>
      <c r="GA93" s="154"/>
      <c r="GB93" s="154"/>
      <c r="GC93" s="154"/>
      <c r="GD93" s="154"/>
      <c r="GE93" s="154"/>
      <c r="GF93" s="154"/>
      <c r="GG93" s="154"/>
      <c r="GH93" s="154"/>
      <c r="GI93" s="154"/>
      <c r="GJ93" s="154"/>
      <c r="GK93" s="154"/>
      <c r="GL93" s="154"/>
      <c r="GM93" s="154"/>
      <c r="GN93" s="154"/>
      <c r="GO93" s="154"/>
      <c r="GP93" s="154"/>
      <c r="GQ93" s="154"/>
      <c r="GR93" s="154"/>
      <c r="GS93" s="154"/>
      <c r="GT93" s="154"/>
      <c r="GU93" s="154"/>
      <c r="GV93" s="154"/>
      <c r="GW93" s="239">
        <f t="shared" si="11"/>
        <v>27</v>
      </c>
      <c r="GX93" s="145" t="s">
        <v>563</v>
      </c>
    </row>
    <row r="94" spans="1:207" s="136" customFormat="1">
      <c r="A94" s="154"/>
      <c r="B94" s="241" t="s">
        <v>517</v>
      </c>
      <c r="C94" s="139" t="s">
        <v>555</v>
      </c>
      <c r="D94" s="139" t="s">
        <v>632</v>
      </c>
      <c r="E94" s="160" t="s">
        <v>736</v>
      </c>
      <c r="F94" s="139" t="s">
        <v>520</v>
      </c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154"/>
      <c r="AL94" s="154"/>
      <c r="AM94" s="154"/>
      <c r="AN94" s="154"/>
      <c r="AO94" s="154"/>
      <c r="AP94" s="154"/>
      <c r="AQ94" s="154"/>
      <c r="AR94" s="154"/>
      <c r="AS94" s="154"/>
      <c r="AT94" s="154"/>
      <c r="AU94" s="154"/>
      <c r="AV94" s="154"/>
      <c r="AW94" s="154"/>
      <c r="AX94" s="154"/>
      <c r="AY94" s="154"/>
      <c r="AZ94" s="154"/>
      <c r="BA94" s="154"/>
      <c r="BB94" s="154"/>
      <c r="BC94" s="154"/>
      <c r="BD94" s="154"/>
      <c r="BE94" s="154"/>
      <c r="BF94" s="154"/>
      <c r="BG94" s="154"/>
      <c r="BH94" s="154"/>
      <c r="BI94" s="154"/>
      <c r="BJ94" s="154"/>
      <c r="BK94" s="154"/>
      <c r="BL94" s="154"/>
      <c r="BM94" s="154"/>
      <c r="BN94" s="154"/>
      <c r="BO94" s="154"/>
      <c r="BP94" s="154"/>
      <c r="BQ94" s="154"/>
      <c r="BR94" s="154"/>
      <c r="BS94" s="154"/>
      <c r="BT94" s="154"/>
      <c r="BU94" s="154"/>
      <c r="BV94" s="154"/>
      <c r="BW94" s="154"/>
      <c r="BX94" s="154"/>
      <c r="BY94" s="154"/>
      <c r="BZ94" s="154"/>
      <c r="CA94" s="154"/>
      <c r="CB94" s="154"/>
      <c r="CC94" s="154"/>
      <c r="CD94" s="154"/>
      <c r="CE94" s="154"/>
      <c r="CF94" s="154"/>
      <c r="CG94" s="154"/>
      <c r="CH94" s="154"/>
      <c r="CI94" s="154"/>
      <c r="CJ94" s="154"/>
      <c r="CK94" s="154"/>
      <c r="CL94" s="154"/>
      <c r="CM94" s="154"/>
      <c r="CN94" s="154"/>
      <c r="CO94" s="154"/>
      <c r="CP94" s="154"/>
      <c r="CQ94" s="156">
        <f>30-30+2</f>
        <v>2</v>
      </c>
      <c r="CR94" s="154"/>
      <c r="CS94" s="154"/>
      <c r="CT94" s="154"/>
      <c r="CU94" s="154"/>
      <c r="CV94" s="154"/>
      <c r="CW94" s="154"/>
      <c r="CX94" s="154"/>
      <c r="CY94" s="154"/>
      <c r="CZ94" s="154"/>
      <c r="DA94" s="154"/>
      <c r="DB94" s="154"/>
      <c r="DC94" s="154"/>
      <c r="DD94" s="154"/>
      <c r="DE94" s="154"/>
      <c r="DF94" s="154"/>
      <c r="DG94" s="154"/>
      <c r="DH94" s="154"/>
      <c r="DI94" s="154"/>
      <c r="DJ94" s="154"/>
      <c r="DK94" s="154"/>
      <c r="DL94" s="154"/>
      <c r="DM94" s="154"/>
      <c r="DN94" s="154"/>
      <c r="DO94" s="154"/>
      <c r="DP94" s="154"/>
      <c r="DQ94" s="154"/>
      <c r="DR94" s="154"/>
      <c r="DS94" s="154"/>
      <c r="DT94" s="154"/>
      <c r="DU94" s="154"/>
      <c r="DV94" s="154"/>
      <c r="DW94" s="154"/>
      <c r="DX94" s="154"/>
      <c r="DY94" s="154"/>
      <c r="DZ94" s="154"/>
      <c r="EA94" s="154"/>
      <c r="EB94" s="154"/>
      <c r="EC94" s="154"/>
      <c r="ED94" s="154"/>
      <c r="EE94" s="154"/>
      <c r="EF94" s="154"/>
      <c r="EG94" s="154"/>
      <c r="EH94" s="154"/>
      <c r="EI94" s="154"/>
      <c r="EJ94" s="154"/>
      <c r="EK94" s="154"/>
      <c r="EL94" s="154"/>
      <c r="EM94" s="154"/>
      <c r="EN94" s="154"/>
      <c r="EO94" s="154"/>
      <c r="EP94" s="154"/>
      <c r="EQ94" s="154"/>
      <c r="ER94" s="154"/>
      <c r="ES94" s="154"/>
      <c r="ET94" s="154"/>
      <c r="EU94" s="154"/>
      <c r="EV94" s="154"/>
      <c r="EW94" s="154"/>
      <c r="EX94" s="154"/>
      <c r="EY94" s="154"/>
      <c r="EZ94" s="154"/>
      <c r="FA94" s="154"/>
      <c r="FB94" s="154"/>
      <c r="FC94" s="154"/>
      <c r="FD94" s="154"/>
      <c r="FE94" s="154"/>
      <c r="FF94" s="154"/>
      <c r="FG94" s="154"/>
      <c r="FH94" s="154"/>
      <c r="FI94" s="154"/>
      <c r="FJ94" s="154"/>
      <c r="FK94" s="154"/>
      <c r="FL94" s="154"/>
      <c r="FM94" s="154"/>
      <c r="FN94" s="154"/>
      <c r="FO94" s="154"/>
      <c r="FP94" s="154"/>
      <c r="FQ94" s="154"/>
      <c r="FR94" s="154"/>
      <c r="FS94" s="154"/>
      <c r="FT94" s="154"/>
      <c r="FU94" s="154"/>
      <c r="FV94" s="154"/>
      <c r="FW94" s="154"/>
      <c r="FX94" s="154"/>
      <c r="FY94" s="154"/>
      <c r="FZ94" s="154"/>
      <c r="GA94" s="154"/>
      <c r="GB94" s="154"/>
      <c r="GC94" s="154"/>
      <c r="GD94" s="154"/>
      <c r="GE94" s="154"/>
      <c r="GF94" s="154"/>
      <c r="GG94" s="154"/>
      <c r="GH94" s="154"/>
      <c r="GI94" s="154"/>
      <c r="GJ94" s="154"/>
      <c r="GK94" s="154"/>
      <c r="GL94" s="154"/>
      <c r="GM94" s="154"/>
      <c r="GN94" s="154"/>
      <c r="GO94" s="154"/>
      <c r="GP94" s="154"/>
      <c r="GQ94" s="154"/>
      <c r="GR94" s="154"/>
      <c r="GS94" s="154"/>
      <c r="GT94" s="154"/>
      <c r="GU94" s="154"/>
      <c r="GV94" s="158"/>
      <c r="GW94" s="239">
        <f t="shared" ref="GW94:GW100" si="21">SUM(H94:GQ94)</f>
        <v>2</v>
      </c>
      <c r="GX94" s="145" t="s">
        <v>563</v>
      </c>
    </row>
    <row r="95" spans="1:207" s="136" customFormat="1">
      <c r="A95" s="139"/>
      <c r="B95" s="139" t="s">
        <v>525</v>
      </c>
      <c r="C95" s="139" t="s">
        <v>555</v>
      </c>
      <c r="D95" s="139" t="s">
        <v>8</v>
      </c>
      <c r="E95" s="160" t="s">
        <v>837</v>
      </c>
      <c r="F95" s="139" t="s">
        <v>520</v>
      </c>
      <c r="G95" s="139" t="s">
        <v>838</v>
      </c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  <c r="AM95" s="150"/>
      <c r="AN95" s="150"/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  <c r="BC95" s="150"/>
      <c r="BD95" s="150"/>
      <c r="BE95" s="150"/>
      <c r="BF95" s="150"/>
      <c r="BG95" s="150"/>
      <c r="BH95" s="150"/>
      <c r="BI95" s="150"/>
      <c r="BJ95" s="150"/>
      <c r="BK95" s="150"/>
      <c r="BL95" s="150"/>
      <c r="BM95" s="150"/>
      <c r="BN95" s="150"/>
      <c r="BO95" s="150"/>
      <c r="BP95" s="150"/>
      <c r="BQ95" s="150"/>
      <c r="BR95" s="150"/>
      <c r="BS95" s="150"/>
      <c r="BT95" s="150"/>
      <c r="BU95" s="150"/>
      <c r="BV95" s="150"/>
      <c r="BW95" s="150"/>
      <c r="BX95" s="150"/>
      <c r="BY95" s="150"/>
      <c r="BZ95" s="150"/>
      <c r="CA95" s="150"/>
      <c r="CB95" s="150"/>
      <c r="CC95" s="150"/>
      <c r="CD95" s="150"/>
      <c r="CE95" s="150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/>
      <c r="DA95" s="150"/>
      <c r="DB95" s="150"/>
      <c r="DC95" s="150"/>
      <c r="DD95" s="150"/>
      <c r="DE95" s="150"/>
      <c r="DF95" s="150"/>
      <c r="DG95" s="150"/>
      <c r="DH95" s="150"/>
      <c r="DI95" s="150"/>
      <c r="DJ95" s="150"/>
      <c r="DK95" s="150"/>
      <c r="DL95" s="150"/>
      <c r="DM95" s="150"/>
      <c r="DN95" s="150"/>
      <c r="DO95" s="150"/>
      <c r="DP95" s="150"/>
      <c r="DQ95" s="150"/>
      <c r="DR95" s="150"/>
      <c r="DS95" s="150"/>
      <c r="DT95" s="150"/>
      <c r="DU95" s="150"/>
      <c r="DV95" s="150"/>
      <c r="DW95" s="150"/>
      <c r="DX95" s="150"/>
      <c r="DY95" s="150"/>
      <c r="DZ95" s="150"/>
      <c r="EA95" s="150"/>
      <c r="EB95" s="150"/>
      <c r="EC95" s="150"/>
      <c r="ED95" s="150"/>
      <c r="EE95" s="150"/>
      <c r="EF95" s="150"/>
      <c r="EG95" s="150"/>
      <c r="EH95" s="150"/>
      <c r="EI95" s="150"/>
      <c r="EJ95" s="150"/>
      <c r="EK95" s="150"/>
      <c r="EL95" s="150"/>
      <c r="EM95" s="150"/>
      <c r="EN95" s="150"/>
      <c r="EO95" s="150"/>
      <c r="EP95" s="150"/>
      <c r="EQ95" s="150"/>
      <c r="ER95" s="150"/>
      <c r="ES95" s="150"/>
      <c r="ET95" s="150"/>
      <c r="EU95" s="150"/>
      <c r="EV95" s="142">
        <f>20-20</f>
        <v>0</v>
      </c>
      <c r="EW95" s="150"/>
      <c r="EX95" s="150"/>
      <c r="EY95" s="150"/>
      <c r="EZ95" s="142">
        <f>20-20</f>
        <v>0</v>
      </c>
      <c r="FA95" s="150"/>
      <c r="FB95" s="150"/>
      <c r="FC95" s="150"/>
      <c r="FD95" s="150"/>
      <c r="FE95" s="150"/>
      <c r="FF95" s="150"/>
      <c r="FG95" s="150"/>
      <c r="FH95" s="150"/>
      <c r="FI95" s="150"/>
      <c r="FJ95" s="150"/>
      <c r="FK95" s="150"/>
      <c r="FL95" s="150"/>
      <c r="FM95" s="150"/>
      <c r="FN95" s="150"/>
      <c r="FO95" s="150"/>
      <c r="FQ95" s="150"/>
      <c r="FR95" s="150"/>
      <c r="FS95" s="150"/>
      <c r="FT95" s="150"/>
      <c r="FU95" s="150"/>
      <c r="FW95" s="150"/>
      <c r="FX95" s="150"/>
      <c r="FY95" s="150"/>
      <c r="FZ95" s="150"/>
      <c r="GA95" s="150"/>
      <c r="GB95" s="150"/>
      <c r="GC95" s="150"/>
      <c r="GD95" s="150"/>
      <c r="GE95" s="150"/>
      <c r="GF95" s="150"/>
      <c r="GG95" s="150"/>
      <c r="GH95" s="150"/>
      <c r="GI95" s="150"/>
      <c r="GJ95" s="150"/>
      <c r="GK95" s="150"/>
      <c r="GL95" s="150"/>
      <c r="GM95" s="150"/>
      <c r="GN95" s="150"/>
      <c r="GO95" s="150"/>
      <c r="GP95" s="150"/>
      <c r="GQ95" s="150"/>
      <c r="GR95" s="150"/>
      <c r="GS95" s="150"/>
      <c r="GT95" s="143" t="s">
        <v>522</v>
      </c>
      <c r="GU95" s="143" t="s">
        <v>839</v>
      </c>
      <c r="GV95" s="143" t="s">
        <v>712</v>
      </c>
      <c r="GW95" s="239">
        <f t="shared" si="21"/>
        <v>0</v>
      </c>
      <c r="GX95" s="136" t="s">
        <v>573</v>
      </c>
    </row>
    <row r="96" spans="1:207" s="136" customFormat="1">
      <c r="A96" s="139"/>
      <c r="B96" s="139" t="s">
        <v>525</v>
      </c>
      <c r="C96" s="139" t="s">
        <v>555</v>
      </c>
      <c r="D96" s="139" t="s">
        <v>4</v>
      </c>
      <c r="E96" s="160" t="s">
        <v>837</v>
      </c>
      <c r="F96" s="139" t="s">
        <v>520</v>
      </c>
      <c r="G96" s="139" t="s">
        <v>838</v>
      </c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42">
        <f>5-5</f>
        <v>0</v>
      </c>
      <c r="U96" s="150"/>
      <c r="V96" s="150"/>
      <c r="W96" s="150"/>
      <c r="X96" s="150"/>
      <c r="Y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42">
        <f>10-10</f>
        <v>0</v>
      </c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42">
        <f>5-5+2</f>
        <v>2</v>
      </c>
      <c r="BB96" s="150"/>
      <c r="BC96" s="150"/>
      <c r="BD96" s="150"/>
      <c r="BE96" s="150"/>
      <c r="BF96" s="150"/>
      <c r="BG96" s="150"/>
      <c r="BH96" s="150"/>
      <c r="BI96" s="150"/>
      <c r="BJ96" s="150"/>
      <c r="BK96" s="150"/>
      <c r="BL96" s="150"/>
      <c r="BM96" s="150"/>
      <c r="BN96" s="150"/>
      <c r="BO96" s="150"/>
      <c r="BP96" s="150"/>
      <c r="BQ96" s="150"/>
      <c r="BR96" s="150"/>
      <c r="BS96" s="150"/>
      <c r="BT96" s="150"/>
      <c r="BU96" s="150"/>
      <c r="BV96" s="150"/>
      <c r="BW96" s="150"/>
      <c r="BX96" s="150"/>
      <c r="BY96" s="150"/>
      <c r="BZ96" s="150"/>
      <c r="CA96" s="150"/>
      <c r="CB96" s="150"/>
      <c r="CC96" s="150"/>
      <c r="CD96" s="150"/>
      <c r="CE96" s="150"/>
      <c r="CF96" s="150"/>
      <c r="CG96" s="150"/>
      <c r="CH96" s="142">
        <f>10-10</f>
        <v>0</v>
      </c>
      <c r="CI96" s="142">
        <f>10-10</f>
        <v>0</v>
      </c>
      <c r="CJ96" s="150"/>
      <c r="CK96" s="142">
        <f>10-10</f>
        <v>0</v>
      </c>
      <c r="CL96" s="150"/>
      <c r="CM96" s="150"/>
      <c r="CN96" s="150"/>
      <c r="CO96" s="150"/>
      <c r="CP96" s="150"/>
      <c r="CQ96" s="150"/>
      <c r="CR96" s="150"/>
      <c r="CS96" s="142">
        <f>10-10+2</f>
        <v>2</v>
      </c>
      <c r="CT96" s="150"/>
      <c r="CU96" s="150"/>
      <c r="CV96" s="142">
        <f>10-10</f>
        <v>0</v>
      </c>
      <c r="CW96" s="150"/>
      <c r="CX96" s="150"/>
      <c r="CY96" s="150"/>
      <c r="CZ96" s="150"/>
      <c r="DA96" s="142">
        <f>10-10+5</f>
        <v>5</v>
      </c>
      <c r="DB96" s="150"/>
      <c r="DC96" s="150"/>
      <c r="DD96" s="150"/>
      <c r="DE96" s="150"/>
      <c r="DF96" s="150"/>
      <c r="DG96" s="150"/>
      <c r="DH96" s="150"/>
      <c r="DI96" s="150"/>
      <c r="DJ96" s="142">
        <f>10-10+5</f>
        <v>5</v>
      </c>
      <c r="DK96" s="142">
        <f>10-10+5</f>
        <v>5</v>
      </c>
      <c r="DL96" s="150"/>
      <c r="DM96" s="150"/>
      <c r="DN96" s="150"/>
      <c r="DO96" s="150"/>
      <c r="DP96" s="248"/>
      <c r="DQ96" s="248"/>
      <c r="DR96" s="248"/>
      <c r="DS96" s="248"/>
      <c r="DT96" s="248"/>
      <c r="DU96" s="248"/>
      <c r="DV96" s="150"/>
      <c r="DW96" s="150"/>
      <c r="DX96" s="150"/>
      <c r="DY96" s="150"/>
      <c r="DZ96" s="150"/>
      <c r="EA96" s="142">
        <f>20-20+20</f>
        <v>20</v>
      </c>
      <c r="EB96" s="142">
        <f>20-20</f>
        <v>0</v>
      </c>
      <c r="EC96" s="150"/>
      <c r="ED96" s="150"/>
      <c r="EE96" s="150"/>
      <c r="EF96" s="150"/>
      <c r="EG96" s="150"/>
      <c r="EH96" s="150"/>
      <c r="EI96" s="150"/>
      <c r="EJ96" s="150"/>
      <c r="EK96" s="150"/>
      <c r="EL96" s="142">
        <f>10-10+2</f>
        <v>2</v>
      </c>
      <c r="EM96" s="150"/>
      <c r="EN96" s="150"/>
      <c r="EO96" s="142">
        <f>10-10+10</f>
        <v>10</v>
      </c>
      <c r="EP96" s="150"/>
      <c r="EQ96" s="150"/>
      <c r="ER96" s="150"/>
      <c r="ES96" s="150"/>
      <c r="ET96" s="150"/>
      <c r="EU96" s="150"/>
      <c r="EV96" s="150"/>
      <c r="EW96" s="150"/>
      <c r="EX96" s="150"/>
      <c r="EY96" s="150"/>
      <c r="EZ96" s="150"/>
      <c r="FA96" s="150"/>
      <c r="FB96" s="150"/>
      <c r="FC96" s="150"/>
      <c r="FD96" s="150"/>
      <c r="FE96" s="150"/>
      <c r="FF96" s="142">
        <f>20-20</f>
        <v>0</v>
      </c>
      <c r="FG96" s="142">
        <f>20-20</f>
        <v>0</v>
      </c>
      <c r="FH96" s="150"/>
      <c r="FI96" s="150"/>
      <c r="FJ96" s="150"/>
      <c r="FK96" s="142">
        <f>20-20</f>
        <v>0</v>
      </c>
      <c r="FL96" s="150"/>
      <c r="FM96" s="150"/>
      <c r="FN96" s="150"/>
      <c r="FO96" s="150"/>
      <c r="FP96" s="150"/>
      <c r="FQ96" s="142">
        <f>20-20</f>
        <v>0</v>
      </c>
      <c r="FR96" s="150"/>
      <c r="FS96" s="150"/>
      <c r="FT96" s="150"/>
      <c r="FU96" s="150"/>
      <c r="FV96" s="150"/>
      <c r="FW96" s="150"/>
      <c r="FX96" s="150"/>
      <c r="FY96" s="150"/>
      <c r="FZ96" s="150"/>
      <c r="GA96" s="150"/>
      <c r="GB96" s="150"/>
      <c r="GC96" s="150"/>
      <c r="GD96" s="150"/>
      <c r="GE96" s="142">
        <f>20-20</f>
        <v>0</v>
      </c>
      <c r="GF96" s="150"/>
      <c r="GG96" s="150"/>
      <c r="GH96" s="150"/>
      <c r="GI96" s="150"/>
      <c r="GJ96" s="150"/>
      <c r="GK96" s="150"/>
      <c r="GL96" s="150"/>
      <c r="GM96" s="150"/>
      <c r="GN96" s="150"/>
      <c r="GO96" s="150"/>
      <c r="GP96" s="150"/>
      <c r="GQ96" s="150"/>
      <c r="GR96" s="150"/>
      <c r="GS96" s="150"/>
      <c r="GT96" s="143" t="s">
        <v>522</v>
      </c>
      <c r="GU96" s="143" t="s">
        <v>839</v>
      </c>
      <c r="GV96" s="143" t="s">
        <v>712</v>
      </c>
      <c r="GW96" s="239">
        <f t="shared" si="21"/>
        <v>51</v>
      </c>
      <c r="GX96" s="136" t="s">
        <v>573</v>
      </c>
    </row>
    <row r="97" spans="1:304" s="136" customFormat="1">
      <c r="A97" s="139"/>
      <c r="B97" s="139" t="s">
        <v>517</v>
      </c>
      <c r="C97" s="139" t="s">
        <v>555</v>
      </c>
      <c r="D97" s="139" t="s">
        <v>636</v>
      </c>
      <c r="E97" s="244" t="s">
        <v>614</v>
      </c>
      <c r="F97" s="139" t="s">
        <v>520</v>
      </c>
      <c r="G97" s="139" t="s">
        <v>840</v>
      </c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0"/>
      <c r="EN97" s="150"/>
      <c r="EO97" s="150"/>
      <c r="EP97" s="150"/>
      <c r="EQ97" s="150"/>
      <c r="ER97" s="150"/>
      <c r="ES97" s="150"/>
      <c r="ET97" s="150"/>
      <c r="EU97" s="150"/>
      <c r="EV97" s="150"/>
      <c r="EW97" s="150"/>
      <c r="EX97" s="150"/>
      <c r="EY97" s="150"/>
      <c r="EZ97" s="150"/>
      <c r="FA97" s="150"/>
      <c r="FB97" s="150"/>
      <c r="FC97" s="150"/>
      <c r="FD97" s="150"/>
      <c r="FE97" s="150"/>
      <c r="FF97" s="150"/>
      <c r="FG97" s="150"/>
      <c r="FH97" s="150"/>
      <c r="FI97" s="150"/>
      <c r="FJ97" s="150"/>
      <c r="FK97" s="150"/>
      <c r="FL97" s="150"/>
      <c r="FM97" s="150"/>
      <c r="FN97" s="150"/>
      <c r="FO97" s="150"/>
      <c r="FP97" s="150"/>
      <c r="FQ97" s="150"/>
      <c r="FR97" s="150"/>
      <c r="FS97" s="150"/>
      <c r="FT97" s="150"/>
      <c r="FU97" s="150"/>
      <c r="FV97" s="150"/>
      <c r="FW97" s="150"/>
      <c r="FX97" s="150"/>
      <c r="FY97" s="150"/>
      <c r="FZ97" s="150"/>
      <c r="GA97" s="150"/>
      <c r="GB97" s="150"/>
      <c r="GC97" s="150"/>
      <c r="GD97" s="150"/>
      <c r="GE97" s="150"/>
      <c r="GF97" s="150"/>
      <c r="GG97" s="150"/>
      <c r="GH97" s="150"/>
      <c r="GI97" s="150"/>
      <c r="GJ97" s="150"/>
      <c r="GK97" s="150"/>
      <c r="GL97" s="150"/>
      <c r="GM97" s="150"/>
      <c r="GN97" s="150"/>
      <c r="GO97" s="150"/>
      <c r="GP97" s="150"/>
      <c r="GQ97" s="150"/>
      <c r="GR97" s="161"/>
      <c r="GS97" s="162"/>
      <c r="GT97" s="159" t="s">
        <v>522</v>
      </c>
      <c r="GU97" s="159" t="s">
        <v>616</v>
      </c>
      <c r="GV97" s="159"/>
      <c r="GW97" s="239">
        <f t="shared" si="21"/>
        <v>0</v>
      </c>
      <c r="GX97" s="136" t="s">
        <v>560</v>
      </c>
    </row>
    <row r="98" spans="1:304" s="136" customFormat="1">
      <c r="A98" s="139"/>
      <c r="B98" s="139" t="s">
        <v>517</v>
      </c>
      <c r="C98" s="139" t="s">
        <v>555</v>
      </c>
      <c r="D98" s="139" t="s">
        <v>4</v>
      </c>
      <c r="E98" s="244" t="s">
        <v>614</v>
      </c>
      <c r="F98" s="139" t="s">
        <v>520</v>
      </c>
      <c r="G98" s="139" t="s">
        <v>840</v>
      </c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  <c r="AE98" s="150"/>
      <c r="AF98" s="150"/>
      <c r="AG98" s="150"/>
      <c r="AH98" s="150"/>
      <c r="AI98" s="150"/>
      <c r="AJ98" s="150"/>
      <c r="AK98" s="150"/>
      <c r="AL98" s="150"/>
      <c r="AM98" s="150"/>
      <c r="AN98" s="150"/>
      <c r="AO98" s="150"/>
      <c r="AP98" s="150"/>
      <c r="AQ98" s="150"/>
      <c r="AR98" s="150"/>
      <c r="AS98" s="150"/>
      <c r="AT98" s="150"/>
      <c r="AU98" s="150"/>
      <c r="AV98" s="150"/>
      <c r="AW98" s="150"/>
      <c r="AX98" s="150"/>
      <c r="AY98" s="150"/>
      <c r="AZ98" s="150"/>
      <c r="BA98" s="150"/>
      <c r="BB98" s="150"/>
      <c r="BC98" s="150"/>
      <c r="BD98" s="150"/>
      <c r="BE98" s="150"/>
      <c r="BF98" s="150"/>
      <c r="BG98" s="150"/>
      <c r="BH98" s="150"/>
      <c r="BI98" s="150"/>
      <c r="BJ98" s="150"/>
      <c r="BK98" s="150"/>
      <c r="BL98" s="150"/>
      <c r="BM98" s="150"/>
      <c r="BN98" s="150"/>
      <c r="BO98" s="150"/>
      <c r="BP98" s="150"/>
      <c r="BQ98" s="150"/>
      <c r="BR98" s="150"/>
      <c r="BS98" s="150"/>
      <c r="BT98" s="150"/>
      <c r="BU98" s="150"/>
      <c r="BV98" s="150"/>
      <c r="BW98" s="150"/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/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50"/>
      <c r="DY98" s="150"/>
      <c r="DZ98" s="150"/>
      <c r="EA98" s="150"/>
      <c r="EB98" s="150"/>
      <c r="EC98" s="150"/>
      <c r="ED98" s="150"/>
      <c r="EE98" s="150"/>
      <c r="EF98" s="150"/>
      <c r="EG98" s="150"/>
      <c r="EH98" s="150"/>
      <c r="EI98" s="150"/>
      <c r="EJ98" s="150"/>
      <c r="EK98" s="150"/>
      <c r="EL98" s="150"/>
      <c r="EM98" s="150"/>
      <c r="EN98" s="150"/>
      <c r="EO98" s="150"/>
      <c r="EP98" s="150"/>
      <c r="EQ98" s="150"/>
      <c r="ER98" s="150"/>
      <c r="ES98" s="150"/>
      <c r="ET98" s="150"/>
      <c r="EU98" s="150"/>
      <c r="EV98" s="150"/>
      <c r="EW98" s="142">
        <f>50-50</f>
        <v>0</v>
      </c>
      <c r="EX98" s="142">
        <f>50-50</f>
        <v>0</v>
      </c>
      <c r="EY98" s="150"/>
      <c r="EZ98" s="150"/>
      <c r="FA98" s="142">
        <f>50-50</f>
        <v>0</v>
      </c>
      <c r="FB98" s="150"/>
      <c r="FC98" s="150"/>
      <c r="FD98" s="150"/>
      <c r="FE98" s="150"/>
      <c r="FF98" s="142">
        <f>50-50+5</f>
        <v>5</v>
      </c>
      <c r="FG98" s="142">
        <f>50-50</f>
        <v>0</v>
      </c>
      <c r="FH98" s="150"/>
      <c r="FI98" s="150"/>
      <c r="FJ98" s="150"/>
      <c r="FK98" s="150"/>
      <c r="FL98" s="150"/>
      <c r="FM98" s="150"/>
      <c r="FN98" s="150"/>
      <c r="FO98" s="150"/>
      <c r="FP98" s="150"/>
      <c r="FQ98" s="150"/>
      <c r="FR98" s="150"/>
      <c r="FS98" s="150"/>
      <c r="FT98" s="150"/>
      <c r="FU98" s="150"/>
      <c r="FV98" s="150"/>
      <c r="FW98" s="150"/>
      <c r="FX98" s="150"/>
      <c r="FY98" s="150"/>
      <c r="FZ98" s="150"/>
      <c r="GA98" s="150"/>
      <c r="GB98" s="150"/>
      <c r="GC98" s="150"/>
      <c r="GD98" s="150"/>
      <c r="GE98" s="150"/>
      <c r="GF98" s="150"/>
      <c r="GG98" s="150"/>
      <c r="GH98" s="150"/>
      <c r="GI98" s="150"/>
      <c r="GJ98" s="150"/>
      <c r="GK98" s="150"/>
      <c r="GL98" s="150"/>
      <c r="GM98" s="150"/>
      <c r="GN98" s="150"/>
      <c r="GO98" s="150"/>
      <c r="GP98" s="150"/>
      <c r="GQ98" s="150"/>
      <c r="GR98" s="161"/>
      <c r="GS98" s="162"/>
      <c r="GT98" s="159" t="s">
        <v>522</v>
      </c>
      <c r="GU98" s="159" t="s">
        <v>616</v>
      </c>
      <c r="GV98" s="159"/>
      <c r="GW98" s="239">
        <f t="shared" si="21"/>
        <v>5</v>
      </c>
      <c r="GX98" s="136" t="s">
        <v>560</v>
      </c>
    </row>
    <row r="99" spans="1:304" s="136" customFormat="1">
      <c r="A99" s="139"/>
      <c r="B99" s="139" t="s">
        <v>517</v>
      </c>
      <c r="C99" s="139" t="s">
        <v>555</v>
      </c>
      <c r="D99" s="139" t="s">
        <v>636</v>
      </c>
      <c r="E99" s="244" t="s">
        <v>618</v>
      </c>
      <c r="F99" s="139" t="s">
        <v>520</v>
      </c>
      <c r="G99" s="139" t="s">
        <v>841</v>
      </c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0"/>
      <c r="EN99" s="150"/>
      <c r="EO99" s="150"/>
      <c r="EP99" s="150"/>
      <c r="EQ99" s="150"/>
      <c r="ER99" s="150"/>
      <c r="ES99" s="150"/>
      <c r="ET99" s="150"/>
      <c r="EU99" s="150"/>
      <c r="EV99" s="150"/>
      <c r="EW99" s="150"/>
      <c r="EX99" s="150"/>
      <c r="EY99" s="150"/>
      <c r="EZ99" s="150"/>
      <c r="FA99" s="150"/>
      <c r="FB99" s="150"/>
      <c r="FC99" s="150"/>
      <c r="FD99" s="150"/>
      <c r="FE99" s="150"/>
      <c r="FF99" s="150"/>
      <c r="FG99" s="150"/>
      <c r="FH99" s="150"/>
      <c r="FI99" s="150"/>
      <c r="FJ99" s="150"/>
      <c r="FK99" s="150"/>
      <c r="FL99" s="150"/>
      <c r="FM99" s="150"/>
      <c r="FN99" s="150"/>
      <c r="FO99" s="150"/>
      <c r="FP99" s="150"/>
      <c r="FQ99" s="150"/>
      <c r="FR99" s="150"/>
      <c r="FS99" s="150"/>
      <c r="FT99" s="150"/>
      <c r="FU99" s="150"/>
      <c r="FV99" s="150"/>
      <c r="FW99" s="150"/>
      <c r="FX99" s="150"/>
      <c r="FY99" s="150"/>
      <c r="FZ99" s="150"/>
      <c r="GA99" s="150"/>
      <c r="GB99" s="150"/>
      <c r="GC99" s="150"/>
      <c r="GD99" s="150"/>
      <c r="GE99" s="150"/>
      <c r="GF99" s="150"/>
      <c r="GG99" s="150"/>
      <c r="GH99" s="150"/>
      <c r="GI99" s="150"/>
      <c r="GJ99" s="150"/>
      <c r="GK99" s="150"/>
      <c r="GL99" s="150"/>
      <c r="GM99" s="150"/>
      <c r="GN99" s="150"/>
      <c r="GO99" s="150"/>
      <c r="GP99" s="150"/>
      <c r="GQ99" s="150"/>
      <c r="GR99" s="161"/>
      <c r="GS99" s="162"/>
      <c r="GT99" s="158" t="s">
        <v>522</v>
      </c>
      <c r="GU99" s="159" t="s">
        <v>620</v>
      </c>
      <c r="GV99" s="159"/>
      <c r="GW99" s="239">
        <f t="shared" si="21"/>
        <v>0</v>
      </c>
      <c r="GX99" s="145" t="s">
        <v>560</v>
      </c>
      <c r="GY99" s="136" t="s">
        <v>799</v>
      </c>
    </row>
    <row r="100" spans="1:304" s="136" customFormat="1">
      <c r="A100" s="139"/>
      <c r="B100" s="139" t="s">
        <v>517</v>
      </c>
      <c r="C100" s="139" t="s">
        <v>555</v>
      </c>
      <c r="D100" s="139" t="s">
        <v>4</v>
      </c>
      <c r="E100" s="244" t="s">
        <v>618</v>
      </c>
      <c r="F100" s="139" t="s">
        <v>520</v>
      </c>
      <c r="G100" s="139" t="s">
        <v>841</v>
      </c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42">
        <f>20-20+5</f>
        <v>5</v>
      </c>
      <c r="AB100" s="150"/>
      <c r="AC100" s="150"/>
      <c r="AD100" s="150"/>
      <c r="AE100" s="150"/>
      <c r="AF100" s="150"/>
      <c r="AG100" s="150"/>
      <c r="AH100" s="150"/>
      <c r="AI100" s="150"/>
      <c r="AJ100" s="150"/>
      <c r="AK100" s="150"/>
      <c r="AL100" s="150"/>
      <c r="AM100" s="150"/>
      <c r="AN100" s="150"/>
      <c r="AO100" s="150"/>
      <c r="AP100" s="150"/>
      <c r="AQ100" s="150"/>
      <c r="AR100" s="150"/>
      <c r="AS100" s="150"/>
      <c r="AT100" s="150"/>
      <c r="AU100" s="150"/>
      <c r="AV100" s="150"/>
      <c r="AW100" s="150"/>
      <c r="AX100" s="150"/>
      <c r="AY100" s="150"/>
      <c r="AZ100" s="150"/>
      <c r="BA100" s="150"/>
      <c r="BB100" s="150"/>
      <c r="BC100" s="150"/>
      <c r="BD100" s="150"/>
      <c r="BE100" s="150"/>
      <c r="BF100" s="150"/>
      <c r="BG100" s="150"/>
      <c r="BH100" s="150"/>
      <c r="BI100" s="150"/>
      <c r="BJ100" s="150"/>
      <c r="BK100" s="150"/>
      <c r="BL100" s="150"/>
      <c r="BM100" s="150"/>
      <c r="BN100" s="150"/>
      <c r="BO100" s="150"/>
      <c r="BP100" s="150"/>
      <c r="BQ100" s="150"/>
      <c r="BR100" s="150"/>
      <c r="BS100" s="150"/>
      <c r="BT100" s="150"/>
      <c r="BU100" s="150"/>
      <c r="BV100" s="150"/>
      <c r="BW100" s="150"/>
      <c r="BX100" s="150"/>
      <c r="BY100" s="150"/>
      <c r="BZ100" s="150"/>
      <c r="CA100" s="150"/>
      <c r="CB100" s="150"/>
      <c r="CC100" s="150"/>
      <c r="CD100" s="150"/>
      <c r="CE100" s="150"/>
      <c r="CF100" s="150"/>
      <c r="CG100" s="150"/>
      <c r="CH100" s="150"/>
      <c r="CI100" s="150"/>
      <c r="CJ100" s="150"/>
      <c r="CK100" s="150"/>
      <c r="CL100" s="150"/>
      <c r="CM100" s="150"/>
      <c r="CN100" s="150"/>
      <c r="CO100" s="150"/>
      <c r="CP100" s="142">
        <f>30-30</f>
        <v>0</v>
      </c>
      <c r="CQ100" s="150"/>
      <c r="CR100" s="150"/>
      <c r="CS100" s="142">
        <f>30-30+2</f>
        <v>2</v>
      </c>
      <c r="CT100" s="150"/>
      <c r="CU100" s="150"/>
      <c r="CV100" s="150"/>
      <c r="CW100" s="150"/>
      <c r="CX100" s="150"/>
      <c r="CY100" s="150"/>
      <c r="CZ100" s="150"/>
      <c r="DA100" s="150"/>
      <c r="DB100" s="150"/>
      <c r="DC100" s="150"/>
      <c r="DD100" s="150"/>
      <c r="DE100" s="150"/>
      <c r="DF100" s="150"/>
      <c r="DG100" s="150"/>
      <c r="DH100" s="150"/>
      <c r="DI100" s="150"/>
      <c r="DJ100" s="150"/>
      <c r="DK100" s="142">
        <f>100-100+5</f>
        <v>5</v>
      </c>
      <c r="DL100" s="150"/>
      <c r="DM100" s="150"/>
      <c r="DN100" s="150"/>
      <c r="DO100" s="150"/>
      <c r="DP100" s="150"/>
      <c r="DQ100" s="150"/>
      <c r="DR100" s="150"/>
      <c r="DS100" s="150"/>
      <c r="DT100" s="150"/>
      <c r="DU100" s="150"/>
      <c r="DV100" s="150"/>
      <c r="DW100" s="150"/>
      <c r="DX100" s="150"/>
      <c r="DY100" s="150"/>
      <c r="DZ100" s="150"/>
      <c r="EA100" s="150"/>
      <c r="EB100" s="150"/>
      <c r="EC100" s="150"/>
      <c r="ED100" s="150"/>
      <c r="EE100" s="150"/>
      <c r="EF100" s="150"/>
      <c r="EG100" s="150"/>
      <c r="EH100" s="150"/>
      <c r="EI100" s="150"/>
      <c r="EJ100" s="150"/>
      <c r="EK100" s="150"/>
      <c r="EL100" s="150"/>
      <c r="EM100" s="150"/>
      <c r="EN100" s="150"/>
      <c r="EO100" s="150"/>
      <c r="EP100" s="150"/>
      <c r="EQ100" s="150"/>
      <c r="ER100" s="150"/>
      <c r="ES100" s="150"/>
      <c r="ET100" s="150"/>
      <c r="EU100" s="150"/>
      <c r="EV100" s="150"/>
      <c r="EW100" s="150"/>
      <c r="EX100" s="150"/>
      <c r="EY100" s="150"/>
      <c r="EZ100" s="150"/>
      <c r="FA100" s="150"/>
      <c r="FB100" s="150"/>
      <c r="FC100" s="150"/>
      <c r="FD100" s="150"/>
      <c r="FE100" s="150"/>
      <c r="FF100" s="150"/>
      <c r="FG100" s="150"/>
      <c r="FH100" s="150"/>
      <c r="FI100" s="142">
        <f>200-200+10</f>
        <v>10</v>
      </c>
      <c r="FJ100" s="150"/>
      <c r="FK100" s="150"/>
      <c r="FL100" s="150"/>
      <c r="FM100" s="150"/>
      <c r="FN100" s="150"/>
      <c r="FO100" s="150"/>
      <c r="FP100" s="150"/>
      <c r="FQ100" s="150"/>
      <c r="FR100" s="150"/>
      <c r="FS100" s="150"/>
      <c r="FT100" s="150"/>
      <c r="FU100" s="150"/>
      <c r="FV100" s="150"/>
      <c r="FW100" s="150"/>
      <c r="FX100" s="150"/>
      <c r="FY100" s="150"/>
      <c r="FZ100" s="150"/>
      <c r="GA100" s="150"/>
      <c r="GB100" s="150"/>
      <c r="GC100" s="150"/>
      <c r="GD100" s="150"/>
      <c r="GE100" s="150"/>
      <c r="GF100" s="150"/>
      <c r="GG100" s="150"/>
      <c r="GH100" s="150"/>
      <c r="GI100" s="150"/>
      <c r="GJ100" s="150"/>
      <c r="GK100" s="150"/>
      <c r="GL100" s="150"/>
      <c r="GM100" s="150"/>
      <c r="GN100" s="150"/>
      <c r="GO100" s="150"/>
      <c r="GP100" s="150"/>
      <c r="GQ100" s="150"/>
      <c r="GR100" s="161"/>
      <c r="GS100" s="162"/>
      <c r="GT100" s="158" t="s">
        <v>522</v>
      </c>
      <c r="GU100" s="159" t="s">
        <v>620</v>
      </c>
      <c r="GV100" s="159"/>
      <c r="GW100" s="239">
        <f t="shared" si="21"/>
        <v>22</v>
      </c>
      <c r="GX100" s="145" t="s">
        <v>560</v>
      </c>
    </row>
    <row r="101" spans="1:304" s="136" customFormat="1" hidden="1">
      <c r="A101" s="139"/>
      <c r="B101" s="139" t="s">
        <v>842</v>
      </c>
      <c r="C101" s="139" t="s">
        <v>843</v>
      </c>
      <c r="D101" s="139" t="s">
        <v>633</v>
      </c>
      <c r="E101" s="160" t="s">
        <v>552</v>
      </c>
      <c r="F101" s="139" t="s">
        <v>520</v>
      </c>
      <c r="G101" s="13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46">
        <f>160-160+160</f>
        <v>160</v>
      </c>
      <c r="EF101" s="150"/>
      <c r="EG101" s="150"/>
      <c r="EH101" s="150"/>
      <c r="EI101" s="150"/>
      <c r="EJ101" s="150"/>
      <c r="EK101" s="150"/>
      <c r="EL101" s="142">
        <f>160-160</f>
        <v>0</v>
      </c>
      <c r="EM101" s="150"/>
      <c r="EN101" s="150"/>
      <c r="EO101" s="150"/>
      <c r="EP101" s="150"/>
      <c r="EQ101" s="150"/>
      <c r="ER101" s="150"/>
      <c r="ES101" s="150"/>
      <c r="ET101" s="150"/>
      <c r="EU101" s="150"/>
      <c r="EV101" s="150"/>
      <c r="EW101" s="150"/>
      <c r="EX101" s="150"/>
      <c r="EY101" s="150"/>
      <c r="EZ101" s="150"/>
      <c r="FA101" s="142">
        <f>160-160</f>
        <v>0</v>
      </c>
      <c r="FB101" s="150"/>
      <c r="FC101" s="150"/>
      <c r="FD101" s="150"/>
      <c r="FE101" s="150"/>
      <c r="FF101" s="150"/>
      <c r="FG101" s="150"/>
      <c r="FH101" s="150"/>
      <c r="FI101" s="150"/>
      <c r="FJ101" s="150"/>
      <c r="FK101" s="150"/>
      <c r="FL101" s="150"/>
      <c r="FM101" s="150"/>
      <c r="FN101" s="150"/>
      <c r="FO101" s="150"/>
      <c r="FP101" s="150"/>
      <c r="FQ101" s="150"/>
      <c r="FR101" s="150"/>
      <c r="FS101" s="150"/>
      <c r="FT101" s="150"/>
      <c r="FU101" s="150"/>
      <c r="FV101" s="150"/>
      <c r="FW101" s="150"/>
      <c r="FX101" s="150"/>
      <c r="FY101" s="150"/>
      <c r="FZ101" s="150"/>
      <c r="GA101" s="150"/>
      <c r="GB101" s="150"/>
      <c r="GC101" s="150"/>
      <c r="GD101" s="150"/>
      <c r="GE101" s="150"/>
      <c r="GF101" s="150"/>
      <c r="GG101" s="150"/>
      <c r="GH101" s="150"/>
      <c r="GI101" s="150"/>
      <c r="GJ101" s="150"/>
      <c r="GK101" s="150"/>
      <c r="GL101" s="150"/>
      <c r="GM101" s="150"/>
      <c r="GN101" s="150"/>
      <c r="GO101" s="150"/>
      <c r="GP101" s="150"/>
      <c r="GQ101" s="150"/>
      <c r="GR101" s="161"/>
      <c r="GS101" s="162"/>
      <c r="GT101" s="158"/>
      <c r="GU101" s="159"/>
      <c r="GV101" s="159" t="s">
        <v>553</v>
      </c>
      <c r="GW101" s="239">
        <f t="shared" ref="GW101:GW116" si="22">SUM(H101:GQ101)</f>
        <v>160</v>
      </c>
      <c r="GX101" s="145" t="s">
        <v>554</v>
      </c>
    </row>
    <row r="102" spans="1:304" s="289" customFormat="1">
      <c r="A102" s="138"/>
      <c r="B102" s="138"/>
      <c r="C102" s="138"/>
      <c r="D102" s="138"/>
      <c r="E102" s="140"/>
      <c r="F102" s="138"/>
      <c r="G102" s="138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41"/>
      <c r="BC102" s="141"/>
      <c r="BD102" s="141"/>
      <c r="BE102" s="141"/>
      <c r="BF102" s="141"/>
      <c r="BG102" s="141"/>
      <c r="BH102" s="141"/>
      <c r="BI102" s="141"/>
      <c r="BJ102" s="141"/>
      <c r="BK102" s="141"/>
      <c r="BL102" s="141"/>
      <c r="BM102" s="141"/>
      <c r="BN102" s="141"/>
      <c r="BO102" s="141"/>
      <c r="BP102" s="141"/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41"/>
      <c r="CC102" s="141"/>
      <c r="CD102" s="141"/>
      <c r="CE102" s="141"/>
      <c r="CF102" s="141"/>
      <c r="CG102" s="141"/>
      <c r="CH102" s="141"/>
      <c r="CI102" s="141"/>
      <c r="CJ102" s="141"/>
      <c r="CK102" s="141"/>
      <c r="CL102" s="141"/>
      <c r="CM102" s="141"/>
      <c r="CN102" s="141"/>
      <c r="CO102" s="141"/>
      <c r="CP102" s="141"/>
      <c r="CQ102" s="141"/>
      <c r="CR102" s="141"/>
      <c r="CS102" s="141"/>
      <c r="CT102" s="141"/>
      <c r="CU102" s="141"/>
      <c r="CV102" s="141"/>
      <c r="CW102" s="141"/>
      <c r="CX102" s="141"/>
      <c r="CY102" s="141"/>
      <c r="CZ102" s="141"/>
      <c r="DA102" s="141"/>
      <c r="DB102" s="141"/>
      <c r="DC102" s="141"/>
      <c r="DD102" s="141"/>
      <c r="DE102" s="141"/>
      <c r="DF102" s="141"/>
      <c r="DG102" s="141"/>
      <c r="DH102" s="141"/>
      <c r="DI102" s="141"/>
      <c r="DJ102" s="141"/>
      <c r="DK102" s="141"/>
      <c r="DL102" s="141"/>
      <c r="DM102" s="141"/>
      <c r="DN102" s="141"/>
      <c r="DO102" s="141"/>
      <c r="DP102" s="141"/>
      <c r="DQ102" s="141"/>
      <c r="DR102" s="141"/>
      <c r="DS102" s="141"/>
      <c r="DT102" s="141"/>
      <c r="DU102" s="141"/>
      <c r="DV102" s="141"/>
      <c r="DW102" s="141"/>
      <c r="DX102" s="141"/>
      <c r="DY102" s="141"/>
      <c r="DZ102" s="141"/>
      <c r="EA102" s="141"/>
      <c r="EB102" s="141"/>
      <c r="EC102" s="141"/>
      <c r="ED102" s="141"/>
      <c r="EE102" s="141"/>
      <c r="EF102" s="141"/>
      <c r="EG102" s="141"/>
      <c r="EH102" s="141"/>
      <c r="EI102" s="141"/>
      <c r="EJ102" s="141"/>
      <c r="EK102" s="141"/>
      <c r="EL102" s="141"/>
      <c r="EM102" s="141"/>
      <c r="EN102" s="141"/>
      <c r="EO102" s="141"/>
      <c r="EP102" s="141"/>
      <c r="EQ102" s="141"/>
      <c r="ER102" s="141"/>
      <c r="ES102" s="141"/>
      <c r="ET102" s="141"/>
      <c r="EU102" s="141"/>
      <c r="EV102" s="141"/>
      <c r="EW102" s="141"/>
      <c r="EX102" s="141"/>
      <c r="EY102" s="141"/>
      <c r="EZ102" s="141"/>
      <c r="FA102" s="141"/>
      <c r="FB102" s="141"/>
      <c r="FC102" s="141"/>
      <c r="FD102" s="141"/>
      <c r="FE102" s="141"/>
      <c r="FF102" s="141"/>
      <c r="FG102" s="141"/>
      <c r="FH102" s="141"/>
      <c r="FI102" s="141"/>
      <c r="FJ102" s="141"/>
      <c r="FK102" s="141"/>
      <c r="FL102" s="141"/>
      <c r="FM102" s="141"/>
      <c r="FN102" s="141"/>
      <c r="FO102" s="141"/>
      <c r="FP102" s="141"/>
      <c r="FQ102" s="141"/>
      <c r="FR102" s="141"/>
      <c r="FS102" s="141"/>
      <c r="FT102" s="141"/>
      <c r="FU102" s="141"/>
      <c r="FV102" s="141"/>
      <c r="FW102" s="141"/>
      <c r="FX102" s="141"/>
      <c r="FY102" s="141"/>
      <c r="FZ102" s="141"/>
      <c r="GA102" s="141"/>
      <c r="GB102" s="141"/>
      <c r="GC102" s="141"/>
      <c r="GD102" s="141"/>
      <c r="GE102" s="141"/>
      <c r="GF102" s="141"/>
      <c r="GG102" s="141"/>
      <c r="GH102" s="141"/>
      <c r="GI102" s="141"/>
      <c r="GJ102" s="141"/>
      <c r="GK102" s="141"/>
      <c r="GL102" s="141"/>
      <c r="GM102" s="141"/>
      <c r="GN102" s="141"/>
      <c r="GO102" s="141"/>
      <c r="GP102" s="141"/>
      <c r="GQ102" s="141"/>
      <c r="GR102" s="151"/>
      <c r="GS102" s="152"/>
      <c r="GT102" s="204"/>
      <c r="GU102" s="153"/>
      <c r="GV102" s="153"/>
      <c r="GW102" s="288"/>
      <c r="GX102" s="205"/>
    </row>
    <row r="103" spans="1:304" s="147" customFormat="1">
      <c r="A103" s="291"/>
      <c r="B103" s="291"/>
      <c r="C103" s="291"/>
      <c r="D103" s="291"/>
      <c r="E103" s="292"/>
      <c r="F103" s="291"/>
      <c r="G103" s="291"/>
      <c r="H103" s="293"/>
      <c r="I103" s="293"/>
      <c r="J103" s="293"/>
      <c r="K103" s="293"/>
      <c r="L103" s="293"/>
      <c r="M103" s="293"/>
      <c r="N103" s="293"/>
      <c r="O103" s="293"/>
      <c r="P103" s="294"/>
      <c r="Q103" s="293"/>
      <c r="R103" s="293"/>
      <c r="S103" s="293"/>
      <c r="T103" s="294"/>
      <c r="U103" s="293"/>
      <c r="V103" s="293"/>
      <c r="W103" s="293"/>
      <c r="X103" s="293"/>
      <c r="Y103" s="293"/>
      <c r="AZ103" s="293"/>
      <c r="BA103" s="293"/>
      <c r="BB103" s="293"/>
      <c r="BC103" s="293"/>
      <c r="BD103" s="293"/>
      <c r="BE103" s="294"/>
      <c r="BF103" s="294"/>
      <c r="BG103" s="294"/>
      <c r="BH103" s="294"/>
      <c r="BI103" s="294"/>
      <c r="BJ103" s="294"/>
      <c r="BK103" s="294"/>
      <c r="BL103" s="294"/>
      <c r="BM103" s="294"/>
      <c r="BN103" s="294"/>
      <c r="BO103" s="294"/>
      <c r="BP103" s="294"/>
      <c r="BQ103" s="294"/>
      <c r="BR103" s="294"/>
      <c r="BS103" s="294"/>
      <c r="BT103" s="294"/>
      <c r="BU103" s="294"/>
      <c r="BV103" s="294"/>
      <c r="BW103" s="294"/>
      <c r="BX103" s="294"/>
      <c r="BY103" s="294"/>
      <c r="BZ103" s="294"/>
      <c r="CA103" s="294"/>
      <c r="CB103" s="293"/>
      <c r="CC103" s="293"/>
      <c r="CD103" s="294"/>
      <c r="CE103" s="294"/>
      <c r="CF103" s="294"/>
      <c r="CG103" s="293"/>
      <c r="CH103" s="293"/>
      <c r="CI103" s="293"/>
      <c r="CJ103" s="293"/>
      <c r="CK103" s="294"/>
      <c r="CL103" s="294"/>
      <c r="CM103" s="293"/>
      <c r="CN103" s="293"/>
      <c r="CO103" s="293"/>
      <c r="CP103" s="293"/>
      <c r="CQ103" s="293"/>
      <c r="CR103" s="293"/>
      <c r="CS103" s="293"/>
      <c r="CT103" s="293"/>
      <c r="CU103" s="293"/>
      <c r="CV103" s="293"/>
      <c r="CW103" s="294"/>
      <c r="CX103" s="293"/>
      <c r="CY103" s="294"/>
      <c r="CZ103" s="293"/>
      <c r="DA103" s="293"/>
      <c r="DB103" s="293"/>
      <c r="DC103" s="293"/>
      <c r="DH103" s="293"/>
      <c r="DI103" s="294"/>
      <c r="DJ103" s="294"/>
      <c r="DK103" s="293"/>
      <c r="DL103" s="293"/>
      <c r="DM103" s="293"/>
      <c r="DN103" s="293"/>
      <c r="DO103" s="294"/>
      <c r="DP103" s="294"/>
      <c r="DQ103" s="294"/>
      <c r="DR103" s="294"/>
      <c r="DS103" s="294"/>
      <c r="DT103" s="294"/>
      <c r="DU103" s="294"/>
      <c r="DV103" s="294"/>
      <c r="DW103" s="294"/>
      <c r="DX103" s="293"/>
      <c r="DY103" s="294"/>
      <c r="DZ103" s="294"/>
      <c r="EA103" s="293"/>
      <c r="EB103" s="294"/>
      <c r="EC103" s="294"/>
      <c r="ED103" s="294"/>
      <c r="EE103" s="294"/>
      <c r="EF103" s="294"/>
      <c r="EG103" s="294"/>
      <c r="EH103" s="294"/>
      <c r="EI103" s="294"/>
      <c r="EJ103" s="294"/>
      <c r="EK103" s="294"/>
      <c r="EL103" s="293"/>
      <c r="EM103" s="294"/>
      <c r="EN103" s="294"/>
      <c r="EO103" s="293"/>
      <c r="EP103" s="294"/>
      <c r="EQ103" s="294"/>
      <c r="ER103" s="294"/>
      <c r="ES103" s="294"/>
      <c r="ET103" s="294"/>
      <c r="EU103" s="293"/>
      <c r="EV103" s="293"/>
      <c r="EW103" s="293"/>
      <c r="EX103" s="293"/>
      <c r="EY103" s="293"/>
      <c r="EZ103" s="293"/>
      <c r="FA103" s="293"/>
      <c r="FB103" s="293"/>
      <c r="FC103" s="294"/>
      <c r="FD103" s="293"/>
      <c r="FE103" s="293"/>
      <c r="FF103" s="293"/>
      <c r="FI103" s="293"/>
      <c r="FJ103" s="293"/>
      <c r="FK103" s="293"/>
      <c r="FL103" s="294"/>
      <c r="FM103" s="293"/>
      <c r="FN103" s="293"/>
      <c r="FO103" s="293"/>
      <c r="FP103" s="293"/>
      <c r="FS103" s="294"/>
      <c r="FT103" s="294"/>
      <c r="FU103" s="294"/>
      <c r="FV103" s="294"/>
      <c r="FW103" s="294"/>
      <c r="FX103" s="294"/>
      <c r="FY103" s="294"/>
      <c r="FZ103" s="294"/>
      <c r="GA103" s="294"/>
      <c r="GB103" s="294"/>
      <c r="GC103" s="294"/>
      <c r="GD103" s="294"/>
      <c r="GE103" s="294"/>
      <c r="GF103" s="294"/>
      <c r="GG103" s="294"/>
      <c r="GH103" s="294"/>
      <c r="GI103" s="294"/>
      <c r="GJ103" s="294"/>
      <c r="GK103" s="294"/>
      <c r="GL103" s="294"/>
      <c r="GM103" s="294"/>
      <c r="GN103" s="294"/>
      <c r="GO103" s="294"/>
      <c r="GP103" s="294"/>
      <c r="GQ103" s="294"/>
      <c r="GR103" s="294"/>
      <c r="GS103" s="294"/>
      <c r="GT103" s="294"/>
      <c r="GU103" s="294"/>
      <c r="GV103" s="294"/>
      <c r="GW103" s="294"/>
      <c r="GX103" s="294"/>
      <c r="GY103" s="294"/>
      <c r="GZ103" s="294"/>
      <c r="HA103" s="294"/>
      <c r="HB103" s="294"/>
      <c r="HC103" s="294"/>
      <c r="HD103" s="294"/>
      <c r="HE103" s="294"/>
      <c r="HF103" s="294"/>
      <c r="HG103" s="294"/>
      <c r="HH103" s="294"/>
      <c r="HI103" s="294"/>
      <c r="HJ103" s="294"/>
      <c r="HK103" s="294"/>
      <c r="HL103" s="294"/>
      <c r="HM103" s="294"/>
      <c r="HN103" s="294"/>
      <c r="HO103" s="294"/>
      <c r="HP103" s="294"/>
      <c r="HQ103" s="294"/>
      <c r="HR103" s="294"/>
      <c r="HS103" s="294"/>
      <c r="HT103" s="294"/>
      <c r="HU103" s="294"/>
      <c r="HV103" s="294"/>
      <c r="HW103" s="294"/>
      <c r="HX103" s="294"/>
      <c r="HY103" s="294"/>
      <c r="HZ103" s="294"/>
      <c r="IA103" s="294"/>
      <c r="IB103" s="294"/>
      <c r="IC103" s="294"/>
      <c r="ID103" s="294"/>
      <c r="IE103" s="294"/>
      <c r="IF103" s="294"/>
      <c r="IG103" s="294"/>
      <c r="IH103" s="294"/>
      <c r="II103" s="294"/>
      <c r="IJ103" s="294"/>
      <c r="IK103" s="294"/>
      <c r="IL103" s="294"/>
      <c r="IM103" s="294"/>
      <c r="IN103" s="294"/>
      <c r="IO103" s="294"/>
      <c r="IP103" s="294"/>
      <c r="IQ103" s="294"/>
      <c r="IR103" s="294"/>
      <c r="IS103" s="294"/>
      <c r="IT103" s="294"/>
      <c r="IU103" s="294"/>
      <c r="IV103" s="294"/>
      <c r="IW103" s="294"/>
      <c r="IX103" s="294"/>
      <c r="IY103" s="294"/>
      <c r="IZ103" s="294"/>
      <c r="JA103" s="294"/>
      <c r="JB103" s="294"/>
      <c r="JC103" s="294"/>
      <c r="JD103" s="294"/>
      <c r="JE103" s="294"/>
      <c r="JF103" s="294"/>
      <c r="JG103" s="294"/>
      <c r="JH103" s="294"/>
      <c r="JI103" s="294"/>
      <c r="JJ103" s="294"/>
      <c r="JK103" s="294"/>
      <c r="JL103" s="294"/>
      <c r="JM103" s="294"/>
      <c r="JN103" s="294"/>
      <c r="JO103" s="294"/>
      <c r="JP103" s="294"/>
      <c r="JQ103" s="294"/>
      <c r="JR103" s="294"/>
      <c r="JS103" s="294"/>
      <c r="JT103" s="294"/>
      <c r="JU103" s="294"/>
      <c r="JV103" s="294"/>
      <c r="JW103" s="294"/>
      <c r="JX103" s="294"/>
      <c r="JY103" s="294"/>
      <c r="JZ103" s="294"/>
      <c r="KA103" s="294"/>
      <c r="KB103" s="294"/>
      <c r="KC103" s="294"/>
      <c r="KD103" s="294"/>
      <c r="KE103" s="294"/>
      <c r="KF103" s="294"/>
      <c r="KG103" s="294"/>
      <c r="KH103" s="294"/>
      <c r="KI103" s="294"/>
      <c r="KJ103" s="294"/>
      <c r="KK103" s="294"/>
      <c r="KL103" s="294"/>
      <c r="KM103" s="295"/>
      <c r="KN103" s="296"/>
      <c r="KO103" s="297"/>
      <c r="KP103" s="297"/>
      <c r="KQ103" s="297"/>
      <c r="KR103" s="298">
        <f>SUM(AZ103:KL103)</f>
        <v>0</v>
      </c>
    </row>
    <row r="104" spans="1:304" s="281" customFormat="1">
      <c r="A104" s="260"/>
      <c r="B104" s="260"/>
      <c r="C104" s="260"/>
      <c r="D104" s="139" t="s">
        <v>636</v>
      </c>
      <c r="E104" s="261" t="s">
        <v>845</v>
      </c>
      <c r="F104" s="139"/>
      <c r="G104" s="139"/>
      <c r="H104" s="285"/>
      <c r="I104" s="285"/>
      <c r="J104" s="285"/>
      <c r="K104" s="285"/>
      <c r="L104" s="285"/>
      <c r="M104" s="285"/>
      <c r="N104" s="285"/>
      <c r="O104" s="150"/>
      <c r="P104" s="150"/>
      <c r="Q104" s="150"/>
      <c r="R104" s="150"/>
      <c r="S104" s="150"/>
      <c r="T104" s="150"/>
      <c r="U104" s="150"/>
      <c r="V104" s="150"/>
      <c r="W104" s="150"/>
      <c r="X104" s="285"/>
      <c r="Y104" s="285"/>
      <c r="AZ104" s="285"/>
      <c r="BA104" s="285"/>
      <c r="BB104" s="285"/>
      <c r="BC104" s="285"/>
      <c r="BD104" s="285"/>
      <c r="BE104" s="280"/>
      <c r="BF104" s="280"/>
      <c r="BG104" s="280"/>
      <c r="BH104" s="280"/>
      <c r="BI104" s="280"/>
      <c r="BJ104" s="280"/>
      <c r="BK104" s="280"/>
      <c r="BL104" s="280"/>
      <c r="BM104" s="280"/>
      <c r="BN104" s="280"/>
      <c r="BO104" s="280"/>
      <c r="BP104" s="280"/>
      <c r="BQ104" s="280"/>
      <c r="BR104" s="280"/>
      <c r="BS104" s="280"/>
      <c r="BT104" s="280"/>
      <c r="BU104" s="280"/>
      <c r="BV104" s="280"/>
      <c r="BW104" s="280"/>
      <c r="BX104" s="280"/>
      <c r="BY104" s="280"/>
      <c r="BZ104" s="280"/>
      <c r="CA104" s="280"/>
      <c r="CB104" s="285"/>
      <c r="CC104" s="285"/>
      <c r="CD104" s="280"/>
      <c r="CE104" s="280"/>
      <c r="CF104" s="280"/>
      <c r="CG104" s="285"/>
      <c r="CH104" s="285"/>
      <c r="CI104" s="285"/>
      <c r="CJ104" s="285"/>
      <c r="CK104" s="280"/>
      <c r="CL104" s="280"/>
      <c r="CM104" s="279"/>
      <c r="CN104" s="279"/>
      <c r="CO104" s="279"/>
      <c r="CP104" s="279"/>
      <c r="CQ104" s="279"/>
      <c r="CR104" s="285"/>
      <c r="CS104" s="285"/>
      <c r="CT104" s="285"/>
      <c r="CU104" s="285"/>
      <c r="CV104" s="285"/>
      <c r="CW104" s="280"/>
      <c r="CX104" s="285"/>
      <c r="CY104" s="280"/>
      <c r="CZ104" s="285"/>
      <c r="DA104" s="285"/>
      <c r="DB104" s="285"/>
      <c r="DC104" s="285"/>
      <c r="DH104" s="285"/>
      <c r="DI104" s="280"/>
      <c r="DJ104" s="280"/>
      <c r="DK104" s="285"/>
      <c r="DL104" s="285"/>
      <c r="DM104" s="285"/>
      <c r="DN104" s="285"/>
      <c r="DO104" s="280"/>
      <c r="DP104" s="280"/>
      <c r="DQ104" s="280"/>
      <c r="DR104" s="280"/>
      <c r="DS104" s="280"/>
      <c r="DT104" s="280"/>
      <c r="DU104" s="280"/>
      <c r="DV104" s="280"/>
      <c r="DW104" s="280"/>
      <c r="DX104" s="285"/>
      <c r="DY104" s="280"/>
      <c r="DZ104" s="280"/>
      <c r="EA104" s="285"/>
      <c r="EB104" s="280"/>
      <c r="EC104" s="280"/>
      <c r="ED104" s="280"/>
      <c r="EE104" s="280"/>
      <c r="EF104" s="280"/>
      <c r="EG104" s="280"/>
      <c r="EH104" s="280"/>
      <c r="EI104" s="280"/>
      <c r="EJ104" s="280"/>
      <c r="EK104" s="280"/>
      <c r="EL104" s="285"/>
      <c r="EM104" s="280"/>
      <c r="EN104" s="280"/>
      <c r="EO104" s="285"/>
      <c r="EP104" s="280"/>
      <c r="EQ104" s="280"/>
      <c r="ER104" s="280"/>
      <c r="ES104" s="280"/>
      <c r="ET104" s="280"/>
      <c r="EU104" s="285"/>
      <c r="EV104" s="285"/>
      <c r="EW104" s="285"/>
      <c r="EX104" s="285"/>
      <c r="EY104" s="285"/>
      <c r="EZ104" s="285"/>
      <c r="FA104" s="285"/>
      <c r="FB104" s="285"/>
      <c r="FC104" s="280"/>
      <c r="FD104" s="285"/>
      <c r="FE104" s="285"/>
      <c r="FF104" s="285"/>
      <c r="FI104" s="285"/>
      <c r="FJ104" s="285"/>
      <c r="FK104" s="285"/>
      <c r="FL104" s="280"/>
      <c r="FM104" s="285"/>
      <c r="FN104" s="285"/>
      <c r="FO104" s="202">
        <v>20</v>
      </c>
      <c r="FP104" s="293"/>
      <c r="FS104" s="280"/>
      <c r="FT104" s="280"/>
      <c r="FU104" s="280"/>
      <c r="FV104" s="280"/>
      <c r="FW104" s="280"/>
      <c r="FX104" s="280"/>
      <c r="FY104" s="280"/>
      <c r="FZ104" s="280"/>
      <c r="GA104" s="280"/>
      <c r="GB104" s="280"/>
      <c r="GC104" s="280"/>
      <c r="GD104" s="280"/>
      <c r="GE104" s="280"/>
      <c r="GF104" s="280"/>
      <c r="GG104" s="280"/>
      <c r="GH104" s="280"/>
      <c r="GI104" s="280"/>
      <c r="GJ104" s="280"/>
      <c r="GK104" s="280"/>
      <c r="GL104" s="280"/>
      <c r="GM104" s="280"/>
      <c r="GN104" s="280"/>
      <c r="GO104" s="280"/>
      <c r="GP104" s="280"/>
      <c r="GQ104" s="280"/>
      <c r="GR104" s="280"/>
      <c r="GS104" s="280"/>
      <c r="GT104" s="280"/>
      <c r="GU104" s="280"/>
      <c r="GV104" s="159" t="s">
        <v>579</v>
      </c>
      <c r="GW104" s="239">
        <f t="shared" si="22"/>
        <v>20</v>
      </c>
      <c r="GX104" s="280"/>
      <c r="GY104" s="280"/>
      <c r="GZ104" s="280"/>
      <c r="HA104" s="280"/>
      <c r="HB104" s="280"/>
      <c r="HC104" s="280"/>
      <c r="HD104" s="280"/>
      <c r="HE104" s="280"/>
      <c r="HF104" s="280"/>
      <c r="HG104" s="280"/>
      <c r="HH104" s="280"/>
      <c r="HI104" s="280"/>
      <c r="HJ104" s="280"/>
      <c r="HK104" s="280"/>
      <c r="HL104" s="280"/>
      <c r="HM104" s="280"/>
      <c r="HN104" s="280"/>
      <c r="HO104" s="280"/>
      <c r="HP104" s="280"/>
      <c r="HQ104" s="280"/>
      <c r="HR104" s="280"/>
      <c r="HS104" s="280"/>
      <c r="HT104" s="280"/>
      <c r="HU104" s="280"/>
      <c r="HV104" s="280"/>
      <c r="HW104" s="280"/>
      <c r="HX104" s="280"/>
      <c r="HY104" s="280"/>
      <c r="HZ104" s="280"/>
      <c r="IA104" s="280"/>
      <c r="IB104" s="280"/>
      <c r="IC104" s="280"/>
      <c r="ID104" s="280"/>
      <c r="IE104" s="280"/>
      <c r="IF104" s="280"/>
      <c r="IG104" s="280"/>
      <c r="IH104" s="280"/>
      <c r="II104" s="280"/>
      <c r="IJ104" s="280"/>
      <c r="IK104" s="280"/>
      <c r="IL104" s="280"/>
      <c r="IM104" s="280"/>
      <c r="IN104" s="280"/>
      <c r="IO104" s="280"/>
      <c r="IP104" s="280"/>
      <c r="IQ104" s="280"/>
      <c r="IR104" s="280"/>
      <c r="IS104" s="280"/>
      <c r="IT104" s="280"/>
      <c r="IU104" s="280"/>
      <c r="IV104" s="280"/>
      <c r="IW104" s="280"/>
      <c r="IX104" s="280"/>
      <c r="IY104" s="280"/>
      <c r="IZ104" s="280"/>
      <c r="JA104" s="280"/>
      <c r="JB104" s="280"/>
      <c r="JC104" s="280"/>
      <c r="JD104" s="280"/>
      <c r="JE104" s="280"/>
      <c r="JF104" s="280"/>
      <c r="JG104" s="280"/>
      <c r="JH104" s="280"/>
      <c r="JI104" s="280"/>
      <c r="JJ104" s="280"/>
      <c r="JK104" s="280"/>
      <c r="JL104" s="280"/>
      <c r="JM104" s="280"/>
      <c r="JN104" s="280"/>
      <c r="JO104" s="280"/>
      <c r="JP104" s="280"/>
      <c r="JQ104" s="280"/>
      <c r="JR104" s="280"/>
      <c r="JS104" s="280"/>
      <c r="JT104" s="280"/>
      <c r="JU104" s="280"/>
      <c r="JV104" s="280"/>
      <c r="JW104" s="280"/>
      <c r="JX104" s="280"/>
      <c r="JY104" s="280"/>
      <c r="JZ104" s="280"/>
      <c r="KA104" s="280"/>
      <c r="KB104" s="280"/>
      <c r="KC104" s="280"/>
      <c r="KD104" s="280"/>
      <c r="KE104" s="280"/>
      <c r="KF104" s="280"/>
      <c r="KG104" s="280"/>
      <c r="KH104" s="280"/>
      <c r="KI104" s="280"/>
      <c r="KJ104" s="280"/>
      <c r="KK104" s="280"/>
      <c r="KL104" s="280"/>
      <c r="KM104" s="282"/>
      <c r="KN104" s="264"/>
      <c r="KO104" s="283"/>
      <c r="KP104" s="283"/>
      <c r="KQ104" s="283"/>
      <c r="KR104" s="284">
        <f>SUM(AZ104:KL104)</f>
        <v>40</v>
      </c>
    </row>
    <row r="105" spans="1:304" s="136" customFormat="1">
      <c r="A105" s="139"/>
      <c r="B105" s="139"/>
      <c r="C105" s="139"/>
      <c r="D105" s="260" t="s">
        <v>4</v>
      </c>
      <c r="E105" s="261" t="s">
        <v>845</v>
      </c>
      <c r="F105" s="139"/>
      <c r="G105" s="139"/>
      <c r="H105" s="150"/>
      <c r="I105" s="150"/>
      <c r="J105" s="150"/>
      <c r="K105" s="286">
        <v>5</v>
      </c>
      <c r="L105" s="150"/>
      <c r="M105" s="150"/>
      <c r="N105" s="150"/>
      <c r="O105" s="286">
        <v>2</v>
      </c>
      <c r="P105" s="280"/>
      <c r="Q105" s="285"/>
      <c r="R105" s="285"/>
      <c r="S105" s="285"/>
      <c r="T105" s="280"/>
      <c r="U105" s="285"/>
      <c r="V105" s="286">
        <v>2</v>
      </c>
      <c r="W105" s="286">
        <v>5</v>
      </c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  <c r="AY105" s="150"/>
      <c r="AZ105" s="150"/>
      <c r="BA105" s="202">
        <v>5</v>
      </c>
      <c r="BB105" s="202">
        <v>5</v>
      </c>
      <c r="BC105" s="202">
        <v>2</v>
      </c>
      <c r="BD105" s="150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  <c r="BT105" s="150"/>
      <c r="BU105" s="150"/>
      <c r="BV105" s="150"/>
      <c r="BW105" s="150"/>
      <c r="BX105" s="150"/>
      <c r="BY105" s="150"/>
      <c r="BZ105" s="150"/>
      <c r="CA105" s="150"/>
      <c r="CB105" s="202">
        <v>2</v>
      </c>
      <c r="CC105" s="202">
        <v>2</v>
      </c>
      <c r="CD105" s="150"/>
      <c r="CE105" s="150"/>
      <c r="CF105" s="150"/>
      <c r="CG105" s="202">
        <v>10</v>
      </c>
      <c r="CH105" s="202">
        <v>2</v>
      </c>
      <c r="CI105" s="150"/>
      <c r="CJ105" s="150"/>
      <c r="CK105" s="150"/>
      <c r="CL105" s="150"/>
      <c r="CM105" s="150"/>
      <c r="CN105" s="202">
        <v>5</v>
      </c>
      <c r="CO105" s="202">
        <v>5</v>
      </c>
      <c r="CP105" s="150"/>
      <c r="CQ105" s="150"/>
      <c r="CR105" s="202">
        <v>5</v>
      </c>
      <c r="CS105" s="202">
        <v>10</v>
      </c>
      <c r="CT105" s="150"/>
      <c r="CU105" s="150"/>
      <c r="CV105" s="150"/>
      <c r="CW105" s="150"/>
      <c r="CX105" s="150"/>
      <c r="CY105" s="150"/>
      <c r="CZ105" s="202">
        <v>10</v>
      </c>
      <c r="DA105" s="202">
        <v>20</v>
      </c>
      <c r="DB105" s="150"/>
      <c r="DC105" s="202">
        <v>20</v>
      </c>
      <c r="DD105" s="150"/>
      <c r="DE105" s="150"/>
      <c r="DF105" s="150"/>
      <c r="DG105" s="150"/>
      <c r="DH105" s="150"/>
      <c r="DI105" s="150"/>
      <c r="DJ105" s="150"/>
      <c r="DK105" s="202">
        <v>20</v>
      </c>
      <c r="DL105" s="202">
        <v>10</v>
      </c>
      <c r="DM105" s="202">
        <v>20</v>
      </c>
      <c r="DN105" s="150"/>
      <c r="DO105" s="150"/>
      <c r="DP105" s="150"/>
      <c r="DQ105" s="150"/>
      <c r="DR105" s="150"/>
      <c r="DS105" s="150"/>
      <c r="DT105" s="150"/>
      <c r="DU105" s="150"/>
      <c r="DV105" s="150"/>
      <c r="DW105" s="150"/>
      <c r="DX105" s="150"/>
      <c r="DY105" s="150"/>
      <c r="DZ105" s="150"/>
      <c r="EA105" s="150"/>
      <c r="EB105" s="150"/>
      <c r="EC105" s="150"/>
      <c r="ED105" s="141"/>
      <c r="EE105" s="141"/>
      <c r="EF105" s="141"/>
      <c r="EG105" s="141"/>
      <c r="EH105" s="141"/>
      <c r="EI105" s="141"/>
      <c r="EJ105" s="141"/>
      <c r="EK105" s="141"/>
      <c r="EL105" s="202">
        <v>20</v>
      </c>
      <c r="EM105" s="141"/>
      <c r="EN105" s="150"/>
      <c r="EO105" s="150"/>
      <c r="EP105" s="150"/>
      <c r="EQ105" s="150"/>
      <c r="ER105" s="150"/>
      <c r="ES105" s="150"/>
      <c r="ET105" s="150"/>
      <c r="EU105" s="150"/>
      <c r="EV105" s="150"/>
      <c r="EW105" s="150"/>
      <c r="EX105" s="150"/>
      <c r="EY105" s="150"/>
      <c r="EZ105" s="150"/>
      <c r="FA105" s="141"/>
      <c r="FB105" s="141"/>
      <c r="FC105" s="150"/>
      <c r="FD105" s="150"/>
      <c r="FE105" s="150"/>
      <c r="FF105" s="285"/>
      <c r="FG105" s="150"/>
      <c r="FH105" s="150"/>
      <c r="FI105" s="202">
        <v>10</v>
      </c>
      <c r="FJ105" s="150"/>
      <c r="FK105" s="150"/>
      <c r="FL105" s="150"/>
      <c r="FM105" s="150"/>
      <c r="FN105" s="150"/>
      <c r="FO105" s="150"/>
      <c r="FP105" s="202">
        <v>20</v>
      </c>
      <c r="FQ105" s="150"/>
      <c r="FR105" s="150"/>
      <c r="FS105" s="150"/>
      <c r="FT105" s="150"/>
      <c r="FU105" s="150"/>
      <c r="FV105" s="150"/>
      <c r="FW105" s="150"/>
      <c r="FX105" s="150"/>
      <c r="FY105" s="150"/>
      <c r="FZ105" s="150"/>
      <c r="GA105" s="150"/>
      <c r="GB105" s="150"/>
      <c r="GC105" s="150"/>
      <c r="GD105" s="150"/>
      <c r="GE105" s="150"/>
      <c r="GF105" s="150"/>
      <c r="GG105" s="150"/>
      <c r="GH105" s="150"/>
      <c r="GI105" s="150"/>
      <c r="GJ105" s="150"/>
      <c r="GK105" s="150"/>
      <c r="GL105" s="150"/>
      <c r="GM105" s="150"/>
      <c r="GN105" s="150"/>
      <c r="GO105" s="150"/>
      <c r="GP105" s="150"/>
      <c r="GQ105" s="150"/>
      <c r="GR105" s="161"/>
      <c r="GS105" s="162"/>
      <c r="GT105" s="158"/>
      <c r="GU105" s="159"/>
      <c r="GV105" s="159" t="s">
        <v>579</v>
      </c>
      <c r="GW105" s="239">
        <f t="shared" si="22"/>
        <v>217</v>
      </c>
      <c r="GX105" s="145"/>
    </row>
    <row r="106" spans="1:304" s="136" customFormat="1" ht="10.5" thickBot="1">
      <c r="A106" s="139"/>
      <c r="B106" s="139"/>
      <c r="C106" s="139"/>
      <c r="D106" s="139"/>
      <c r="E106" s="160"/>
      <c r="F106" s="139"/>
      <c r="G106" s="139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  <c r="AE106" s="150"/>
      <c r="AF106" s="150"/>
      <c r="AG106" s="150"/>
      <c r="AH106" s="150"/>
      <c r="AI106" s="150"/>
      <c r="AJ106" s="150"/>
      <c r="AK106" s="150"/>
      <c r="AL106" s="150"/>
      <c r="AM106" s="150"/>
      <c r="AN106" s="150"/>
      <c r="AO106" s="150"/>
      <c r="AP106" s="150"/>
      <c r="AQ106" s="150"/>
      <c r="AR106" s="150"/>
      <c r="AS106" s="150"/>
      <c r="AT106" s="150"/>
      <c r="AU106" s="150"/>
      <c r="AV106" s="150"/>
      <c r="AW106" s="150"/>
      <c r="AX106" s="150"/>
      <c r="AY106" s="150"/>
      <c r="AZ106" s="150"/>
      <c r="BA106" s="150"/>
      <c r="BB106" s="150"/>
      <c r="BC106" s="150"/>
      <c r="BD106" s="150"/>
      <c r="BE106" s="150"/>
      <c r="BF106" s="150"/>
      <c r="BG106" s="150"/>
      <c r="BH106" s="150"/>
      <c r="BI106" s="150"/>
      <c r="BJ106" s="150"/>
      <c r="BK106" s="150"/>
      <c r="BL106" s="150"/>
      <c r="BM106" s="150"/>
      <c r="BN106" s="150"/>
      <c r="BO106" s="150"/>
      <c r="BP106" s="150"/>
      <c r="BQ106" s="150"/>
      <c r="BR106" s="150"/>
      <c r="BS106" s="150"/>
      <c r="BT106" s="150"/>
      <c r="BU106" s="150"/>
      <c r="BV106" s="150"/>
      <c r="BW106" s="150"/>
      <c r="BX106" s="150"/>
      <c r="BY106" s="150"/>
      <c r="BZ106" s="150"/>
      <c r="CA106" s="150"/>
      <c r="CB106" s="150"/>
      <c r="CC106" s="150"/>
      <c r="CD106" s="150"/>
      <c r="CE106" s="150"/>
      <c r="CF106" s="150"/>
      <c r="CG106" s="150"/>
      <c r="CH106" s="150"/>
      <c r="CI106" s="150"/>
      <c r="CJ106" s="150"/>
      <c r="CK106" s="150"/>
      <c r="CL106" s="150"/>
      <c r="CM106" s="150"/>
      <c r="CN106" s="150"/>
      <c r="CO106" s="150"/>
      <c r="CP106" s="150"/>
      <c r="CQ106" s="150"/>
      <c r="CR106" s="150"/>
      <c r="CS106" s="150"/>
      <c r="CT106" s="150"/>
      <c r="CU106" s="150"/>
      <c r="CV106" s="150"/>
      <c r="CW106" s="150"/>
      <c r="CX106" s="150"/>
      <c r="CY106" s="150"/>
      <c r="CZ106" s="150"/>
      <c r="DA106" s="150"/>
      <c r="DB106" s="150"/>
      <c r="DC106" s="150"/>
      <c r="DD106" s="150"/>
      <c r="DE106" s="150"/>
      <c r="DF106" s="150"/>
      <c r="DG106" s="150"/>
      <c r="DH106" s="150"/>
      <c r="DI106" s="150"/>
      <c r="DJ106" s="150"/>
      <c r="DK106" s="150"/>
      <c r="DL106" s="150"/>
      <c r="DM106" s="150"/>
      <c r="DN106" s="150"/>
      <c r="DO106" s="150"/>
      <c r="DP106" s="150"/>
      <c r="DQ106" s="150"/>
      <c r="DR106" s="150"/>
      <c r="DS106" s="150"/>
      <c r="DT106" s="150"/>
      <c r="DU106" s="150"/>
      <c r="DV106" s="150"/>
      <c r="DW106" s="150"/>
      <c r="DX106" s="150"/>
      <c r="DY106" s="150"/>
      <c r="DZ106" s="150"/>
      <c r="EA106" s="150"/>
      <c r="EB106" s="150"/>
      <c r="EC106" s="150"/>
      <c r="ED106" s="141"/>
      <c r="EE106" s="141"/>
      <c r="EF106" s="141"/>
      <c r="EG106" s="141"/>
      <c r="EH106" s="141"/>
      <c r="EI106" s="141"/>
      <c r="EJ106" s="141"/>
      <c r="EK106" s="141"/>
      <c r="EL106" s="141"/>
      <c r="EM106" s="141"/>
      <c r="EN106" s="150"/>
      <c r="EO106" s="150"/>
      <c r="EP106" s="150"/>
      <c r="EQ106" s="150"/>
      <c r="ER106" s="150"/>
      <c r="ES106" s="150"/>
      <c r="ET106" s="150"/>
      <c r="EU106" s="150"/>
      <c r="EV106" s="150"/>
      <c r="EW106" s="150"/>
      <c r="EX106" s="150"/>
      <c r="EY106" s="150"/>
      <c r="EZ106" s="150"/>
      <c r="FA106" s="141"/>
      <c r="FB106" s="141"/>
      <c r="FC106" s="150"/>
      <c r="FD106" s="150"/>
      <c r="FE106" s="150"/>
      <c r="FF106" s="150"/>
      <c r="FG106" s="150"/>
      <c r="FH106" s="150"/>
      <c r="FI106" s="150"/>
      <c r="FJ106" s="150"/>
      <c r="FK106" s="150"/>
      <c r="FL106" s="150"/>
      <c r="FM106" s="150"/>
      <c r="FN106" s="150"/>
      <c r="FO106" s="150"/>
      <c r="FP106" s="150"/>
      <c r="FQ106" s="150"/>
      <c r="FR106" s="150"/>
      <c r="FS106" s="150"/>
      <c r="FT106" s="150"/>
      <c r="FU106" s="150"/>
      <c r="FV106" s="150"/>
      <c r="FW106" s="150"/>
      <c r="FX106" s="150"/>
      <c r="FY106" s="150"/>
      <c r="FZ106" s="150"/>
      <c r="GA106" s="150"/>
      <c r="GB106" s="150"/>
      <c r="GC106" s="150"/>
      <c r="GD106" s="150"/>
      <c r="GE106" s="150"/>
      <c r="GF106" s="150"/>
      <c r="GG106" s="150"/>
      <c r="GH106" s="150"/>
      <c r="GI106" s="150"/>
      <c r="GJ106" s="150"/>
      <c r="GK106" s="150"/>
      <c r="GL106" s="150"/>
      <c r="GM106" s="150"/>
      <c r="GN106" s="150"/>
      <c r="GO106" s="150"/>
      <c r="GP106" s="150"/>
      <c r="GQ106" s="150"/>
      <c r="GR106" s="161"/>
      <c r="GS106" s="162"/>
      <c r="GT106" s="158"/>
      <c r="GU106" s="159"/>
      <c r="GV106" s="159"/>
      <c r="GW106" s="239"/>
      <c r="GX106" s="145"/>
    </row>
    <row r="107" spans="1:304" s="136" customFormat="1">
      <c r="A107" s="249"/>
      <c r="B107" s="250"/>
      <c r="C107" s="250" t="s">
        <v>555</v>
      </c>
      <c r="D107" s="250" t="s">
        <v>636</v>
      </c>
      <c r="E107" s="251" t="s">
        <v>621</v>
      </c>
      <c r="F107" s="250"/>
      <c r="G107" s="250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  <c r="AE107" s="252"/>
      <c r="AF107" s="252"/>
      <c r="AG107" s="252"/>
      <c r="AH107" s="252"/>
      <c r="AI107" s="252"/>
      <c r="AJ107" s="252"/>
      <c r="AK107" s="252"/>
      <c r="AL107" s="252"/>
      <c r="AM107" s="252"/>
      <c r="AN107" s="252"/>
      <c r="AO107" s="252"/>
      <c r="AP107" s="252"/>
      <c r="AQ107" s="252"/>
      <c r="AR107" s="252"/>
      <c r="AS107" s="252"/>
      <c r="AT107" s="252"/>
      <c r="AU107" s="252"/>
      <c r="AV107" s="252"/>
      <c r="AW107" s="252"/>
      <c r="AX107" s="252"/>
      <c r="AY107" s="252"/>
      <c r="AZ107" s="252"/>
      <c r="BA107" s="252"/>
      <c r="BB107" s="252"/>
      <c r="BC107" s="252"/>
      <c r="BD107" s="252"/>
      <c r="BE107" s="252"/>
      <c r="BF107" s="252"/>
      <c r="BG107" s="252"/>
      <c r="BH107" s="252"/>
      <c r="BI107" s="252"/>
      <c r="BJ107" s="252"/>
      <c r="BK107" s="252"/>
      <c r="BL107" s="252"/>
      <c r="BM107" s="252"/>
      <c r="BN107" s="252"/>
      <c r="BO107" s="252"/>
      <c r="BP107" s="252"/>
      <c r="BQ107" s="252"/>
      <c r="BR107" s="252"/>
      <c r="BS107" s="252"/>
      <c r="BT107" s="252"/>
      <c r="BU107" s="252"/>
      <c r="BV107" s="252"/>
      <c r="BW107" s="252"/>
      <c r="BX107" s="252"/>
      <c r="BY107" s="252"/>
      <c r="BZ107" s="252"/>
      <c r="CA107" s="252"/>
      <c r="CB107" s="252"/>
      <c r="CC107" s="252"/>
      <c r="CD107" s="252"/>
      <c r="CE107" s="252"/>
      <c r="CF107" s="252"/>
      <c r="CG107" s="252"/>
      <c r="CH107" s="252"/>
      <c r="CI107" s="252"/>
      <c r="CJ107" s="252"/>
      <c r="CK107" s="252"/>
      <c r="CL107" s="252"/>
      <c r="CM107" s="252"/>
      <c r="CN107" s="252"/>
      <c r="CO107" s="252"/>
      <c r="CP107" s="252"/>
      <c r="CQ107" s="252"/>
      <c r="CR107" s="252"/>
      <c r="CS107" s="252"/>
      <c r="CT107" s="252"/>
      <c r="CU107" s="252"/>
      <c r="CV107" s="252"/>
      <c r="CW107" s="252"/>
      <c r="CX107" s="252"/>
      <c r="CY107" s="252"/>
      <c r="CZ107" s="252"/>
      <c r="DA107" s="252"/>
      <c r="DB107" s="252"/>
      <c r="DC107" s="252"/>
      <c r="DD107" s="252"/>
      <c r="DE107" s="252"/>
      <c r="DF107" s="252"/>
      <c r="DG107" s="252"/>
      <c r="DH107" s="252">
        <v>260</v>
      </c>
      <c r="DI107" s="252"/>
      <c r="DJ107" s="252"/>
      <c r="DK107" s="252"/>
      <c r="DL107" s="252"/>
      <c r="DM107" s="252"/>
      <c r="DN107" s="252"/>
      <c r="DO107" s="252"/>
      <c r="DP107" s="252"/>
      <c r="DQ107" s="252"/>
      <c r="DR107" s="252"/>
      <c r="DS107" s="252"/>
      <c r="DT107" s="252"/>
      <c r="DU107" s="252"/>
      <c r="DV107" s="252"/>
      <c r="DW107" s="252"/>
      <c r="DX107" s="252"/>
      <c r="DY107" s="252"/>
      <c r="DZ107" s="252"/>
      <c r="EA107" s="253">
        <v>1500</v>
      </c>
      <c r="EB107" s="252"/>
      <c r="EC107" s="252"/>
      <c r="ED107" s="252"/>
      <c r="EE107" s="252"/>
      <c r="EF107" s="252"/>
      <c r="EG107" s="252"/>
      <c r="EH107" s="252"/>
      <c r="EI107" s="252"/>
      <c r="EJ107" s="252"/>
      <c r="EK107" s="252"/>
      <c r="EL107" s="252"/>
      <c r="EM107" s="252"/>
      <c r="EN107" s="252"/>
      <c r="EO107" s="252"/>
      <c r="EP107" s="252"/>
      <c r="EQ107" s="252"/>
      <c r="ER107" s="252">
        <v>243</v>
      </c>
      <c r="ES107" s="252"/>
      <c r="ET107" s="252"/>
      <c r="EU107" s="252"/>
      <c r="EV107" s="252"/>
      <c r="EW107" s="252"/>
      <c r="EX107" s="252"/>
      <c r="EY107" s="252"/>
      <c r="EZ107" s="252"/>
      <c r="FA107" s="252"/>
      <c r="FB107" s="252"/>
      <c r="FC107" s="252"/>
      <c r="FD107" s="252"/>
      <c r="FE107" s="252"/>
      <c r="FF107" s="252"/>
      <c r="FG107" s="252"/>
      <c r="FH107" s="252"/>
      <c r="FI107" s="252"/>
      <c r="FJ107" s="252"/>
      <c r="FK107" s="252"/>
      <c r="FL107" s="252"/>
      <c r="FM107" s="252"/>
      <c r="FN107" s="252"/>
      <c r="FO107" s="252">
        <v>100</v>
      </c>
      <c r="FP107" s="252"/>
      <c r="FQ107" s="252"/>
      <c r="FR107" s="252"/>
      <c r="FS107" s="252"/>
      <c r="FT107" s="252"/>
      <c r="FU107" s="252"/>
      <c r="FV107" s="252"/>
      <c r="FW107" s="252"/>
      <c r="FX107" s="252"/>
      <c r="FY107" s="252"/>
      <c r="FZ107" s="252"/>
      <c r="GA107" s="252"/>
      <c r="GB107" s="252"/>
      <c r="GC107" s="252"/>
      <c r="GD107" s="252"/>
      <c r="GE107" s="252"/>
      <c r="GF107" s="252"/>
      <c r="GG107" s="252"/>
      <c r="GH107" s="252"/>
      <c r="GI107" s="252"/>
      <c r="GJ107" s="252"/>
      <c r="GK107" s="252"/>
      <c r="GL107" s="252"/>
      <c r="GM107" s="252"/>
      <c r="GN107" s="252"/>
      <c r="GO107" s="252"/>
      <c r="GP107" s="252"/>
      <c r="GQ107" s="252"/>
      <c r="GR107" s="254"/>
      <c r="GS107" s="255"/>
      <c r="GT107" s="256"/>
      <c r="GU107" s="257"/>
      <c r="GV107" s="257"/>
      <c r="GW107" s="258">
        <f t="shared" si="22"/>
        <v>2103</v>
      </c>
      <c r="GX107" s="145"/>
    </row>
    <row r="108" spans="1:304" s="136" customFormat="1">
      <c r="A108" s="259"/>
      <c r="B108" s="260"/>
      <c r="C108" s="260" t="s">
        <v>555</v>
      </c>
      <c r="D108" s="260" t="s">
        <v>4</v>
      </c>
      <c r="E108" s="261" t="s">
        <v>621</v>
      </c>
      <c r="F108" s="260"/>
      <c r="G108" s="260"/>
      <c r="H108" s="262"/>
      <c r="I108" s="262"/>
      <c r="J108" s="262"/>
      <c r="K108" s="262">
        <v>40</v>
      </c>
      <c r="L108" s="262"/>
      <c r="M108" s="262"/>
      <c r="N108" s="262"/>
      <c r="O108" s="262">
        <v>40</v>
      </c>
      <c r="P108" s="262"/>
      <c r="Q108" s="262"/>
      <c r="R108" s="262"/>
      <c r="S108" s="262"/>
      <c r="T108" s="262"/>
      <c r="U108" s="262"/>
      <c r="V108" s="262">
        <v>10</v>
      </c>
      <c r="W108" s="262">
        <v>90</v>
      </c>
      <c r="X108" s="262"/>
      <c r="Y108" s="262"/>
      <c r="Z108" s="262">
        <v>80</v>
      </c>
      <c r="AA108" s="262">
        <v>80</v>
      </c>
      <c r="AB108" s="262"/>
      <c r="AC108" s="262"/>
      <c r="AD108" s="262"/>
      <c r="AE108" s="262"/>
      <c r="AF108" s="262">
        <v>9</v>
      </c>
      <c r="AG108" s="262"/>
      <c r="AH108" s="262"/>
      <c r="AI108" s="262"/>
      <c r="AJ108" s="262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62"/>
      <c r="AY108" s="262">
        <v>80</v>
      </c>
      <c r="AZ108" s="262"/>
      <c r="BA108" s="262">
        <v>70</v>
      </c>
      <c r="BB108" s="262">
        <v>50</v>
      </c>
      <c r="BC108" s="262">
        <v>30</v>
      </c>
      <c r="BD108" s="262"/>
      <c r="BE108" s="262">
        <v>60</v>
      </c>
      <c r="BF108" s="262"/>
      <c r="BG108" s="262">
        <v>5</v>
      </c>
      <c r="BH108" s="262"/>
      <c r="BI108" s="262"/>
      <c r="BJ108" s="262"/>
      <c r="BK108" s="262"/>
      <c r="BL108" s="262"/>
      <c r="BM108" s="262"/>
      <c r="BN108" s="262"/>
      <c r="BO108" s="262">
        <v>95</v>
      </c>
      <c r="BP108" s="262">
        <v>70</v>
      </c>
      <c r="BQ108" s="262">
        <v>30</v>
      </c>
      <c r="BR108" s="262"/>
      <c r="BS108" s="262">
        <v>60</v>
      </c>
      <c r="BT108" s="262"/>
      <c r="BU108" s="262"/>
      <c r="BV108" s="262"/>
      <c r="BW108" s="262"/>
      <c r="BX108" s="262"/>
      <c r="BY108" s="262">
        <v>5</v>
      </c>
      <c r="BZ108" s="262"/>
      <c r="CA108" s="262"/>
      <c r="CB108" s="262">
        <v>25</v>
      </c>
      <c r="CC108" s="262">
        <v>20</v>
      </c>
      <c r="CD108" s="262"/>
      <c r="CE108" s="262"/>
      <c r="CF108" s="262"/>
      <c r="CG108" s="262">
        <v>170</v>
      </c>
      <c r="CH108" s="262">
        <v>10</v>
      </c>
      <c r="CI108" s="262"/>
      <c r="CJ108" s="262"/>
      <c r="CK108" s="262">
        <v>10</v>
      </c>
      <c r="CL108" s="262">
        <v>80</v>
      </c>
      <c r="CM108" s="262"/>
      <c r="CN108" s="262">
        <v>70</v>
      </c>
      <c r="CO108" s="262">
        <v>30</v>
      </c>
      <c r="CP108" s="262"/>
      <c r="CQ108" s="262">
        <v>10</v>
      </c>
      <c r="CR108" s="262">
        <v>70</v>
      </c>
      <c r="CS108" s="262">
        <v>140</v>
      </c>
      <c r="CT108" s="262"/>
      <c r="CU108" s="262">
        <v>10</v>
      </c>
      <c r="CV108" s="262"/>
      <c r="CW108" s="262"/>
      <c r="CX108" s="262"/>
      <c r="CY108" s="262">
        <v>145</v>
      </c>
      <c r="CZ108" s="262">
        <v>160</v>
      </c>
      <c r="DA108" s="262">
        <v>260</v>
      </c>
      <c r="DB108" s="262"/>
      <c r="DC108" s="262">
        <v>260</v>
      </c>
      <c r="DD108" s="262"/>
      <c r="DE108" s="262"/>
      <c r="DF108" s="262"/>
      <c r="DG108" s="262">
        <v>2</v>
      </c>
      <c r="DH108" s="262"/>
      <c r="DI108" s="262"/>
      <c r="DJ108" s="262">
        <v>140</v>
      </c>
      <c r="DK108" s="262">
        <v>400</v>
      </c>
      <c r="DL108" s="262">
        <v>100</v>
      </c>
      <c r="DM108" s="262">
        <v>270</v>
      </c>
      <c r="DN108" s="262">
        <v>220</v>
      </c>
      <c r="DO108" s="262"/>
      <c r="DP108" s="262"/>
      <c r="DQ108" s="262"/>
      <c r="DR108" s="262"/>
      <c r="DS108" s="262"/>
      <c r="DT108" s="262"/>
      <c r="DU108" s="262"/>
      <c r="DV108" s="262"/>
      <c r="DW108" s="262"/>
      <c r="DX108" s="262"/>
      <c r="DY108" s="262"/>
      <c r="DZ108" s="262"/>
      <c r="EA108" s="262"/>
      <c r="EB108" s="262"/>
      <c r="EC108" s="262"/>
      <c r="ED108" s="262"/>
      <c r="EE108" s="262"/>
      <c r="EF108" s="262"/>
      <c r="EG108" s="262"/>
      <c r="EH108" s="262"/>
      <c r="EI108" s="262"/>
      <c r="EJ108" s="262"/>
      <c r="EK108" s="262"/>
      <c r="EL108" s="262">
        <v>400</v>
      </c>
      <c r="EM108" s="262"/>
      <c r="EN108" s="262"/>
      <c r="EO108" s="262">
        <v>260</v>
      </c>
      <c r="EP108" s="262"/>
      <c r="EQ108" s="262">
        <v>55</v>
      </c>
      <c r="ER108" s="262">
        <v>400</v>
      </c>
      <c r="ES108" s="262"/>
      <c r="ET108" s="262"/>
      <c r="EU108" s="262"/>
      <c r="EV108" s="262"/>
      <c r="EW108" s="262"/>
      <c r="EX108" s="262"/>
      <c r="EY108" s="262"/>
      <c r="EZ108" s="262"/>
      <c r="FA108" s="262"/>
      <c r="FB108" s="262"/>
      <c r="FC108" s="262"/>
      <c r="FD108" s="262"/>
      <c r="FE108" s="262"/>
      <c r="FF108" s="262">
        <v>50</v>
      </c>
      <c r="FG108" s="262"/>
      <c r="FH108" s="262"/>
      <c r="FI108" s="262">
        <v>100</v>
      </c>
      <c r="FJ108" s="262"/>
      <c r="FK108" s="262"/>
      <c r="FL108" s="262"/>
      <c r="FM108" s="262"/>
      <c r="FN108" s="262"/>
      <c r="FO108" s="262"/>
      <c r="FP108" s="262">
        <v>280</v>
      </c>
      <c r="FQ108" s="262">
        <v>100</v>
      </c>
      <c r="FR108" s="262"/>
      <c r="FS108" s="262">
        <v>220</v>
      </c>
      <c r="FT108" s="262">
        <v>260</v>
      </c>
      <c r="FU108" s="262"/>
      <c r="FV108" s="262"/>
      <c r="FW108" s="262"/>
      <c r="FX108" s="262"/>
      <c r="FY108" s="262"/>
      <c r="FZ108" s="262"/>
      <c r="GA108" s="262"/>
      <c r="GB108" s="262"/>
      <c r="GC108" s="262"/>
      <c r="GD108" s="262"/>
      <c r="GE108" s="262"/>
      <c r="GF108" s="262"/>
      <c r="GG108" s="262"/>
      <c r="GH108" s="262"/>
      <c r="GI108" s="262"/>
      <c r="GJ108" s="262"/>
      <c r="GK108" s="262"/>
      <c r="GL108" s="262"/>
      <c r="GM108" s="262"/>
      <c r="GN108" s="262"/>
      <c r="GO108" s="262"/>
      <c r="GP108" s="262"/>
      <c r="GQ108" s="262"/>
      <c r="GR108" s="263"/>
      <c r="GS108" s="264"/>
      <c r="GT108" s="265"/>
      <c r="GU108" s="265"/>
      <c r="GV108" s="265"/>
      <c r="GW108" s="266">
        <f t="shared" si="22"/>
        <v>5631</v>
      </c>
    </row>
    <row r="109" spans="1:304" s="278" customFormat="1" ht="11" thickBot="1">
      <c r="A109" s="270"/>
      <c r="B109" s="271"/>
      <c r="C109" s="271" t="s">
        <v>555</v>
      </c>
      <c r="D109" s="271" t="s">
        <v>632</v>
      </c>
      <c r="E109" s="272" t="s">
        <v>621</v>
      </c>
      <c r="F109" s="271"/>
      <c r="G109" s="271"/>
      <c r="H109" s="273"/>
      <c r="I109" s="273"/>
      <c r="J109" s="273"/>
      <c r="K109" s="273"/>
      <c r="L109" s="273"/>
      <c r="M109" s="273"/>
      <c r="N109" s="273"/>
      <c r="O109" s="273"/>
      <c r="P109" s="273"/>
      <c r="Q109" s="273"/>
      <c r="R109" s="273"/>
      <c r="S109" s="273"/>
      <c r="T109" s="273"/>
      <c r="U109" s="273"/>
      <c r="V109" s="273"/>
      <c r="W109" s="273"/>
      <c r="X109" s="273"/>
      <c r="Y109" s="273"/>
      <c r="Z109" s="273"/>
      <c r="AA109" s="273"/>
      <c r="AB109" s="273"/>
      <c r="AC109" s="273"/>
      <c r="AD109" s="273"/>
      <c r="AE109" s="273"/>
      <c r="AF109" s="273"/>
      <c r="AG109" s="273"/>
      <c r="AH109" s="273"/>
      <c r="AI109" s="273"/>
      <c r="AJ109" s="273"/>
      <c r="AK109" s="273"/>
      <c r="AL109" s="273"/>
      <c r="AM109" s="273"/>
      <c r="AN109" s="273"/>
      <c r="AO109" s="273"/>
      <c r="AP109" s="273"/>
      <c r="AQ109" s="273"/>
      <c r="AR109" s="273"/>
      <c r="AS109" s="273"/>
      <c r="AT109" s="273"/>
      <c r="AU109" s="273"/>
      <c r="AV109" s="273"/>
      <c r="AW109" s="273"/>
      <c r="AX109" s="273"/>
      <c r="AY109" s="273"/>
      <c r="AZ109" s="273"/>
      <c r="BA109" s="273"/>
      <c r="BB109" s="273"/>
      <c r="BC109" s="273"/>
      <c r="BD109" s="273"/>
      <c r="BE109" s="273"/>
      <c r="BF109" s="273"/>
      <c r="BG109" s="273"/>
      <c r="BH109" s="273"/>
      <c r="BI109" s="273"/>
      <c r="BJ109" s="273"/>
      <c r="BK109" s="273"/>
      <c r="BL109" s="273"/>
      <c r="BM109" s="273"/>
      <c r="BN109" s="273"/>
      <c r="BO109" s="273"/>
      <c r="BP109" s="273"/>
      <c r="BQ109" s="273"/>
      <c r="BR109" s="273"/>
      <c r="BS109" s="273"/>
      <c r="BT109" s="273"/>
      <c r="BU109" s="273"/>
      <c r="BV109" s="273"/>
      <c r="BW109" s="273"/>
      <c r="BX109" s="273"/>
      <c r="BY109" s="273"/>
      <c r="BZ109" s="273"/>
      <c r="CA109" s="273"/>
      <c r="CB109" s="273"/>
      <c r="CC109" s="273"/>
      <c r="CD109" s="273"/>
      <c r="CE109" s="273"/>
      <c r="CF109" s="273"/>
      <c r="CG109" s="273"/>
      <c r="CH109" s="273"/>
      <c r="CI109" s="273"/>
      <c r="CJ109" s="273"/>
      <c r="CK109" s="273"/>
      <c r="CL109" s="273"/>
      <c r="CM109" s="273"/>
      <c r="CN109" s="273"/>
      <c r="CO109" s="273"/>
      <c r="CP109" s="273"/>
      <c r="CQ109" s="273"/>
      <c r="CR109" s="273"/>
      <c r="CS109" s="273"/>
      <c r="CT109" s="273"/>
      <c r="CU109" s="273"/>
      <c r="CV109" s="273"/>
      <c r="CW109" s="273"/>
      <c r="CX109" s="273"/>
      <c r="CY109" s="273"/>
      <c r="CZ109" s="273"/>
      <c r="DA109" s="273"/>
      <c r="DB109" s="273"/>
      <c r="DC109" s="273"/>
      <c r="DD109" s="273"/>
      <c r="DE109" s="273"/>
      <c r="DF109" s="273"/>
      <c r="DG109" s="273"/>
      <c r="DH109" s="273"/>
      <c r="DI109" s="273"/>
      <c r="DJ109" s="273"/>
      <c r="DK109" s="273"/>
      <c r="DL109" s="273"/>
      <c r="DM109" s="273"/>
      <c r="DN109" s="273"/>
      <c r="DO109" s="273"/>
      <c r="DP109" s="273"/>
      <c r="DQ109" s="273"/>
      <c r="DR109" s="273"/>
      <c r="DS109" s="273"/>
      <c r="DT109" s="273"/>
      <c r="DU109" s="273"/>
      <c r="DV109" s="273"/>
      <c r="DW109" s="273"/>
      <c r="DX109" s="273"/>
      <c r="DY109" s="273"/>
      <c r="DZ109" s="273"/>
      <c r="EA109" s="273"/>
      <c r="EB109" s="273"/>
      <c r="EC109" s="273"/>
      <c r="ED109" s="273"/>
      <c r="EE109" s="273"/>
      <c r="EF109" s="273"/>
      <c r="EG109" s="273"/>
      <c r="EH109" s="273"/>
      <c r="EI109" s="273"/>
      <c r="EJ109" s="273"/>
      <c r="EK109" s="273"/>
      <c r="EL109" s="273"/>
      <c r="EM109" s="273"/>
      <c r="EN109" s="273"/>
      <c r="EO109" s="273"/>
      <c r="EP109" s="273"/>
      <c r="EQ109" s="273"/>
      <c r="ER109" s="273"/>
      <c r="ES109" s="273"/>
      <c r="ET109" s="273"/>
      <c r="EU109" s="273"/>
      <c r="EV109" s="273"/>
      <c r="EW109" s="273"/>
      <c r="EX109" s="273"/>
      <c r="EY109" s="273"/>
      <c r="EZ109" s="273"/>
      <c r="FA109" s="273"/>
      <c r="FB109" s="273"/>
      <c r="FC109" s="273"/>
      <c r="FD109" s="273"/>
      <c r="FE109" s="273"/>
      <c r="FF109" s="273"/>
      <c r="FG109" s="273"/>
      <c r="FH109" s="273"/>
      <c r="FI109" s="273"/>
      <c r="FJ109" s="273"/>
      <c r="FK109" s="273"/>
      <c r="FL109" s="273"/>
      <c r="FM109" s="273"/>
      <c r="FN109" s="273"/>
      <c r="FO109" s="273"/>
      <c r="FP109" s="273"/>
      <c r="FQ109" s="273"/>
      <c r="FR109" s="273"/>
      <c r="FS109" s="273"/>
      <c r="FT109" s="273"/>
      <c r="FU109" s="273"/>
      <c r="FV109" s="273"/>
      <c r="FW109" s="273"/>
      <c r="FX109" s="273"/>
      <c r="FY109" s="273"/>
      <c r="FZ109" s="273"/>
      <c r="GA109" s="273"/>
      <c r="GB109" s="273"/>
      <c r="GC109" s="273"/>
      <c r="GD109" s="273"/>
      <c r="GE109" s="273"/>
      <c r="GF109" s="273"/>
      <c r="GG109" s="273"/>
      <c r="GH109" s="273"/>
      <c r="GI109" s="273"/>
      <c r="GJ109" s="273"/>
      <c r="GK109" s="273"/>
      <c r="GL109" s="273"/>
      <c r="GM109" s="273"/>
      <c r="GN109" s="273"/>
      <c r="GO109" s="273"/>
      <c r="GP109" s="273"/>
      <c r="GQ109" s="273"/>
      <c r="GR109" s="274"/>
      <c r="GS109" s="275"/>
      <c r="GT109" s="276"/>
      <c r="GU109" s="276"/>
      <c r="GV109" s="276"/>
      <c r="GW109" s="277">
        <f t="shared" si="22"/>
        <v>0</v>
      </c>
    </row>
    <row r="110" spans="1:304" s="136" customFormat="1">
      <c r="A110" s="139"/>
      <c r="B110" s="139"/>
      <c r="C110" s="139"/>
      <c r="D110" s="139"/>
      <c r="E110" s="160"/>
      <c r="F110" s="139"/>
      <c r="G110" s="139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/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0"/>
      <c r="AR110" s="150"/>
      <c r="AS110" s="150"/>
      <c r="AT110" s="150"/>
      <c r="AU110" s="150"/>
      <c r="AV110" s="150"/>
      <c r="AW110" s="150"/>
      <c r="AX110" s="150"/>
      <c r="AY110" s="150"/>
      <c r="AZ110" s="150"/>
      <c r="BA110" s="150"/>
      <c r="BB110" s="150"/>
      <c r="BC110" s="150"/>
      <c r="BD110" s="150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150"/>
      <c r="CL110" s="150"/>
      <c r="CM110" s="150"/>
      <c r="CN110" s="150"/>
      <c r="CO110" s="150"/>
      <c r="CP110" s="150"/>
      <c r="CQ110" s="150"/>
      <c r="CR110" s="150"/>
      <c r="CS110" s="150"/>
      <c r="CT110" s="150"/>
      <c r="CU110" s="150"/>
      <c r="CV110" s="150"/>
      <c r="CW110" s="150"/>
      <c r="CX110" s="150"/>
      <c r="CY110" s="150"/>
      <c r="CZ110" s="150"/>
      <c r="DA110" s="150"/>
      <c r="DB110" s="150"/>
      <c r="DC110" s="150"/>
      <c r="DD110" s="150"/>
      <c r="DE110" s="150"/>
      <c r="DF110" s="150"/>
      <c r="DG110" s="150"/>
      <c r="DH110" s="150"/>
      <c r="DI110" s="150"/>
      <c r="DJ110" s="150"/>
      <c r="DK110" s="150"/>
      <c r="DL110" s="150"/>
      <c r="DM110" s="150"/>
      <c r="DN110" s="150"/>
      <c r="DO110" s="150"/>
      <c r="DP110" s="150"/>
      <c r="DQ110" s="150"/>
      <c r="DR110" s="150"/>
      <c r="DS110" s="150"/>
      <c r="DT110" s="150"/>
      <c r="DU110" s="150"/>
      <c r="DV110" s="150"/>
      <c r="DW110" s="150"/>
      <c r="DX110" s="150"/>
      <c r="DY110" s="150"/>
      <c r="DZ110" s="150"/>
      <c r="EA110" s="150"/>
      <c r="EB110" s="150"/>
      <c r="EC110" s="150"/>
      <c r="ED110" s="150"/>
      <c r="EE110" s="150"/>
      <c r="EF110" s="150"/>
      <c r="EG110" s="150"/>
      <c r="EH110" s="150"/>
      <c r="EI110" s="150"/>
      <c r="EJ110" s="150"/>
      <c r="EK110" s="150"/>
      <c r="EL110" s="150"/>
      <c r="EM110" s="150"/>
      <c r="EN110" s="150"/>
      <c r="EO110" s="150"/>
      <c r="EP110" s="150"/>
      <c r="EQ110" s="150"/>
      <c r="ER110" s="150"/>
      <c r="ES110" s="150"/>
      <c r="ET110" s="150"/>
      <c r="EU110" s="150"/>
      <c r="EV110" s="150"/>
      <c r="EW110" s="150"/>
      <c r="EX110" s="150"/>
      <c r="EY110" s="150"/>
      <c r="EZ110" s="150"/>
      <c r="FA110" s="150"/>
      <c r="FB110" s="150"/>
      <c r="FC110" s="150"/>
      <c r="FD110" s="150"/>
      <c r="FE110" s="150"/>
      <c r="FF110" s="150"/>
      <c r="FG110" s="150"/>
      <c r="FH110" s="150"/>
      <c r="FI110" s="150"/>
      <c r="FJ110" s="150"/>
      <c r="FK110" s="150"/>
      <c r="FL110" s="150"/>
      <c r="FM110" s="150"/>
      <c r="FN110" s="150"/>
      <c r="FO110" s="150"/>
      <c r="FP110" s="150"/>
      <c r="FQ110" s="150"/>
      <c r="FR110" s="150"/>
      <c r="FS110" s="150"/>
      <c r="FT110" s="150"/>
      <c r="FU110" s="150"/>
      <c r="FV110" s="150"/>
      <c r="FW110" s="150"/>
      <c r="FX110" s="150"/>
      <c r="FY110" s="150"/>
      <c r="FZ110" s="150"/>
      <c r="GA110" s="150"/>
      <c r="GB110" s="150"/>
      <c r="GC110" s="150"/>
      <c r="GD110" s="150"/>
      <c r="GE110" s="150"/>
      <c r="GF110" s="150"/>
      <c r="GG110" s="150"/>
      <c r="GH110" s="150"/>
      <c r="GI110" s="150"/>
      <c r="GJ110" s="150"/>
      <c r="GK110" s="150"/>
      <c r="GL110" s="150"/>
      <c r="GM110" s="150"/>
      <c r="GN110" s="150"/>
      <c r="GO110" s="150"/>
      <c r="GP110" s="150"/>
      <c r="GQ110" s="150"/>
      <c r="GR110" s="161"/>
      <c r="GS110" s="162"/>
      <c r="GT110" s="159"/>
      <c r="GU110" s="159"/>
      <c r="GV110" s="159"/>
      <c r="GW110" s="239">
        <f t="shared" si="22"/>
        <v>0</v>
      </c>
    </row>
    <row r="111" spans="1:304">
      <c r="E111" s="85" t="s">
        <v>623</v>
      </c>
      <c r="H111" s="190">
        <f>H37+H46+H47+H48+H49+H50+H51+H55+H56+H57+H73+H74+H75+H83+H84+H85+H104+H105</f>
        <v>0</v>
      </c>
      <c r="K111" s="190">
        <f>K37+K46+K47+K48+K49+K50+K51+K55+K56+K57+K73+K74+K75+K83+K84+K85+K104+K105</f>
        <v>34</v>
      </c>
      <c r="O111" s="190">
        <f>O37+O46+O47+O48+O49+O50+O51+O55+O56+O57+O73+O74+O75+O83+O84+O85+O104+O105</f>
        <v>34</v>
      </c>
      <c r="V111" s="190">
        <f>V37+V46+V47+V48+V49+V50+V51+V55+V56+V57+V73+V74+V75+V83+V84+V85+V104+V105</f>
        <v>4</v>
      </c>
      <c r="W111" s="190">
        <f>W37+W46+W47+W48+W49+W50+W51+W55+W56+W57+W73+W74+W75+W83+W84+W85+W104+W105</f>
        <v>70</v>
      </c>
      <c r="Z111" s="190">
        <f t="shared" ref="Z111:AA111" si="23">Z37+Z46+Z47+Z48+Z49+Z50+Z51+Z55+Z56+Z57+Z73+Z74+Z75+Z83+Z84+Z85+Z104+Z105</f>
        <v>50</v>
      </c>
      <c r="AA111" s="190">
        <f t="shared" si="23"/>
        <v>50</v>
      </c>
      <c r="AF111" s="190">
        <f t="shared" ref="AF111" si="24">AF37+AF46+AF47+AF48+AF49+AF50+AF51+AF55+AF56+AF57+AF73+AF74+AF75+AF83+AF84+AF85+AF104+AF105</f>
        <v>0</v>
      </c>
      <c r="AY111" s="190">
        <f t="shared" ref="AY111" si="25">AY37+AY46+AY47+AY48+AY49+AY50+AY51+AY55+AY56+AY57+AY73+AY74+AY75+AY83+AY84+AY85+AY104+AY105</f>
        <v>45</v>
      </c>
      <c r="BA111" s="190">
        <f t="shared" ref="BA111:BC111" si="26">BA37+BA46+BA47+BA48+BA49+BA50+BA51+BA55+BA56+BA57+BA73+BA74+BA75+BA83+BA84+BA85+BA104+BA105</f>
        <v>40</v>
      </c>
      <c r="BB111" s="190">
        <f t="shared" si="26"/>
        <v>30</v>
      </c>
      <c r="BC111" s="190">
        <f t="shared" si="26"/>
        <v>14</v>
      </c>
      <c r="BE111" s="190">
        <f>BE37+BE46+BE47+BE48+BE49+BE50+BE51+BE55+BE56+BE57+BE73+BE74+BE75+BE83+BE84+BE85+BE104+BE105</f>
        <v>60</v>
      </c>
      <c r="BF111" s="190"/>
      <c r="BG111" s="190">
        <f>BG37+BG46+BG47+BG48+BG49+BG50+BG51+BG55+BG56+BG57+BG73+BG74+BG75+BG83+BG84+BG85+BG104+BG105+BG86</f>
        <v>5</v>
      </c>
      <c r="BO111" s="190">
        <f t="shared" ref="BO111:BQ111" si="27">BO37+BO46+BO47+BO48+BO49+BO50+BO51+BO55+BO56+BO57+BO73+BO74+BO75+BO83+BO84+BO85+BO104+BO105+BO86</f>
        <v>60</v>
      </c>
      <c r="BP111" s="190">
        <f t="shared" si="27"/>
        <v>45</v>
      </c>
      <c r="BQ111" s="190">
        <f t="shared" si="27"/>
        <v>20</v>
      </c>
      <c r="BS111" s="190">
        <f t="shared" ref="BS111" si="28">BS37+BS46+BS47+BS48+BS49+BS50+BS51+BS55+BS56+BS57+BS73+BS74+BS75+BS83+BS84+BS85+BS104+BS105+BS86</f>
        <v>15</v>
      </c>
      <c r="BY111" s="190">
        <f t="shared" ref="BY111" si="29">BY37+BY46+BY47+BY48+BY49+BY50+BY51+BY55+BY56+BY57+BY73+BY74+BY75+BY83+BY84+BY85+BY104+BY105+BY86</f>
        <v>0</v>
      </c>
      <c r="CB111" s="190">
        <f t="shared" ref="CB111:CC111" si="30">CB37+CB46+CB47+CB48+CB49+CB50+CB51+CB55+CB56+CB57+CB73+CB74+CB75+CB83+CB84+CB85+CB104+CB105+CB86</f>
        <v>15</v>
      </c>
      <c r="CC111" s="190">
        <f t="shared" si="30"/>
        <v>10</v>
      </c>
      <c r="CG111" s="190">
        <f t="shared" ref="CG111:CH111" si="31">CG37+CG46+CG47+CG48+CG49+CG50+CG51+CG55+CG56+CG57+CG73+CG74+CG75+CG83+CG84+CG85+CG104+CG105+CG86</f>
        <v>110</v>
      </c>
      <c r="CH111" s="190">
        <f t="shared" si="31"/>
        <v>6</v>
      </c>
      <c r="CI111" s="150"/>
      <c r="CK111" s="190">
        <f t="shared" ref="CK111:CL111" si="32">CK37+CK46+CK47+CK48+CK49+CK50+CK51+CK55+CK56+CK57+CK73+CK74+CK75+CK83+CK84+CK85+CK104+CK105+CK86</f>
        <v>5</v>
      </c>
      <c r="CL111" s="190">
        <f t="shared" si="32"/>
        <v>45</v>
      </c>
      <c r="CN111" s="190">
        <f t="shared" ref="CN111:CO111" si="33">CN37+CN46+CN47+CN48+CN49+CN50+CN51+CN55+CN56+CN57+CN73+CN74+CN75+CN83+CN84+CN85+CN104+CN105+CN86</f>
        <v>50</v>
      </c>
      <c r="CO111" s="190">
        <f t="shared" si="33"/>
        <v>20</v>
      </c>
      <c r="CQ111" s="190">
        <f t="shared" ref="CQ111:CS111" si="34">CQ37+CQ46+CQ47+CQ48+CQ49+CQ50+CQ51+CQ55+CQ56+CQ57+CQ73+CQ74+CQ75+CQ83+CQ84+CQ85+CQ104+CQ105+CQ86</f>
        <v>0</v>
      </c>
      <c r="CR111" s="190">
        <f t="shared" si="34"/>
        <v>50</v>
      </c>
      <c r="CS111" s="190">
        <f t="shared" si="34"/>
        <v>100</v>
      </c>
      <c r="CU111" s="190">
        <f t="shared" ref="CU111" si="35">CU37+CU46+CU47+CU48+CU49+CU50+CU51+CU55+CU56+CU57+CU73+CU74+CU75+CU83+CU84+CU85+CU104+CU105+CU86</f>
        <v>5</v>
      </c>
      <c r="CY111" s="190">
        <f t="shared" ref="CY111:CZ111" si="36">CY37+CY46+CY47+CY48+CY49+CY50+CY51+CY55+CY56+CY57+CY73+CY74+CY75+CY83+CY84+CY85+CY104+CY105+CY86</f>
        <v>100</v>
      </c>
      <c r="CZ111" s="190">
        <f t="shared" si="36"/>
        <v>110</v>
      </c>
      <c r="DA111" s="190">
        <f t="shared" ref="DA111:DC111" si="37">DA37+DA46+DA47+DA48+DA49+DA50+DA51+DA55+DA56+DA57+DA73+DA74+DA75+DA83+DA84+DA85+DA104+DA105+DA86</f>
        <v>170</v>
      </c>
      <c r="DC111" s="190">
        <f t="shared" si="37"/>
        <v>180</v>
      </c>
      <c r="DG111" s="190">
        <f t="shared" ref="DG111:DH111" si="38">DG37+DG46+DG47+DG48+DG49+DG50+DG51+DG55+DG56+DG57+DG73+DG74+DG75+DG83+DG84+DG85+DG104+DG105+DG86</f>
        <v>0</v>
      </c>
      <c r="DH111" s="190">
        <f t="shared" si="38"/>
        <v>205</v>
      </c>
      <c r="DJ111" s="190">
        <f t="shared" ref="DJ111:DK111" si="39">DJ37+DJ46+DJ47+DJ48+DJ49+DJ50+DJ51+DJ55+DJ56+DJ57+DJ73+DJ74+DJ75+DJ83+DJ84+DJ85+DJ104+DJ105+DJ86</f>
        <v>100</v>
      </c>
      <c r="DK111" s="190">
        <f t="shared" si="39"/>
        <v>280</v>
      </c>
      <c r="DL111" s="190">
        <f t="shared" ref="DL111:DN111" si="40">DL37+DL46+DL47+DL48+DL49+DL50+DL51+DL55+DL56+DL57+DL73+DL74+DL75+DL83+DL84+DL85+DL104+DL105+DL86</f>
        <v>70</v>
      </c>
      <c r="DM111" s="190">
        <f t="shared" si="40"/>
        <v>160</v>
      </c>
      <c r="DN111" s="190">
        <f t="shared" si="40"/>
        <v>170</v>
      </c>
      <c r="EA111" s="190">
        <f t="shared" ref="EA111" si="41">EA37+EA46+EA47+EA48+EA49+EA50+EA51+EA55+EA56+EA57+EA73+EA74+EA75+EA83+EA84+EA85+EA104+EA105+EA86</f>
        <v>1410</v>
      </c>
      <c r="EE111" s="190">
        <f t="shared" ref="EE111" si="42">EE37+EE46+EE47+EE48+EE49+EE50+EE51+EE55+EE56+EE57+EE73+EE74+EE75+EE83+EE84+EE85+EE104+EE105+EE86</f>
        <v>1300</v>
      </c>
      <c r="EL111" s="190">
        <f t="shared" ref="EL111" si="43">EL37+EL46+EL47+EL48+EL49+EL50+EL51+EL55+EL56+EL57+EL73+EL74+EL75+EL83+EL84+EL85+EL104+EL105+EL86</f>
        <v>320</v>
      </c>
      <c r="EO111" s="190">
        <f t="shared" ref="EO111:ER111" si="44">EO37+EO46+EO47+EO48+EO49+EO50+EO51+EO55+EO56+EO57+EO73+EO74+EO75+EO83+EO84+EO85+EO104+EO105+EO86</f>
        <v>150</v>
      </c>
      <c r="EQ111" s="190">
        <f t="shared" si="44"/>
        <v>40</v>
      </c>
      <c r="ER111" s="190">
        <f t="shared" si="44"/>
        <v>633</v>
      </c>
      <c r="FF111" s="190">
        <f t="shared" ref="FF111" si="45">FF37+FF46+FF47+FF48+FF49+FF50+FF51+FF55+FF56+FF57+FF73+FF74+FF75+FF83+FF84+FF85+FF104+FF105+FF86</f>
        <v>0</v>
      </c>
      <c r="FI111" s="190">
        <f t="shared" ref="FI111" si="46">FI37+FI46+FI47+FI48+FI49+FI50+FI51+FI55+FI56+FI57+FI73+FI74+FI75+FI83+FI84+FI85+FI104+FI105+FI86</f>
        <v>40</v>
      </c>
      <c r="FO111" s="190">
        <f t="shared" ref="FO111:FQ111" si="47">FO37+FO46+FO47+FO48+FO49+FO50+FO51+FO55+FO56+FO57+FO73+FO74+FO75+FO83+FO84+FO85+FO104+FO105+FO86</f>
        <v>60</v>
      </c>
      <c r="FP111" s="190">
        <f t="shared" si="47"/>
        <v>200</v>
      </c>
      <c r="FQ111" s="190">
        <f t="shared" si="47"/>
        <v>0</v>
      </c>
      <c r="FS111" s="190">
        <f t="shared" ref="FS111:FT111" si="48">FS37+FS46+FS47+FS48+FS49+FS50+FS51+FS55+FS56+FS57+FS73+FS74+FS75+FS83+FS84+FS85+FS104+FS105+FS86</f>
        <v>170</v>
      </c>
      <c r="FT111" s="190">
        <f t="shared" si="48"/>
        <v>200</v>
      </c>
      <c r="GW111" s="92">
        <f t="shared" si="22"/>
        <v>7060</v>
      </c>
      <c r="GX111" s="92">
        <v>7044</v>
      </c>
      <c r="GY111" s="92">
        <f>GX111-GW111</f>
        <v>-16</v>
      </c>
    </row>
    <row r="112" spans="1:304">
      <c r="E112" s="87" t="s">
        <v>624</v>
      </c>
      <c r="H112" s="190">
        <f>H33+H34+H35+H36+H38+H39+H43+H44+H45+H81+H82+H93+H94</f>
        <v>0</v>
      </c>
      <c r="K112" s="190">
        <f>K33+K34+K35+K36+K38+K39+K43+K44+K45+K81+K82+K93+K94</f>
        <v>0</v>
      </c>
      <c r="O112" s="190">
        <f>O33+O34+O35+O36+O38+O39+O43+O44+O45+O81+O82+O93+O94</f>
        <v>6</v>
      </c>
      <c r="V112" s="190">
        <f>V33+V34+V35+V36+V38+V39+V43+V44+V45+V81+V82+V93+V94</f>
        <v>4</v>
      </c>
      <c r="W112" s="190">
        <f>W33+W34+W35+W36+W38+W39+W43+W44+W45+W81+W82+W93+W94</f>
        <v>15</v>
      </c>
      <c r="Z112" s="190">
        <f t="shared" ref="Z112:AA112" si="49">Z33+Z34+Z35+Z36+Z38+Z39+Z43+Z44+Z45+Z81+Z82+Z93+Z94</f>
        <v>20</v>
      </c>
      <c r="AA112" s="190">
        <f t="shared" si="49"/>
        <v>20</v>
      </c>
      <c r="AF112" s="190">
        <f t="shared" ref="AF112" si="50">AF33+AF34+AF35+AF36+AF38+AF39+AF43+AF44+AF45+AF81+AF82+AF93+AF94</f>
        <v>9</v>
      </c>
      <c r="AY112" s="190">
        <f t="shared" ref="AY112" si="51">AY33+AY34+AY35+AY36+AY38+AY39+AY43+AY44+AY45+AY81+AY82+AY93+AY94</f>
        <v>20</v>
      </c>
      <c r="BA112" s="190">
        <f t="shared" ref="BA112:BC112" si="52">BA33+BA34+BA35+BA36+BA38+BA39+BA43+BA44+BA45+BA81+BA82+BA93+BA94</f>
        <v>10</v>
      </c>
      <c r="BB112" s="190">
        <f t="shared" si="52"/>
        <v>8</v>
      </c>
      <c r="BC112" s="190">
        <f t="shared" si="52"/>
        <v>5</v>
      </c>
      <c r="BE112" s="190">
        <f>BE33+BE34+BE35+BE36+BE38+BE39+BE43+BE44+BE45+BE81+BE82+BE93+BE94</f>
        <v>0</v>
      </c>
      <c r="BF112" s="190"/>
      <c r="BG112" s="190">
        <f>BG33+BG34+BG35+BG36+BG38+BG39+BG43+BG44+BG45+BG81+BG82+BG93+BG94</f>
        <v>0</v>
      </c>
      <c r="BO112" s="190">
        <f t="shared" ref="BO112:BQ112" si="53">BO33+BO34+BO35+BO36+BO38+BO39+BO43+BO44+BO45+BO81+BO82+BO93+BO94</f>
        <v>17</v>
      </c>
      <c r="BP112" s="190">
        <f t="shared" si="53"/>
        <v>10</v>
      </c>
      <c r="BQ112" s="190">
        <f t="shared" si="53"/>
        <v>5</v>
      </c>
      <c r="BS112" s="190">
        <f t="shared" ref="BS112" si="54">BS33+BS34+BS35+BS36+BS38+BS39+BS43+BS44+BS45+BS81+BS82+BS93+BS94</f>
        <v>30</v>
      </c>
      <c r="BY112" s="190">
        <f t="shared" ref="BY112" si="55">BY33+BY34+BY35+BY36+BY38+BY39+BY43+BY44+BY45+BY81+BY82+BY93+BY94</f>
        <v>1</v>
      </c>
      <c r="CB112" s="190">
        <f t="shared" ref="CB112:CC112" si="56">CB33+CB34+CB35+CB36+CB38+CB39+CB43+CB44+CB45+CB81+CB82+CB93+CB94</f>
        <v>4</v>
      </c>
      <c r="CC112" s="190">
        <f t="shared" si="56"/>
        <v>4</v>
      </c>
      <c r="CG112" s="190">
        <f t="shared" ref="CG112:CH112" si="57">CG33+CG34+CG35+CG36+CG38+CG39+CG43+CG44+CG45+CG81+CG82+CG93+CG94</f>
        <v>20</v>
      </c>
      <c r="CH112" s="190">
        <f t="shared" si="57"/>
        <v>1</v>
      </c>
      <c r="CK112" s="190">
        <f t="shared" ref="CK112:CL112" si="58">CK33+CK34+CK35+CK36+CK38+CK39+CK43+CK44+CK45+CK81+CK82+CK93+CK94</f>
        <v>1</v>
      </c>
      <c r="CL112" s="190">
        <f t="shared" si="58"/>
        <v>15</v>
      </c>
      <c r="CN112" s="190">
        <f t="shared" ref="CN112:CO112" si="59">CN33+CN34+CN35+CN36+CN38+CN39+CN43+CN44+CN45+CN81+CN82+CN93+CN94</f>
        <v>5</v>
      </c>
      <c r="CO112" s="190">
        <f t="shared" si="59"/>
        <v>2</v>
      </c>
      <c r="CQ112" s="190">
        <f t="shared" ref="CQ112:CS112" si="60">CQ33+CQ34+CQ35+CQ36+CQ38+CQ39+CQ43+CQ44+CQ45+CQ81+CQ82+CQ93+CQ94</f>
        <v>6</v>
      </c>
      <c r="CR112" s="190">
        <f t="shared" si="60"/>
        <v>5</v>
      </c>
      <c r="CS112" s="190">
        <f t="shared" si="60"/>
        <v>10</v>
      </c>
      <c r="CU112" s="190">
        <f t="shared" ref="CU112" si="61">CU33+CU34+CU35+CU36+CU38+CU39+CU43+CU44+CU45+CU81+CU82+CU93+CU94</f>
        <v>1</v>
      </c>
      <c r="CY112" s="190">
        <f t="shared" ref="CY112:CZ112" si="62">CY33+CY34+CY35+CY36+CY38+CY39+CY43+CY44+CY45+CY81+CY82+CY93+CY94</f>
        <v>25</v>
      </c>
      <c r="CZ112" s="190">
        <f t="shared" si="62"/>
        <v>25</v>
      </c>
      <c r="DA112" s="190">
        <f t="shared" ref="DA112:DC112" si="63">DA33+DA34+DA35+DA36+DA38+DA39+DA43+DA44+DA45+DA81+DA82+DA93+DA94</f>
        <v>25</v>
      </c>
      <c r="DC112" s="190">
        <f t="shared" si="63"/>
        <v>30</v>
      </c>
      <c r="DG112" s="190">
        <f t="shared" ref="DG112:DH112" si="64">DG33+DG34+DG35+DG36+DG38+DG39+DG43+DG44+DG45+DG81+DG82+DG93+DG94</f>
        <v>2</v>
      </c>
      <c r="DH112" s="190">
        <f t="shared" si="64"/>
        <v>10</v>
      </c>
      <c r="DJ112" s="190">
        <f t="shared" ref="DJ112:DK112" si="65">DJ33+DJ34+DJ35+DJ36+DJ38+DJ39+DJ43+DJ44+DJ45+DJ81+DJ82+DJ93+DJ94</f>
        <v>10</v>
      </c>
      <c r="DK112" s="190">
        <f t="shared" si="65"/>
        <v>40</v>
      </c>
      <c r="DL112" s="190">
        <f t="shared" ref="DL112:DN112" si="66">DL33+DL34+DL35+DL36+DL38+DL39+DL43+DL44+DL45+DL81+DL82+DL93+DL94</f>
        <v>10</v>
      </c>
      <c r="DM112" s="190">
        <f t="shared" si="66"/>
        <v>40</v>
      </c>
      <c r="DN112" s="190">
        <f t="shared" si="66"/>
        <v>20</v>
      </c>
      <c r="EA112" s="190">
        <f t="shared" ref="EA112" si="67">EA33+EA34+EA35+EA36+EA38+EA39+EA43+EA44+EA45+EA81+EA82+EA93+EA94</f>
        <v>70</v>
      </c>
      <c r="EE112" s="190">
        <f t="shared" ref="EE112" si="68">EE33+EE34+EE35+EE36+EE38+EE39+EE43+EE44+EE45+EE81+EE82+EE93+EE94</f>
        <v>160</v>
      </c>
      <c r="EL112" s="190">
        <f t="shared" ref="EL112" si="69">EL33+EL34+EL35+EL36+EL38+EL39+EL43+EL44+EL45+EL81+EL82+EL93+EL94</f>
        <v>20</v>
      </c>
      <c r="EO112" s="190">
        <f t="shared" ref="EO112:ER112" si="70">EO33+EO34+EO35+EO36+EO38+EO39+EO43+EO44+EO45+EO81+EO82+EO93+EO94</f>
        <v>40</v>
      </c>
      <c r="EQ112" s="190">
        <f t="shared" si="70"/>
        <v>0</v>
      </c>
      <c r="ER112" s="190">
        <f t="shared" si="70"/>
        <v>10</v>
      </c>
      <c r="FF112" s="190">
        <f t="shared" ref="FF112" si="71">FF33+FF34+FF35+FF36+FF38+FF39+FF43+FF44+FF45+FF81+FF82+FF93+FF94</f>
        <v>10</v>
      </c>
      <c r="FI112" s="190">
        <f t="shared" ref="FI112" si="72">FI33+FI34+FI35+FI36+FI38+FI39+FI43+FI44+FI45+FI81+FI82+FI93+FI94</f>
        <v>20</v>
      </c>
      <c r="FO112" s="190">
        <f t="shared" ref="FO112:FQ112" si="73">FO33+FO34+FO35+FO36+FO38+FO39+FO43+FO44+FO45+FO81+FO82+FO93+FO94</f>
        <v>0</v>
      </c>
      <c r="FP112" s="190">
        <f t="shared" si="73"/>
        <v>40</v>
      </c>
      <c r="FQ112" s="190">
        <f t="shared" si="73"/>
        <v>100</v>
      </c>
      <c r="FS112" s="190">
        <f t="shared" ref="FS112:FT112" si="74">FS33+FS34+FS35+FS36+FS38+FS39+FS43+FS44+FS45+FS81+FS82+FS93+FS94</f>
        <v>0</v>
      </c>
      <c r="FT112" s="190">
        <f t="shared" si="74"/>
        <v>20</v>
      </c>
      <c r="GW112" s="92">
        <f t="shared" si="22"/>
        <v>981</v>
      </c>
    </row>
    <row r="113" spans="1:205">
      <c r="E113" s="87" t="s">
        <v>625</v>
      </c>
      <c r="H113" s="190">
        <f>H30+H31+H32+H52+H53+H54+H87+H88+H89</f>
        <v>0</v>
      </c>
      <c r="K113" s="190">
        <f>K30+K31+K32+K52+K53+K54+K87+K88+K89</f>
        <v>0</v>
      </c>
      <c r="O113" s="190">
        <f>O30+O31+O32+O52+O53+O54+O87+O88+O89</f>
        <v>0</v>
      </c>
      <c r="V113" s="190">
        <f>V30+V31+V32+V52+V53+V54+V87+V88+V89</f>
        <v>2</v>
      </c>
      <c r="W113" s="190">
        <f>W30+W31+W32+W52+W53+W54+W87+W88+W89</f>
        <v>5</v>
      </c>
      <c r="Z113" s="190">
        <f t="shared" ref="Z113:AA113" si="75">Z30+Z31+Z32+Z52+Z53+Z54+Z87+Z88+Z89</f>
        <v>0</v>
      </c>
      <c r="AA113" s="190">
        <f t="shared" si="75"/>
        <v>0</v>
      </c>
      <c r="AF113" s="190">
        <f t="shared" ref="AF113" si="76">AF30+AF31+AF32+AF52+AF53+AF54+AF87+AF88+AF89</f>
        <v>0</v>
      </c>
      <c r="AY113" s="190">
        <f t="shared" ref="AY113" si="77">AY30+AY31+AY32+AY52+AY53+AY54+AY87+AY88+AY89</f>
        <v>0</v>
      </c>
      <c r="BA113" s="190">
        <f t="shared" ref="BA113:BC113" si="78">BA30+BA31+BA32+BA52+BA53+BA54+BA87+BA88+BA89</f>
        <v>10</v>
      </c>
      <c r="BB113" s="190">
        <f t="shared" si="78"/>
        <v>5</v>
      </c>
      <c r="BC113" s="190">
        <f t="shared" si="78"/>
        <v>2</v>
      </c>
      <c r="BE113" s="190">
        <f>BE30+BE31+BE32+BE52+BE53+BE54+BE87+BE88+BE89</f>
        <v>0</v>
      </c>
      <c r="BF113" s="190"/>
      <c r="BG113" s="190">
        <f>BG30+BG31+BG32+BG52+BG53+BG54+BG87+BG88+BG89</f>
        <v>0</v>
      </c>
      <c r="BO113" s="190">
        <f t="shared" ref="BO113:BQ113" si="79">BO30+BO31+BO32+BO52+BO53+BO54+BO87+BO88+BO89</f>
        <v>5</v>
      </c>
      <c r="BP113" s="190">
        <f t="shared" si="79"/>
        <v>5</v>
      </c>
      <c r="BQ113" s="190">
        <f t="shared" si="79"/>
        <v>0</v>
      </c>
      <c r="BS113" s="190">
        <f t="shared" ref="BS113" si="80">BS30+BS31+BS32+BS52+BS53+BS54+BS87+BS88+BS89</f>
        <v>0</v>
      </c>
      <c r="BY113" s="190">
        <f t="shared" ref="BY113" si="81">BY30+BY31+BY32+BY52+BY53+BY54+BY87+BY88+BY89</f>
        <v>1</v>
      </c>
      <c r="CB113" s="190">
        <f t="shared" ref="CB113:CC113" si="82">CB30+CB31+CB32+CB52+CB53+CB54+CB87+CB88+CB89</f>
        <v>2</v>
      </c>
      <c r="CC113" s="190">
        <f t="shared" si="82"/>
        <v>1</v>
      </c>
      <c r="CG113" s="190">
        <f t="shared" ref="CG113:CH113" si="83">CG30+CG31+CG32+CG52+CG53+CG54+CG87+CG88+CG89</f>
        <v>15</v>
      </c>
      <c r="CH113" s="190">
        <f t="shared" si="83"/>
        <v>1</v>
      </c>
      <c r="CK113" s="190">
        <f t="shared" ref="CK113:CL113" si="84">CK30+CK31+CK32+CK52+CK53+CK54+CK87+CK88+CK89</f>
        <v>1</v>
      </c>
      <c r="CL113" s="190">
        <f t="shared" si="84"/>
        <v>10</v>
      </c>
      <c r="CN113" s="190">
        <f t="shared" ref="CN113:CO113" si="85">CN30+CN31+CN32+CN52+CN53+CN54+CN87+CN88+CN89</f>
        <v>5</v>
      </c>
      <c r="CO113" s="190">
        <f t="shared" si="85"/>
        <v>3</v>
      </c>
      <c r="CQ113" s="190">
        <f t="shared" ref="CQ113:CS113" si="86">CQ30+CQ31+CQ32+CQ52+CQ53+CQ54+CQ87+CQ88+CQ89</f>
        <v>0</v>
      </c>
      <c r="CR113" s="190">
        <f t="shared" si="86"/>
        <v>5</v>
      </c>
      <c r="CS113" s="190">
        <f t="shared" si="86"/>
        <v>10</v>
      </c>
      <c r="CU113" s="190">
        <f t="shared" ref="CU113" si="87">CU30+CU31+CU32+CU52+CU53+CU54+CU87+CU88+CU89</f>
        <v>2</v>
      </c>
      <c r="CY113" s="190">
        <f t="shared" ref="CY113:CZ113" si="88">CY30+CY31+CY32+CY52+CY53+CY54+CY87+CY88+CY89</f>
        <v>20</v>
      </c>
      <c r="CZ113" s="190">
        <f t="shared" si="88"/>
        <v>15</v>
      </c>
      <c r="DA113" s="190">
        <f t="shared" ref="DA113:DC113" si="89">DA30+DA31+DA32+DA52+DA53+DA54+DA87+DA88+DA89</f>
        <v>20</v>
      </c>
      <c r="DC113" s="190">
        <f t="shared" si="89"/>
        <v>20</v>
      </c>
      <c r="DG113" s="190">
        <f t="shared" ref="DG113:DH113" si="90">DG30+DG31+DG32+DG52+DG53+DG54+DG87+DG88+DG89</f>
        <v>0</v>
      </c>
      <c r="DH113" s="190">
        <f t="shared" si="90"/>
        <v>20</v>
      </c>
      <c r="DJ113" s="190">
        <f t="shared" ref="DJ113:DK113" si="91">DJ30+DJ31+DJ32+DJ52+DJ53+DJ54+DJ87+DJ88+DJ89</f>
        <v>10</v>
      </c>
      <c r="DK113" s="190">
        <f t="shared" si="91"/>
        <v>20</v>
      </c>
      <c r="DL113" s="190">
        <f t="shared" ref="DL113:DN113" si="92">DL30+DL31+DL32+DL52+DL53+DL54+DL87+DL88+DL89</f>
        <v>8</v>
      </c>
      <c r="DM113" s="190">
        <f t="shared" si="92"/>
        <v>20</v>
      </c>
      <c r="DN113" s="190">
        <f t="shared" si="92"/>
        <v>0</v>
      </c>
      <c r="EA113" s="190">
        <f t="shared" ref="EA113" si="93">EA30+EA31+EA32+EA52+EA53+EA54+EA87+EA88+EA89</f>
        <v>0</v>
      </c>
      <c r="EE113" s="190">
        <f t="shared" ref="EE113" si="94">EE30+EE31+EE32+EE52+EE53+EE54+EE87+EE88+EE89</f>
        <v>0</v>
      </c>
      <c r="EL113" s="190">
        <f t="shared" ref="EL113" si="95">EL30+EL31+EL32+EL52+EL53+EL54+EL87+EL88+EL89</f>
        <v>20</v>
      </c>
      <c r="EO113" s="190">
        <f t="shared" ref="EO113:ER113" si="96">EO30+EO31+EO32+EO52+EO53+EO54+EO87+EO88+EO89</f>
        <v>30</v>
      </c>
      <c r="EQ113" s="190">
        <f t="shared" si="96"/>
        <v>0</v>
      </c>
      <c r="ER113" s="190">
        <f t="shared" si="96"/>
        <v>0</v>
      </c>
      <c r="FF113" s="190">
        <f t="shared" ref="FF113" si="97">FF30+FF31+FF32+FF52+FF53+FF54+FF87+FF88+FF89</f>
        <v>15</v>
      </c>
      <c r="FI113" s="190">
        <f t="shared" ref="FI113" si="98">FI30+FI31+FI32+FI52+FI53+FI54+FI87+FI88+FI89</f>
        <v>10</v>
      </c>
      <c r="FO113" s="190">
        <f t="shared" ref="FO113:FQ113" si="99">FO30+FO31+FO32+FO52+FO53+FO54+FO87+FO88+FO89</f>
        <v>20</v>
      </c>
      <c r="FP113" s="190">
        <f t="shared" si="99"/>
        <v>10</v>
      </c>
      <c r="FQ113" s="190">
        <f t="shared" si="99"/>
        <v>0</v>
      </c>
      <c r="FS113" s="190">
        <f t="shared" ref="FS113:FT113" si="100">FS30+FS31+FS32+FS52+FS53+FS54+FS87+FS88+FS89</f>
        <v>0</v>
      </c>
      <c r="FT113" s="190">
        <f t="shared" si="100"/>
        <v>0</v>
      </c>
      <c r="GW113" s="92">
        <f t="shared" si="22"/>
        <v>348</v>
      </c>
    </row>
    <row r="114" spans="1:205">
      <c r="E114" s="87" t="s">
        <v>626</v>
      </c>
      <c r="H114" s="190">
        <f>H40+H41+H42+H64+H65+H66+H67+H68+H69+H76+H77+H78+H79+H80+H95+H96+H97+H98</f>
        <v>0</v>
      </c>
      <c r="K114" s="190">
        <f>K40+K41+K42+K64+K65+K66+K67+K68+K69+K76+K77+K78+K79+K80+K95+K96+K97+K98</f>
        <v>0</v>
      </c>
      <c r="O114" s="190">
        <f>O40+O41+O42+O64+O65+O66+O67+O68+O69+O76+O77+O78+O79+O80+O95+O96+O97+O98</f>
        <v>0</v>
      </c>
      <c r="V114" s="190">
        <f>V40+V41+V42+V64+V65+V66+V67+V68+V69+V76+V77+V78+V79+V80+V95+V96+V97+V98</f>
        <v>0</v>
      </c>
      <c r="W114" s="190">
        <f>W40+W41+W42+W64+W65+W66+W67+W68+W69+W76+W77+W78+W79+W80+W95+W96+W97+W98</f>
        <v>0</v>
      </c>
      <c r="Z114" s="190">
        <f t="shared" ref="Z114:AA114" si="101">Z40+Z41+Z42+Z64+Z65+Z66+Z67+Z68+Z69+Z76+Z77+Z78+Z79+Z80+Z95+Z96+Z97+Z98</f>
        <v>0</v>
      </c>
      <c r="AA114" s="190">
        <f t="shared" si="101"/>
        <v>0</v>
      </c>
      <c r="AF114" s="190">
        <f t="shared" ref="AF114" si="102">AF40+AF41+AF42+AF64+AF65+AF66+AF67+AF68+AF69+AF76+AF77+AF78+AF79+AF80+AF95+AF96+AF97+AF98</f>
        <v>0</v>
      </c>
      <c r="AY114" s="190">
        <f t="shared" ref="AY114" si="103">AY40+AY41+AY42+AY64+AY65+AY66+AY67+AY68+AY69+AY76+AY77+AY78+AY79+AY80+AY95+AY96+AY97+AY98</f>
        <v>10</v>
      </c>
      <c r="BA114" s="190">
        <f t="shared" ref="BA114:BC114" si="104">BA40+BA41+BA42+BA64+BA65+BA66+BA67+BA68+BA69+BA76+BA77+BA78+BA79+BA80+BA95+BA96+BA97+BA98</f>
        <v>10</v>
      </c>
      <c r="BB114" s="190">
        <f t="shared" si="104"/>
        <v>7</v>
      </c>
      <c r="BC114" s="190">
        <f t="shared" si="104"/>
        <v>4</v>
      </c>
      <c r="BE114" s="190">
        <f>BE40+BE41+BE42+BE64+BE65+BE66+BE67+BE68+BE69+BE76+BE77+BE78+BE79+BE80+BE95+BE96+BE97+BE98</f>
        <v>0</v>
      </c>
      <c r="BF114" s="190"/>
      <c r="BG114" s="190">
        <f>BG40+BG41+BG42+BG64+BG65+BG66+BG67+BG68+BG69+BG76+BG77+BG78+BG79+BG80+BG95+BG96+BG97+BG98</f>
        <v>0</v>
      </c>
      <c r="BO114" s="190">
        <f t="shared" ref="BO114:BQ114" si="105">BO40+BO41+BO42+BO64+BO65+BO66+BO67+BO68+BO69+BO76+BO77+BO78+BO79+BO80+BO95+BO96+BO97+BO98</f>
        <v>13</v>
      </c>
      <c r="BP114" s="190">
        <f t="shared" si="105"/>
        <v>10</v>
      </c>
      <c r="BQ114" s="190">
        <f t="shared" si="105"/>
        <v>5</v>
      </c>
      <c r="BS114" s="190">
        <f t="shared" ref="BS114" si="106">BS40+BS41+BS42+BS64+BS65+BS66+BS67+BS68+BS69+BS76+BS77+BS78+BS79+BS80+BS95+BS96+BS97+BS98</f>
        <v>15</v>
      </c>
      <c r="BY114" s="190">
        <f t="shared" ref="BY114" si="107">BY40+BY41+BY42+BY64+BY65+BY66+BY67+BY68+BY69+BY76+BY77+BY78+BY79+BY80+BY95+BY96+BY97+BY98</f>
        <v>0</v>
      </c>
      <c r="CB114" s="190">
        <f t="shared" ref="CB114:CC114" si="108">CB40+CB41+CB42+CB64+CB65+CB66+CB67+CB68+CB69+CB76+CB77+CB78+CB79+CB80+CB95+CB96+CB97+CB98</f>
        <v>2</v>
      </c>
      <c r="CC114" s="190">
        <f t="shared" si="108"/>
        <v>3</v>
      </c>
      <c r="CG114" s="190">
        <f t="shared" ref="CG114:CH114" si="109">CG40+CG41+CG42+CG64+CG65+CG66+CG67+CG68+CG69+CG76+CG77+CG78+CG79+CG80+CG95+CG96+CG97+CG98</f>
        <v>15</v>
      </c>
      <c r="CH114" s="190">
        <f t="shared" si="109"/>
        <v>1</v>
      </c>
      <c r="CK114" s="190">
        <f t="shared" ref="CK114:CL114" si="110">CK40+CK41+CK42+CK64+CK65+CK66+CK67+CK68+CK69+CK76+CK77+CK78+CK79+CK80+CK95+CK96+CK97+CK98</f>
        <v>1</v>
      </c>
      <c r="CL114" s="190">
        <f t="shared" si="110"/>
        <v>0</v>
      </c>
      <c r="CN114" s="190">
        <f t="shared" ref="CN114:CO114" si="111">CN40+CN41+CN42+CN64+CN65+CN66+CN67+CN68+CN69+CN76+CN77+CN78+CN79+CN80+CN95+CN96+CN97+CN98</f>
        <v>5</v>
      </c>
      <c r="CO114" s="190">
        <f t="shared" si="111"/>
        <v>3</v>
      </c>
      <c r="CQ114" s="190">
        <f t="shared" ref="CQ114:CS114" si="112">CQ40+CQ41+CQ42+CQ64+CQ65+CQ66+CQ67+CQ68+CQ69+CQ76+CQ77+CQ78+CQ79+CQ80+CQ95+CQ96+CQ97+CQ98</f>
        <v>2</v>
      </c>
      <c r="CR114" s="190">
        <f t="shared" si="112"/>
        <v>5</v>
      </c>
      <c r="CS114" s="190">
        <f t="shared" si="112"/>
        <v>10</v>
      </c>
      <c r="CU114" s="190">
        <f t="shared" ref="CU114" si="113">CU40+CU41+CU42+CU64+CU65+CU66+CU67+CU68+CU69+CU76+CU77+CU78+CU79+CU80+CU95+CU96+CU97+CU98</f>
        <v>1</v>
      </c>
      <c r="CY114" s="190">
        <f t="shared" ref="CY114:CZ114" si="114">CY40+CY41+CY42+CY64+CY65+CY66+CY67+CY68+CY69+CY76+CY77+CY78+CY79+CY80+CY95+CY96+CY97+CY98</f>
        <v>0</v>
      </c>
      <c r="CZ114" s="190">
        <f t="shared" si="114"/>
        <v>10</v>
      </c>
      <c r="DA114" s="190">
        <f t="shared" ref="DA114:DC114" si="115">DA40+DA41+DA42+DA64+DA65+DA66+DA67+DA68+DA69+DA76+DA77+DA78+DA79+DA80+DA95+DA96+DA97+DA98</f>
        <v>25</v>
      </c>
      <c r="DC114" s="190">
        <f t="shared" si="115"/>
        <v>30</v>
      </c>
      <c r="DG114" s="190">
        <f t="shared" ref="DG114:DH114" si="116">DG40+DG41+DG42+DG64+DG65+DG66+DG67+DG68+DG69+DG76+DG77+DG78+DG79+DG80+DG95+DG96+DG97+DG98</f>
        <v>0</v>
      </c>
      <c r="DH114" s="190">
        <f t="shared" si="116"/>
        <v>20</v>
      </c>
      <c r="DJ114" s="190">
        <f t="shared" ref="DJ114:DK114" si="117">DJ40+DJ41+DJ42+DJ64+DJ65+DJ66+DJ67+DJ68+DJ69+DJ76+DJ77+DJ78+DJ79+DJ80+DJ95+DJ96+DJ97+DJ98</f>
        <v>15</v>
      </c>
      <c r="DK114" s="190">
        <f t="shared" si="117"/>
        <v>30</v>
      </c>
      <c r="DL114" s="190">
        <f t="shared" ref="DL114:DN114" si="118">DL40+DL41+DL42+DL64+DL65+DL66+DL67+DL68+DL69+DL76+DL77+DL78+DL79+DL80+DL95+DL96+DL97+DL98</f>
        <v>6</v>
      </c>
      <c r="DM114" s="190">
        <f t="shared" si="118"/>
        <v>30</v>
      </c>
      <c r="DN114" s="190">
        <f t="shared" si="118"/>
        <v>10</v>
      </c>
      <c r="EA114" s="190">
        <f t="shared" ref="EA114" si="119">EA40+EA41+EA42+EA64+EA65+EA66+EA67+EA68+EA69+EA76+EA77+EA78+EA79+EA80+EA95+EA96+EA97+EA98</f>
        <v>20</v>
      </c>
      <c r="EE114" s="190">
        <f t="shared" ref="EE114" si="120">EE40+EE41+EE42+EE64+EE65+EE66+EE67+EE68+EE69+EE76+EE77+EE78+EE79+EE80+EE95+EE96+EE97+EE98</f>
        <v>30</v>
      </c>
      <c r="EL114" s="190">
        <f t="shared" ref="EL114" si="121">EL40+EL41+EL42+EL64+EL65+EL66+EL67+EL68+EL69+EL76+EL77+EL78+EL79+EL80+EL95+EL96+EL97+EL98</f>
        <v>20</v>
      </c>
      <c r="EO114" s="190">
        <f t="shared" ref="EO114:ER114" si="122">EO40+EO41+EO42+EO64+EO65+EO66+EO67+EO68+EO69+EO76+EO77+EO78+EO79+EO80+EO95+EO96+EO97+EO98</f>
        <v>40</v>
      </c>
      <c r="EQ114" s="190">
        <f t="shared" si="122"/>
        <v>0</v>
      </c>
      <c r="ER114" s="190">
        <f t="shared" si="122"/>
        <v>0</v>
      </c>
      <c r="FF114" s="190">
        <f t="shared" ref="FF114" si="123">FF40+FF41+FF42+FF64+FF65+FF66+FF67+FF68+FF69+FF76+FF77+FF78+FF79+FF80+FF95+FF96+FF97+FF98</f>
        <v>15</v>
      </c>
      <c r="FI114" s="190">
        <f t="shared" ref="FI114" si="124">FI40+FI41+FI42+FI64+FI65+FI66+FI67+FI68+FI69+FI76+FI77+FI78+FI79+FI80+FI95+FI96+FI97+FI98</f>
        <v>10</v>
      </c>
      <c r="FO114" s="190">
        <f t="shared" ref="FO114:FQ114" si="125">FO40+FO41+FO42+FO64+FO65+FO66+FO67+FO68+FO69+FO76+FO77+FO78+FO79+FO80+FO95+FO96+FO97+FO98</f>
        <v>0</v>
      </c>
      <c r="FP114" s="190">
        <f t="shared" si="125"/>
        <v>0</v>
      </c>
      <c r="FQ114" s="190">
        <f t="shared" si="125"/>
        <v>0</v>
      </c>
      <c r="FS114" s="190">
        <f t="shared" ref="FS114:FT114" si="126">FS40+FS41+FS42+FS64+FS65+FS66+FS67+FS68+FS69+FS76+FS77+FS78+FS79+FS80+FS95+FS96+FS97+FS98</f>
        <v>0</v>
      </c>
      <c r="FT114" s="190">
        <f t="shared" si="126"/>
        <v>0</v>
      </c>
      <c r="GW114" s="92">
        <f t="shared" si="22"/>
        <v>433</v>
      </c>
    </row>
    <row r="115" spans="1:205" ht="10.5" thickBot="1">
      <c r="A115" s="189"/>
      <c r="B115" s="189"/>
      <c r="C115" s="189"/>
      <c r="D115" s="189"/>
      <c r="E115" s="89" t="s">
        <v>627</v>
      </c>
      <c r="F115" s="189"/>
      <c r="G115" s="189"/>
      <c r="H115" s="200">
        <f>H58+H59+H60+H61+H62+H63+H70+H71+H72+H90+H91+H92+H99+H100</f>
        <v>0</v>
      </c>
      <c r="I115" s="189"/>
      <c r="J115" s="189"/>
      <c r="K115" s="200">
        <f>K58+K59+K60+K61+K62+K63+K70+K71+K72+K90+K91+K92+K99+K100</f>
        <v>6</v>
      </c>
      <c r="L115" s="189"/>
      <c r="M115" s="189"/>
      <c r="N115" s="189"/>
      <c r="O115" s="200">
        <f>O58+O59+O60+O61+O62+O63+O70+O71+O72+O90+O91+O92+O99+O100</f>
        <v>0</v>
      </c>
      <c r="P115" s="189"/>
      <c r="Q115" s="189"/>
      <c r="R115" s="189"/>
      <c r="S115" s="189"/>
      <c r="T115" s="189"/>
      <c r="U115" s="189"/>
      <c r="V115" s="200">
        <f>V58+V59+V60+V61+V62+V63+V70+V71+V72+V90+V91+V92+V99+V100</f>
        <v>0</v>
      </c>
      <c r="W115" s="200">
        <f>W58+W59+W60+W61+W62+W63+W70+W71+W72+W90+W91+W92+W99+W100</f>
        <v>0</v>
      </c>
      <c r="X115" s="189"/>
      <c r="Y115" s="189"/>
      <c r="Z115" s="200">
        <f t="shared" ref="Z115:AA115" si="127">Z58+Z59+Z60+Z61+Z62+Z63+Z70+Z71+Z72+Z90+Z91+Z92+Z99+Z100</f>
        <v>10</v>
      </c>
      <c r="AA115" s="200">
        <f t="shared" si="127"/>
        <v>10</v>
      </c>
      <c r="AB115" s="189"/>
      <c r="AC115" s="189"/>
      <c r="AD115" s="189"/>
      <c r="AE115" s="189"/>
      <c r="AF115" s="200">
        <f t="shared" ref="AF115" si="128">AF58+AF59+AF60+AF61+AF62+AF63+AF70+AF71+AF72+AF90+AF91+AF92+AF99+AF100</f>
        <v>0</v>
      </c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189"/>
      <c r="AQ115" s="189"/>
      <c r="AR115" s="189"/>
      <c r="AS115" s="189"/>
      <c r="AT115" s="189"/>
      <c r="AU115" s="189"/>
      <c r="AV115" s="189"/>
      <c r="AW115" s="189"/>
      <c r="AX115" s="189"/>
      <c r="AY115" s="200">
        <f t="shared" ref="AY115" si="129">AY58+AY59+AY60+AY61+AY62+AY63+AY70+AY71+AY72+AY90+AY91+AY92+AY99+AY100</f>
        <v>5</v>
      </c>
      <c r="AZ115" s="189"/>
      <c r="BA115" s="200">
        <f t="shared" ref="BA115:BC115" si="130">BA58+BA59+BA60+BA61+BA62+BA63+BA70+BA71+BA72+BA90+BA91+BA92+BA99+BA100</f>
        <v>0</v>
      </c>
      <c r="BB115" s="200">
        <f t="shared" si="130"/>
        <v>0</v>
      </c>
      <c r="BC115" s="200">
        <f t="shared" si="130"/>
        <v>5</v>
      </c>
      <c r="BD115" s="189"/>
      <c r="BE115" s="200">
        <f>BE58+BE59+BE60+BE61+BE62+BE63+BE70+BE71+BE72+BE90+BE91+BE92+BE99+BE100</f>
        <v>0</v>
      </c>
      <c r="BF115" s="200"/>
      <c r="BG115" s="200">
        <f>BG58+BG59+BG60+BG61+BG62+BG63+BG70+BG71+BG72+BG90+BG91+BG92+BG99+BG100</f>
        <v>0</v>
      </c>
      <c r="BH115" s="189"/>
      <c r="BI115" s="189"/>
      <c r="BJ115" s="189"/>
      <c r="BK115" s="189"/>
      <c r="BL115" s="189"/>
      <c r="BM115" s="189"/>
      <c r="BN115" s="189"/>
      <c r="BO115" s="200">
        <f t="shared" ref="BO115:BQ115" si="131">BO58+BO59+BO60+BO61+BO62+BO63+BO70+BO71+BO72+BO90+BO91+BO92+BO99+BO100</f>
        <v>0</v>
      </c>
      <c r="BP115" s="200">
        <f t="shared" si="131"/>
        <v>0</v>
      </c>
      <c r="BQ115" s="200">
        <f t="shared" si="131"/>
        <v>0</v>
      </c>
      <c r="BR115" s="189"/>
      <c r="BS115" s="200">
        <f t="shared" ref="BS115" si="132">BS58+BS59+BS60+BS61+BS62+BS63+BS70+BS71+BS72+BS90+BS91+BS92+BS99+BS100</f>
        <v>0</v>
      </c>
      <c r="BT115" s="189"/>
      <c r="BU115" s="189"/>
      <c r="BV115" s="189"/>
      <c r="BW115" s="189"/>
      <c r="BX115" s="189"/>
      <c r="BY115" s="200">
        <f t="shared" ref="BY115" si="133">BY58+BY59+BY60+BY61+BY62+BY63+BY70+BY71+BY72+BY90+BY91+BY92+BY99+BY100</f>
        <v>3</v>
      </c>
      <c r="BZ115" s="189"/>
      <c r="CA115" s="189"/>
      <c r="CB115" s="200">
        <f t="shared" ref="CB115:CC115" si="134">CB58+CB59+CB60+CB61+CB62+CB63+CB70+CB71+CB72+CB90+CB91+CB92+CB99+CB100</f>
        <v>2</v>
      </c>
      <c r="CC115" s="200">
        <f t="shared" si="134"/>
        <v>2</v>
      </c>
      <c r="CD115" s="189"/>
      <c r="CE115" s="189"/>
      <c r="CF115" s="189"/>
      <c r="CG115" s="200">
        <f t="shared" ref="CG115:CH115" si="135">CG58+CG59+CG60+CG61+CG62+CG63+CG70+CG71+CG72+CG90+CG91+CG92+CG99+CG100</f>
        <v>10</v>
      </c>
      <c r="CH115" s="200">
        <f t="shared" si="135"/>
        <v>1</v>
      </c>
      <c r="CI115" s="189"/>
      <c r="CJ115" s="189"/>
      <c r="CK115" s="200">
        <f t="shared" ref="CK115:CL115" si="136">CK58+CK59+CK60+CK61+CK62+CK63+CK70+CK71+CK72+CK90+CK91+CK92+CK99+CK100</f>
        <v>2</v>
      </c>
      <c r="CL115" s="200">
        <f t="shared" si="136"/>
        <v>10</v>
      </c>
      <c r="CM115" s="189"/>
      <c r="CN115" s="200">
        <f t="shared" ref="CN115:CO115" si="137">CN58+CN59+CN60+CN61+CN62+CN63+CN70+CN71+CN72+CN90+CN91+CN92+CN99+CN100</f>
        <v>5</v>
      </c>
      <c r="CO115" s="200">
        <f t="shared" si="137"/>
        <v>2</v>
      </c>
      <c r="CP115" s="189"/>
      <c r="CQ115" s="200">
        <f t="shared" ref="CQ115:CS115" si="138">CQ58+CQ59+CQ60+CQ61+CQ62+CQ63+CQ70+CQ71+CQ72+CQ90+CQ91+CQ92+CQ99+CQ100</f>
        <v>2</v>
      </c>
      <c r="CR115" s="200">
        <f t="shared" si="138"/>
        <v>5</v>
      </c>
      <c r="CS115" s="200">
        <f t="shared" si="138"/>
        <v>10</v>
      </c>
      <c r="CT115" s="189"/>
      <c r="CU115" s="200">
        <f t="shared" ref="CU115" si="139">CU58+CU59+CU60+CU61+CU62+CU63+CU70+CU71+CU72+CU90+CU91+CU92+CU99+CU100</f>
        <v>1</v>
      </c>
      <c r="CV115" s="189"/>
      <c r="CW115" s="189"/>
      <c r="CX115" s="189"/>
      <c r="CY115" s="200">
        <f t="shared" ref="CY115:CZ115" si="140">CY58+CY59+CY60+CY61+CY62+CY63+CY70+CY71+CY72+CY90+CY91+CY92+CY99+CY100</f>
        <v>0</v>
      </c>
      <c r="CZ115" s="200">
        <f t="shared" si="140"/>
        <v>0</v>
      </c>
      <c r="DA115" s="200">
        <f t="shared" ref="DA115:DC115" si="141">DA58+DA59+DA60+DA61+DA62+DA63+DA70+DA71+DA72+DA90+DA91+DA92+DA99+DA100</f>
        <v>20</v>
      </c>
      <c r="DB115" s="189"/>
      <c r="DC115" s="200">
        <f t="shared" si="141"/>
        <v>0</v>
      </c>
      <c r="DD115" s="189"/>
      <c r="DE115" s="189"/>
      <c r="DF115" s="189"/>
      <c r="DG115" s="200">
        <f t="shared" ref="DG115:DH115" si="142">DG58+DG59+DG60+DG61+DG62+DG63+DG70+DG71+DG72+DG90+DG91+DG92+DG99+DG100</f>
        <v>0</v>
      </c>
      <c r="DH115" s="200">
        <f t="shared" si="142"/>
        <v>5</v>
      </c>
      <c r="DI115" s="189"/>
      <c r="DJ115" s="200">
        <f t="shared" ref="DJ115:DK115" si="143">DJ58+DJ59+DJ60+DJ61+DJ62+DJ63+DJ70+DJ71+DJ72+DJ90+DJ91+DJ92+DJ99+DJ100</f>
        <v>5</v>
      </c>
      <c r="DK115" s="200">
        <f t="shared" si="143"/>
        <v>30</v>
      </c>
      <c r="DL115" s="200">
        <f t="shared" ref="DL115:DN115" si="144">DL58+DL59+DL60+DL61+DL62+DL63+DL70+DL71+DL72+DL90+DL91+DL92+DL99+DL100</f>
        <v>6</v>
      </c>
      <c r="DM115" s="200">
        <f t="shared" si="144"/>
        <v>20</v>
      </c>
      <c r="DN115" s="200">
        <f t="shared" si="144"/>
        <v>20</v>
      </c>
      <c r="DO115" s="189"/>
      <c r="DP115" s="189"/>
      <c r="DQ115" s="189"/>
      <c r="DR115" s="189"/>
      <c r="DS115" s="189"/>
      <c r="DT115" s="189"/>
      <c r="DU115" s="189"/>
      <c r="DV115" s="189"/>
      <c r="DW115" s="189"/>
      <c r="DX115" s="189"/>
      <c r="DY115" s="189"/>
      <c r="DZ115" s="189"/>
      <c r="EA115" s="200">
        <f t="shared" ref="EA115" si="145">EA58+EA59+EA60+EA61+EA62+EA63+EA70+EA71+EA72+EA90+EA91+EA92+EA99+EA100</f>
        <v>0</v>
      </c>
      <c r="EB115" s="189"/>
      <c r="EC115" s="189"/>
      <c r="ED115" s="189"/>
      <c r="EE115" s="200">
        <f t="shared" ref="EE115" si="146">EE58+EE59+EE60+EE61+EE62+EE63+EE70+EE71+EE72+EE90+EE91+EE92+EE99+EE100</f>
        <v>0</v>
      </c>
      <c r="EF115" s="189"/>
      <c r="EG115" s="189"/>
      <c r="EH115" s="189"/>
      <c r="EI115" s="189"/>
      <c r="EJ115" s="189"/>
      <c r="EK115" s="189"/>
      <c r="EL115" s="200">
        <f t="shared" ref="EL115" si="147">EL58+EL59+EL60+EL61+EL62+EL63+EL70+EL71+EL72+EL90+EL91+EL92+EL99+EL100</f>
        <v>20</v>
      </c>
      <c r="EM115" s="189"/>
      <c r="EN115" s="189"/>
      <c r="EO115" s="200">
        <f t="shared" ref="EO115:ER115" si="148">EO58+EO59+EO60+EO61+EO62+EO63+EO70+EO71+EO72+EO90+EO91+EO92+EO99+EO100</f>
        <v>0</v>
      </c>
      <c r="EP115" s="189"/>
      <c r="EQ115" s="200">
        <f t="shared" si="148"/>
        <v>15</v>
      </c>
      <c r="ER115" s="200">
        <f t="shared" si="148"/>
        <v>0</v>
      </c>
      <c r="ES115" s="189"/>
      <c r="ET115" s="189"/>
      <c r="EU115" s="189"/>
      <c r="EV115" s="189"/>
      <c r="EW115" s="189"/>
      <c r="EX115" s="189"/>
      <c r="EY115" s="189"/>
      <c r="EZ115" s="189"/>
      <c r="FA115" s="189"/>
      <c r="FB115" s="189"/>
      <c r="FC115" s="189"/>
      <c r="FD115" s="189"/>
      <c r="FE115" s="189"/>
      <c r="FF115" s="200">
        <f t="shared" ref="FF115" si="149">FF58+FF59+FF60+FF61+FF62+FF63+FF70+FF71+FF72+FF90+FF91+FF92+FF99+FF100</f>
        <v>10</v>
      </c>
      <c r="FG115" s="189"/>
      <c r="FH115" s="189"/>
      <c r="FI115" s="200">
        <f t="shared" ref="FI115" si="150">FI58+FI59+FI60+FI61+FI62+FI63+FI70+FI71+FI72+FI90+FI91+FI92+FI99+FI100</f>
        <v>20</v>
      </c>
      <c r="FJ115" s="189"/>
      <c r="FK115" s="189"/>
      <c r="FL115" s="189"/>
      <c r="FM115" s="189"/>
      <c r="FN115" s="189"/>
      <c r="FO115" s="200">
        <f t="shared" ref="FO115:FQ115" si="151">FO58+FO59+FO60+FO61+FO62+FO63+FO70+FO71+FO72+FO90+FO91+FO92+FO99+FO100</f>
        <v>20</v>
      </c>
      <c r="FP115" s="200">
        <f t="shared" si="151"/>
        <v>30</v>
      </c>
      <c r="FQ115" s="200">
        <f t="shared" si="151"/>
        <v>0</v>
      </c>
      <c r="FR115" s="189"/>
      <c r="FS115" s="200">
        <f t="shared" ref="FS115:FT115" si="152">FS58+FS59+FS60+FS61+FS62+FS63+FS70+FS71+FS72+FS90+FS91+FS92+FS99+FS100</f>
        <v>50</v>
      </c>
      <c r="FT115" s="200">
        <f t="shared" si="152"/>
        <v>40</v>
      </c>
      <c r="FU115" s="189"/>
      <c r="FV115" s="189"/>
      <c r="FW115" s="189"/>
      <c r="FX115" s="189"/>
      <c r="FY115" s="189"/>
      <c r="FZ115" s="189"/>
      <c r="GA115" s="189"/>
      <c r="GB115" s="189"/>
      <c r="GC115" s="189"/>
      <c r="GD115" s="189"/>
      <c r="GE115" s="189"/>
      <c r="GF115" s="189"/>
      <c r="GG115" s="189"/>
      <c r="GH115" s="189"/>
      <c r="GI115" s="189"/>
      <c r="GJ115" s="189"/>
      <c r="GK115" s="189"/>
      <c r="GL115" s="189"/>
      <c r="GM115" s="189"/>
      <c r="GN115" s="189"/>
      <c r="GO115" s="189"/>
      <c r="GP115" s="189"/>
      <c r="GQ115" s="189"/>
      <c r="GR115" s="189"/>
      <c r="GS115" s="189"/>
      <c r="GT115" s="189"/>
      <c r="GU115" s="189"/>
      <c r="GV115" s="189"/>
      <c r="GW115" s="189">
        <f t="shared" si="22"/>
        <v>402</v>
      </c>
    </row>
    <row r="116" spans="1:205" ht="10.5">
      <c r="E116" s="91" t="s">
        <v>628</v>
      </c>
      <c r="H116" s="92">
        <f>SUBTOTAL(9,H111:H115)</f>
        <v>0</v>
      </c>
      <c r="K116" s="92">
        <f>SUBTOTAL(9,K111:K115)</f>
        <v>40</v>
      </c>
      <c r="O116" s="92">
        <f>SUBTOTAL(9,O111:O115)</f>
        <v>40</v>
      </c>
      <c r="V116" s="92">
        <f>SUBTOTAL(9,V111:V115)</f>
        <v>10</v>
      </c>
      <c r="W116" s="92">
        <f>SUBTOTAL(9,W111:W115)</f>
        <v>90</v>
      </c>
      <c r="Z116" s="92">
        <f t="shared" ref="Z116:AA116" si="153">SUBTOTAL(9,Z111:Z115)</f>
        <v>80</v>
      </c>
      <c r="AA116" s="92">
        <f t="shared" si="153"/>
        <v>80</v>
      </c>
      <c r="AF116" s="92">
        <f t="shared" ref="AF116" si="154">SUBTOTAL(9,AF111:AF115)</f>
        <v>9</v>
      </c>
      <c r="AY116" s="92">
        <f t="shared" ref="AY116" si="155">SUBTOTAL(9,AY111:AY115)</f>
        <v>80</v>
      </c>
      <c r="BA116" s="92">
        <f t="shared" ref="BA116" si="156">SUBTOTAL(9,BA111:BA115)</f>
        <v>70</v>
      </c>
      <c r="BB116" s="92">
        <f t="shared" ref="BB116" si="157">SUBTOTAL(9,BB111:BB115)</f>
        <v>50</v>
      </c>
      <c r="BC116" s="92">
        <f t="shared" ref="BC116" si="158">SUBTOTAL(9,BC111:BC115)</f>
        <v>30</v>
      </c>
      <c r="BE116" s="92">
        <f t="shared" ref="BE116" si="159">SUBTOTAL(9,BE111:BE115)</f>
        <v>60</v>
      </c>
      <c r="BG116" s="92">
        <f t="shared" ref="BG116" si="160">SUBTOTAL(9,BG111:BG115)</f>
        <v>5</v>
      </c>
      <c r="BO116" s="92">
        <f t="shared" ref="BO116" si="161">SUBTOTAL(9,BO111:BO115)</f>
        <v>95</v>
      </c>
      <c r="BP116" s="92">
        <f t="shared" ref="BP116" si="162">SUBTOTAL(9,BP111:BP115)</f>
        <v>70</v>
      </c>
      <c r="BQ116" s="92">
        <f t="shared" ref="BQ116:BS116" si="163">SUBTOTAL(9,BQ111:BQ115)</f>
        <v>30</v>
      </c>
      <c r="BS116" s="92">
        <f t="shared" si="163"/>
        <v>60</v>
      </c>
      <c r="BY116" s="92">
        <f t="shared" ref="BY116" si="164">SUBTOTAL(9,BY111:BY115)</f>
        <v>5</v>
      </c>
      <c r="CB116" s="92">
        <f t="shared" ref="CB116:CC116" si="165">SUBTOTAL(9,CB111:CB115)</f>
        <v>25</v>
      </c>
      <c r="CC116" s="92">
        <f t="shared" si="165"/>
        <v>20</v>
      </c>
      <c r="CG116" s="92">
        <f t="shared" ref="CG116" si="166">SUBTOTAL(9,CG111:CG115)</f>
        <v>170</v>
      </c>
      <c r="CH116" s="92">
        <f t="shared" ref="CH116" si="167">SUBTOTAL(9,CH111:CH115)</f>
        <v>10</v>
      </c>
      <c r="CK116" s="92">
        <f t="shared" ref="CK116" si="168">SUBTOTAL(9,CK111:CK115)</f>
        <v>10</v>
      </c>
      <c r="CL116" s="92">
        <f t="shared" ref="CL116:CO116" si="169">SUBTOTAL(9,CL111:CL115)</f>
        <v>80</v>
      </c>
      <c r="CN116" s="92">
        <f t="shared" si="169"/>
        <v>70</v>
      </c>
      <c r="CO116" s="92">
        <f t="shared" si="169"/>
        <v>30</v>
      </c>
      <c r="CQ116" s="92">
        <f t="shared" ref="CQ116" si="170">SUBTOTAL(9,CQ111:CQ115)</f>
        <v>10</v>
      </c>
      <c r="CR116" s="92">
        <f t="shared" ref="CR116" si="171">SUBTOTAL(9,CR111:CR115)</f>
        <v>70</v>
      </c>
      <c r="CS116" s="92">
        <f t="shared" ref="CS116:CU116" si="172">SUBTOTAL(9,CS111:CS115)</f>
        <v>140</v>
      </c>
      <c r="CU116" s="92">
        <f t="shared" si="172"/>
        <v>10</v>
      </c>
      <c r="CY116" s="92">
        <f t="shared" ref="CY116:DC116" si="173">SUBTOTAL(9,CY111:CY115)</f>
        <v>145</v>
      </c>
      <c r="CZ116" s="92">
        <f t="shared" si="173"/>
        <v>160</v>
      </c>
      <c r="DA116" s="92">
        <f t="shared" si="173"/>
        <v>260</v>
      </c>
      <c r="DC116" s="92">
        <f t="shared" si="173"/>
        <v>260</v>
      </c>
      <c r="DG116" s="92">
        <f t="shared" ref="DG116:DL116" si="174">SUBTOTAL(9,DG111:DG115)</f>
        <v>2</v>
      </c>
      <c r="DH116" s="92">
        <f t="shared" si="174"/>
        <v>260</v>
      </c>
      <c r="DJ116" s="92">
        <f t="shared" si="174"/>
        <v>140</v>
      </c>
      <c r="DK116" s="92">
        <f t="shared" si="174"/>
        <v>400</v>
      </c>
      <c r="DL116" s="92">
        <f t="shared" si="174"/>
        <v>100</v>
      </c>
      <c r="DM116" s="92">
        <f t="shared" ref="DM116" si="175">SUBTOTAL(9,DM111:DM115)</f>
        <v>270</v>
      </c>
      <c r="DN116" s="92">
        <f t="shared" ref="DN116" si="176">SUBTOTAL(9,DN111:DN115)</f>
        <v>220</v>
      </c>
      <c r="EA116" s="92">
        <f t="shared" ref="EA116" si="177">SUBTOTAL(9,EA111:EA115)</f>
        <v>1500</v>
      </c>
      <c r="EE116" s="92">
        <f t="shared" ref="EE116" si="178">SUBTOTAL(9,EE111:EE115)</f>
        <v>1490</v>
      </c>
      <c r="EL116" s="92">
        <f t="shared" ref="EL116" si="179">SUBTOTAL(9,EL111:EL115)</f>
        <v>400</v>
      </c>
      <c r="EO116" s="92">
        <f t="shared" ref="EO116" si="180">SUBTOTAL(9,EO111:EO115)</f>
        <v>260</v>
      </c>
      <c r="EQ116" s="92">
        <f t="shared" ref="EQ116" si="181">SUBTOTAL(9,EQ111:EQ115)</f>
        <v>55</v>
      </c>
      <c r="ER116" s="92">
        <f t="shared" ref="ER116" si="182">SUBTOTAL(9,ER111:ER115)</f>
        <v>643</v>
      </c>
      <c r="FF116" s="92">
        <f t="shared" ref="FF116" si="183">SUBTOTAL(9,FF111:FF115)</f>
        <v>50</v>
      </c>
      <c r="FI116" s="92">
        <f t="shared" ref="FI116" si="184">SUBTOTAL(9,FI111:FI115)</f>
        <v>100</v>
      </c>
      <c r="FO116" s="92">
        <f t="shared" ref="FO116" si="185">SUBTOTAL(9,FO111:FO115)</f>
        <v>100</v>
      </c>
      <c r="FP116" s="92">
        <f t="shared" ref="FP116" si="186">SUBTOTAL(9,FP111:FP115)</f>
        <v>280</v>
      </c>
      <c r="FQ116" s="92">
        <f t="shared" ref="FQ116" si="187">SUBTOTAL(9,FQ111:FQ115)</f>
        <v>100</v>
      </c>
      <c r="FS116" s="92">
        <f t="shared" ref="FS116" si="188">SUBTOTAL(9,FS111:FS115)</f>
        <v>220</v>
      </c>
      <c r="FT116" s="92">
        <f t="shared" ref="FT116" si="189">SUBTOTAL(9,FT111:FT115)</f>
        <v>260</v>
      </c>
      <c r="GW116" s="92">
        <f t="shared" si="22"/>
        <v>9224</v>
      </c>
    </row>
  </sheetData>
  <autoFilter ref="A6:GY101" xr:uid="{00000000-0009-0000-0000-000002000000}">
    <filterColumn colId="2">
      <filters>
        <filter val="UA1J"/>
        <filter val="UA1K"/>
      </filters>
    </filterColumn>
  </autoFilter>
  <phoneticPr fontId="3" type="noConversion"/>
  <conditionalFormatting sqref="F45:F51 F57 F5:F14 F17 F19:F25 F27 F29:F36 F53 F108">
    <cfRule type="cellIs" dxfId="1277" priority="250" stopIfTrue="1" operator="equal">
      <formula>"E7"</formula>
    </cfRule>
    <cfRule type="cellIs" dxfId="1276" priority="251" stopIfTrue="1" operator="equal">
      <formula>"E7A"</formula>
    </cfRule>
  </conditionalFormatting>
  <conditionalFormatting sqref="B69 B45:B51 B7:B14 B17 B19 B53 B108">
    <cfRule type="expression" dxfId="1275" priority="249">
      <formula>$B7="A"</formula>
    </cfRule>
  </conditionalFormatting>
  <conditionalFormatting sqref="H6:AT6 AW6:AY6 BL6:BS6 EQ6 BA6:BI6 CF6:CG6 CL6:CY6 DA6:DD6 DF6:DL6 DW6:DX6 DO6 FB6:FE6 FH6:GB6 GI6:GQ6 BU6:BX6 DZ6 EE6:EO6 ES6:EZ6 CI6:CJ6 GD6:GF6">
    <cfRule type="expression" dxfId="1274" priority="242">
      <formula>H301=0</formula>
    </cfRule>
  </conditionalFormatting>
  <conditionalFormatting sqref="F69">
    <cfRule type="cellIs" dxfId="1273" priority="247" stopIfTrue="1" operator="equal">
      <formula>"E7"</formula>
    </cfRule>
    <cfRule type="cellIs" dxfId="1272" priority="248" stopIfTrue="1" operator="equal">
      <formula>"E7A"</formula>
    </cfRule>
  </conditionalFormatting>
  <conditionalFormatting sqref="F70">
    <cfRule type="cellIs" dxfId="1271" priority="245" stopIfTrue="1" operator="equal">
      <formula>"E7"</formula>
    </cfRule>
    <cfRule type="cellIs" dxfId="1270" priority="246" stopIfTrue="1" operator="equal">
      <formula>"E7A"</formula>
    </cfRule>
  </conditionalFormatting>
  <conditionalFormatting sqref="F71">
    <cfRule type="cellIs" dxfId="1269" priority="243" stopIfTrue="1" operator="equal">
      <formula>"E7"</formula>
    </cfRule>
    <cfRule type="cellIs" dxfId="1268" priority="244" stopIfTrue="1" operator="equal">
      <formula>"E7A"</formula>
    </cfRule>
  </conditionalFormatting>
  <conditionalFormatting sqref="H1">
    <cfRule type="duplicateValues" dxfId="1267" priority="241"/>
  </conditionalFormatting>
  <conditionalFormatting sqref="L1">
    <cfRule type="duplicateValues" dxfId="1266" priority="240"/>
  </conditionalFormatting>
  <conditionalFormatting sqref="EQ4 DW4:DX4 H4:W4 BL4:BS4 AW4:AY4 Y4:AT4 EE4:EO4 DA4:DD4 DF4:DL4 CF4:CG4 CL4:CY4 BU4:BX4 BA4:BI4 DZ4 ES4:EX4 CI4:CJ4">
    <cfRule type="duplicateValues" dxfId="1265" priority="252"/>
  </conditionalFormatting>
  <conditionalFormatting sqref="H1:AQ1">
    <cfRule type="duplicateValues" dxfId="1264" priority="253"/>
  </conditionalFormatting>
  <conditionalFormatting sqref="BJ6">
    <cfRule type="expression" dxfId="1263" priority="234">
      <formula>BJ301=0</formula>
    </cfRule>
  </conditionalFormatting>
  <conditionalFormatting sqref="BJ4">
    <cfRule type="duplicateValues" dxfId="1262" priority="235"/>
  </conditionalFormatting>
  <conditionalFormatting sqref="BK6">
    <cfRule type="expression" dxfId="1261" priority="232">
      <formula>BK301=0</formula>
    </cfRule>
  </conditionalFormatting>
  <conditionalFormatting sqref="BK4">
    <cfRule type="duplicateValues" dxfId="1260" priority="233"/>
  </conditionalFormatting>
  <conditionalFormatting sqref="AU6">
    <cfRule type="expression" dxfId="1259" priority="230">
      <formula>AU301=0</formula>
    </cfRule>
  </conditionalFormatting>
  <conditionalFormatting sqref="AU4">
    <cfRule type="duplicateValues" dxfId="1258" priority="231"/>
  </conditionalFormatting>
  <conditionalFormatting sqref="AV6">
    <cfRule type="expression" dxfId="1257" priority="228">
      <formula>AV301=0</formula>
    </cfRule>
  </conditionalFormatting>
  <conditionalFormatting sqref="AV4">
    <cfRule type="duplicateValues" dxfId="1256" priority="229"/>
  </conditionalFormatting>
  <conditionalFormatting sqref="B57 B62 B64">
    <cfRule type="expression" dxfId="1255" priority="227">
      <formula>$B57="A"</formula>
    </cfRule>
  </conditionalFormatting>
  <conditionalFormatting sqref="F72">
    <cfRule type="cellIs" dxfId="1254" priority="225" stopIfTrue="1" operator="equal">
      <formula>"E7"</formula>
    </cfRule>
    <cfRule type="cellIs" dxfId="1253" priority="226" stopIfTrue="1" operator="equal">
      <formula>"E7A"</formula>
    </cfRule>
  </conditionalFormatting>
  <conditionalFormatting sqref="F73:F75">
    <cfRule type="cellIs" dxfId="1252" priority="223" stopIfTrue="1" operator="equal">
      <formula>"E7"</formula>
    </cfRule>
    <cfRule type="cellIs" dxfId="1251" priority="224" stopIfTrue="1" operator="equal">
      <formula>"E7A"</formula>
    </cfRule>
  </conditionalFormatting>
  <conditionalFormatting sqref="F101:F102 F106">
    <cfRule type="cellIs" dxfId="1250" priority="221" stopIfTrue="1" operator="equal">
      <formula>"E7"</formula>
    </cfRule>
    <cfRule type="cellIs" dxfId="1249" priority="222" stopIfTrue="1" operator="equal">
      <formula>"E7A"</formula>
    </cfRule>
  </conditionalFormatting>
  <conditionalFormatting sqref="B101:B102 B105:B106">
    <cfRule type="expression" dxfId="1248" priority="220">
      <formula>$B101="A"</formula>
    </cfRule>
  </conditionalFormatting>
  <conditionalFormatting sqref="B109:B110">
    <cfRule type="expression" dxfId="1247" priority="219">
      <formula>$B109="A"</formula>
    </cfRule>
  </conditionalFormatting>
  <conditionalFormatting sqref="F109:F110">
    <cfRule type="cellIs" dxfId="1246" priority="217" stopIfTrue="1" operator="equal">
      <formula>"E7"</formula>
    </cfRule>
    <cfRule type="cellIs" dxfId="1245" priority="218" stopIfTrue="1" operator="equal">
      <formula>"E7A"</formula>
    </cfRule>
  </conditionalFormatting>
  <conditionalFormatting sqref="F107">
    <cfRule type="cellIs" dxfId="1244" priority="209" stopIfTrue="1" operator="equal">
      <formula>"E7"</formula>
    </cfRule>
    <cfRule type="cellIs" dxfId="1243" priority="210" stopIfTrue="1" operator="equal">
      <formula>"E7A"</formula>
    </cfRule>
  </conditionalFormatting>
  <conditionalFormatting sqref="B107">
    <cfRule type="expression" dxfId="1242" priority="208">
      <formula>$B107="A"</formula>
    </cfRule>
  </conditionalFormatting>
  <conditionalFormatting sqref="EP6">
    <cfRule type="expression" dxfId="1241" priority="207">
      <formula>EP301=0</formula>
    </cfRule>
  </conditionalFormatting>
  <conditionalFormatting sqref="FG6">
    <cfRule type="expression" dxfId="1240" priority="206">
      <formula>FG301=0</formula>
    </cfRule>
  </conditionalFormatting>
  <conditionalFormatting sqref="FA6">
    <cfRule type="expression" dxfId="1239" priority="205">
      <formula>FA301=0</formula>
    </cfRule>
  </conditionalFormatting>
  <conditionalFormatting sqref="DV6">
    <cfRule type="expression" dxfId="1238" priority="204">
      <formula>DV301=0</formula>
    </cfRule>
  </conditionalFormatting>
  <conditionalFormatting sqref="EB6">
    <cfRule type="expression" dxfId="1237" priority="203">
      <formula>EB301=0</formula>
    </cfRule>
  </conditionalFormatting>
  <conditionalFormatting sqref="DN6">
    <cfRule type="expression" dxfId="1236" priority="201">
      <formula>DN301=0</formula>
    </cfRule>
  </conditionalFormatting>
  <conditionalFormatting sqref="DN4">
    <cfRule type="duplicateValues" dxfId="1235" priority="202"/>
  </conditionalFormatting>
  <conditionalFormatting sqref="CZ6">
    <cfRule type="expression" dxfId="1234" priority="200">
      <formula>CZ301=0</formula>
    </cfRule>
  </conditionalFormatting>
  <conditionalFormatting sqref="DE6">
    <cfRule type="expression" dxfId="1233" priority="199">
      <formula>DE301=0</formula>
    </cfRule>
  </conditionalFormatting>
  <conditionalFormatting sqref="CE6">
    <cfRule type="expression" dxfId="1232" priority="198">
      <formula>CE301=0</formula>
    </cfRule>
  </conditionalFormatting>
  <conditionalFormatting sqref="BY6">
    <cfRule type="expression" dxfId="1231" priority="197">
      <formula>BY301=0</formula>
    </cfRule>
  </conditionalFormatting>
  <conditionalFormatting sqref="CA6">
    <cfRule type="expression" dxfId="1230" priority="196">
      <formula>CA301=0</formula>
    </cfRule>
  </conditionalFormatting>
  <conditionalFormatting sqref="CB6">
    <cfRule type="expression" dxfId="1229" priority="195">
      <formula>CB301=0</formula>
    </cfRule>
  </conditionalFormatting>
  <conditionalFormatting sqref="CK6">
    <cfRule type="expression" dxfId="1228" priority="194">
      <formula>CK301=0</formula>
    </cfRule>
  </conditionalFormatting>
  <conditionalFormatting sqref="BT6">
    <cfRule type="expression" dxfId="1227" priority="193">
      <formula>BT301=0</formula>
    </cfRule>
  </conditionalFormatting>
  <conditionalFormatting sqref="AZ6">
    <cfRule type="expression" dxfId="1226" priority="192">
      <formula>AZ301=0</formula>
    </cfRule>
  </conditionalFormatting>
  <conditionalFormatting sqref="DM6">
    <cfRule type="expression" dxfId="1225" priority="191">
      <formula>DM301=0</formula>
    </cfRule>
  </conditionalFormatting>
  <conditionalFormatting sqref="BY4 CE4 CA4:CB4">
    <cfRule type="duplicateValues" dxfId="1224" priority="190"/>
  </conditionalFormatting>
  <conditionalFormatting sqref="CK4">
    <cfRule type="duplicateValues" dxfId="1223" priority="189"/>
  </conditionalFormatting>
  <conditionalFormatting sqref="CZ4">
    <cfRule type="duplicateValues" dxfId="1222" priority="188"/>
  </conditionalFormatting>
  <conditionalFormatting sqref="DE4">
    <cfRule type="duplicateValues" dxfId="1221" priority="187"/>
  </conditionalFormatting>
  <conditionalFormatting sqref="DO4">
    <cfRule type="duplicateValues" dxfId="1220" priority="254"/>
  </conditionalFormatting>
  <conditionalFormatting sqref="DV4">
    <cfRule type="duplicateValues" dxfId="1219" priority="186"/>
  </conditionalFormatting>
  <conditionalFormatting sqref="DM4">
    <cfRule type="duplicateValues" dxfId="1218" priority="185"/>
  </conditionalFormatting>
  <conditionalFormatting sqref="EB4">
    <cfRule type="duplicateValues" dxfId="1217" priority="184"/>
  </conditionalFormatting>
  <conditionalFormatting sqref="FA4">
    <cfRule type="duplicateValues" dxfId="1216" priority="183"/>
  </conditionalFormatting>
  <conditionalFormatting sqref="FG4">
    <cfRule type="duplicateValues" dxfId="1215" priority="182"/>
  </conditionalFormatting>
  <conditionalFormatting sqref="GH6">
    <cfRule type="expression" dxfId="1214" priority="181">
      <formula>GH301=0</formula>
    </cfRule>
  </conditionalFormatting>
  <conditionalFormatting sqref="GH1">
    <cfRule type="duplicateValues" dxfId="1213" priority="180"/>
  </conditionalFormatting>
  <conditionalFormatting sqref="GH5">
    <cfRule type="duplicateValues" dxfId="1212" priority="179"/>
  </conditionalFormatting>
  <conditionalFormatting sqref="GG6">
    <cfRule type="expression" dxfId="1211" priority="178">
      <formula>GG301=0</formula>
    </cfRule>
  </conditionalFormatting>
  <conditionalFormatting sqref="GG1">
    <cfRule type="duplicateValues" dxfId="1210" priority="177"/>
  </conditionalFormatting>
  <conditionalFormatting sqref="GG5">
    <cfRule type="duplicateValues" dxfId="1209" priority="176"/>
  </conditionalFormatting>
  <conditionalFormatting sqref="GN4:GO4 EY4:EZ4 FB4:FE4 FH4:GB4 GD4:GF4">
    <cfRule type="duplicateValues" dxfId="1208" priority="255"/>
  </conditionalFormatting>
  <conditionalFormatting sqref="GI5:XFD5 A5:GF5">
    <cfRule type="duplicateValues" dxfId="1207" priority="256"/>
  </conditionalFormatting>
  <conditionalFormatting sqref="GI1:GQ1">
    <cfRule type="duplicateValues" dxfId="1206" priority="257"/>
  </conditionalFormatting>
  <conditionalFormatting sqref="AZ4">
    <cfRule type="duplicateValues" dxfId="1205" priority="175"/>
  </conditionalFormatting>
  <conditionalFormatting sqref="BT4">
    <cfRule type="duplicateValues" dxfId="1204" priority="174"/>
  </conditionalFormatting>
  <conditionalFormatting sqref="DP6">
    <cfRule type="expression" dxfId="1203" priority="172">
      <formula>DP301=0</formula>
    </cfRule>
  </conditionalFormatting>
  <conditionalFormatting sqref="DP4">
    <cfRule type="duplicateValues" dxfId="1202" priority="171"/>
  </conditionalFormatting>
  <conditionalFormatting sqref="DP1">
    <cfRule type="duplicateValues" dxfId="1201" priority="173"/>
  </conditionalFormatting>
  <conditionalFormatting sqref="DS6">
    <cfRule type="expression" dxfId="1200" priority="169">
      <formula>DS301=0</formula>
    </cfRule>
  </conditionalFormatting>
  <conditionalFormatting sqref="DS4">
    <cfRule type="duplicateValues" dxfId="1199" priority="168"/>
  </conditionalFormatting>
  <conditionalFormatting sqref="DS1">
    <cfRule type="duplicateValues" dxfId="1198" priority="170"/>
  </conditionalFormatting>
  <conditionalFormatting sqref="DY6">
    <cfRule type="expression" dxfId="1197" priority="165">
      <formula>DY301=0</formula>
    </cfRule>
  </conditionalFormatting>
  <conditionalFormatting sqref="DY4">
    <cfRule type="duplicateValues" dxfId="1196" priority="166"/>
  </conditionalFormatting>
  <conditionalFormatting sqref="DY1">
    <cfRule type="duplicateValues" dxfId="1195" priority="167"/>
  </conditionalFormatting>
  <conditionalFormatting sqref="EC6">
    <cfRule type="expression" dxfId="1194" priority="163">
      <formula>EC301=0</formula>
    </cfRule>
  </conditionalFormatting>
  <conditionalFormatting sqref="EC4">
    <cfRule type="duplicateValues" dxfId="1193" priority="162"/>
  </conditionalFormatting>
  <conditionalFormatting sqref="EC1">
    <cfRule type="duplicateValues" dxfId="1192" priority="164"/>
  </conditionalFormatting>
  <conditionalFormatting sqref="AR1:BY1 DV1:DX1 EE1:EQ1 ES1:FE1 DZ1 FG1:GB1 CE1:CG1 CA1:CB1 CI1:DO1 GD1:GF1">
    <cfRule type="duplicateValues" dxfId="1191" priority="258"/>
  </conditionalFormatting>
  <conditionalFormatting sqref="EP4">
    <cfRule type="duplicateValues" dxfId="1190" priority="161"/>
  </conditionalFormatting>
  <conditionalFormatting sqref="ER6">
    <cfRule type="expression" dxfId="1189" priority="158">
      <formula>ER301=0</formula>
    </cfRule>
  </conditionalFormatting>
  <conditionalFormatting sqref="ER4">
    <cfRule type="duplicateValues" dxfId="1188" priority="159"/>
  </conditionalFormatting>
  <conditionalFormatting sqref="ER1">
    <cfRule type="duplicateValues" dxfId="1187" priority="160"/>
  </conditionalFormatting>
  <conditionalFormatting sqref="DQ6:DR6">
    <cfRule type="expression" dxfId="1186" priority="156">
      <formula>DQ301=0</formula>
    </cfRule>
  </conditionalFormatting>
  <conditionalFormatting sqref="DQ4:DR4">
    <cfRule type="duplicateValues" dxfId="1185" priority="155"/>
  </conditionalFormatting>
  <conditionalFormatting sqref="DQ1:DR1">
    <cfRule type="duplicateValues" dxfId="1184" priority="157"/>
  </conditionalFormatting>
  <conditionalFormatting sqref="DT6:DU6">
    <cfRule type="expression" dxfId="1183" priority="153">
      <formula>DT301=0</formula>
    </cfRule>
  </conditionalFormatting>
  <conditionalFormatting sqref="DT4:DU4">
    <cfRule type="duplicateValues" dxfId="1182" priority="152"/>
  </conditionalFormatting>
  <conditionalFormatting sqref="DT1:DU1">
    <cfRule type="duplicateValues" dxfId="1181" priority="154"/>
  </conditionalFormatting>
  <conditionalFormatting sqref="DP19">
    <cfRule type="duplicateValues" dxfId="1180" priority="151"/>
  </conditionalFormatting>
  <conditionalFormatting sqref="DS19">
    <cfRule type="duplicateValues" dxfId="1179" priority="150"/>
  </conditionalFormatting>
  <conditionalFormatting sqref="DQ19:DR19">
    <cfRule type="duplicateValues" dxfId="1178" priority="149"/>
  </conditionalFormatting>
  <conditionalFormatting sqref="DT19:DU19">
    <cfRule type="duplicateValues" dxfId="1177" priority="148"/>
  </conditionalFormatting>
  <conditionalFormatting sqref="ED6">
    <cfRule type="expression" dxfId="1176" priority="145">
      <formula>ED301=0</formula>
    </cfRule>
  </conditionalFormatting>
  <conditionalFormatting sqref="ED4">
    <cfRule type="duplicateValues" dxfId="1175" priority="146"/>
  </conditionalFormatting>
  <conditionalFormatting sqref="ED1">
    <cfRule type="duplicateValues" dxfId="1174" priority="147"/>
  </conditionalFormatting>
  <conditionalFormatting sqref="F37:F38">
    <cfRule type="cellIs" dxfId="1173" priority="143" stopIfTrue="1" operator="equal">
      <formula>"E7"</formula>
    </cfRule>
    <cfRule type="cellIs" dxfId="1172" priority="144" stopIfTrue="1" operator="equal">
      <formula>"E7A"</formula>
    </cfRule>
  </conditionalFormatting>
  <conditionalFormatting sqref="B20:B25 B27">
    <cfRule type="expression" dxfId="1171" priority="142">
      <formula>$B20="A"</formula>
    </cfRule>
  </conditionalFormatting>
  <conditionalFormatting sqref="F37:F38">
    <cfRule type="cellIs" dxfId="1170" priority="140" stopIfTrue="1" operator="equal">
      <formula>"E7"</formula>
    </cfRule>
    <cfRule type="cellIs" dxfId="1169" priority="141" stopIfTrue="1" operator="equal">
      <formula>"E7A"</formula>
    </cfRule>
  </conditionalFormatting>
  <conditionalFormatting sqref="B65">
    <cfRule type="expression" dxfId="1168" priority="131">
      <formula>$B65="A"</formula>
    </cfRule>
  </conditionalFormatting>
  <conditionalFormatting sqref="F55">
    <cfRule type="cellIs" dxfId="1167" priority="138" stopIfTrue="1" operator="equal">
      <formula>"E7"</formula>
    </cfRule>
    <cfRule type="cellIs" dxfId="1166" priority="139" stopIfTrue="1" operator="equal">
      <formula>"E7A"</formula>
    </cfRule>
  </conditionalFormatting>
  <conditionalFormatting sqref="B55">
    <cfRule type="expression" dxfId="1165" priority="137">
      <formula>$B55="A"</formula>
    </cfRule>
  </conditionalFormatting>
  <conditionalFormatting sqref="F56">
    <cfRule type="cellIs" dxfId="1164" priority="135" stopIfTrue="1" operator="equal">
      <formula>"E7"</formula>
    </cfRule>
    <cfRule type="cellIs" dxfId="1163" priority="136" stopIfTrue="1" operator="equal">
      <formula>"E7A"</formula>
    </cfRule>
  </conditionalFormatting>
  <conditionalFormatting sqref="B56">
    <cfRule type="expression" dxfId="1162" priority="134">
      <formula>$B56="A"</formula>
    </cfRule>
  </conditionalFormatting>
  <conditionalFormatting sqref="F62 F64">
    <cfRule type="cellIs" dxfId="1161" priority="132" stopIfTrue="1" operator="equal">
      <formula>"E7"</formula>
    </cfRule>
    <cfRule type="cellIs" dxfId="1160" priority="133" stopIfTrue="1" operator="equal">
      <formula>"E7A"</formula>
    </cfRule>
  </conditionalFormatting>
  <conditionalFormatting sqref="F65:F68">
    <cfRule type="cellIs" dxfId="1159" priority="129" stopIfTrue="1" operator="equal">
      <formula>"E7"</formula>
    </cfRule>
    <cfRule type="cellIs" dxfId="1158" priority="130" stopIfTrue="1" operator="equal">
      <formula>"E7A"</formula>
    </cfRule>
  </conditionalFormatting>
  <conditionalFormatting sqref="B77">
    <cfRule type="expression" dxfId="1157" priority="117">
      <formula>$B77="A"</formula>
    </cfRule>
  </conditionalFormatting>
  <conditionalFormatting sqref="B72">
    <cfRule type="expression" dxfId="1156" priority="121">
      <formula>$B72="A"</formula>
    </cfRule>
  </conditionalFormatting>
  <conditionalFormatting sqref="F39">
    <cfRule type="cellIs" dxfId="1155" priority="127" stopIfTrue="1" operator="equal">
      <formula>"E7"</formula>
    </cfRule>
    <cfRule type="cellIs" dxfId="1154" priority="128" stopIfTrue="1" operator="equal">
      <formula>"E7A"</formula>
    </cfRule>
  </conditionalFormatting>
  <conditionalFormatting sqref="F39">
    <cfRule type="cellIs" dxfId="1153" priority="125" stopIfTrue="1" operator="equal">
      <formula>"E7"</formula>
    </cfRule>
    <cfRule type="cellIs" dxfId="1152" priority="126" stopIfTrue="1" operator="equal">
      <formula>"E7A"</formula>
    </cfRule>
  </conditionalFormatting>
  <conditionalFormatting sqref="F39">
    <cfRule type="cellIs" dxfId="1151" priority="123" stopIfTrue="1" operator="equal">
      <formula>"E7"</formula>
    </cfRule>
    <cfRule type="cellIs" dxfId="1150" priority="124" stopIfTrue="1" operator="equal">
      <formula>"E7A"</formula>
    </cfRule>
  </conditionalFormatting>
  <conditionalFormatting sqref="B70:B71">
    <cfRule type="expression" dxfId="1149" priority="122">
      <formula>$B70="A"</formula>
    </cfRule>
  </conditionalFormatting>
  <conditionalFormatting sqref="B73:B74">
    <cfRule type="expression" dxfId="1148" priority="120">
      <formula>$B73="A"</formula>
    </cfRule>
  </conditionalFormatting>
  <conditionalFormatting sqref="B66:B68">
    <cfRule type="expression" dxfId="1147" priority="119">
      <formula>$B66="A"</formula>
    </cfRule>
  </conditionalFormatting>
  <conditionalFormatting sqref="B75">
    <cfRule type="expression" dxfId="1146" priority="118">
      <formula>$B75="A"</formula>
    </cfRule>
  </conditionalFormatting>
  <conditionalFormatting sqref="B80:B81">
    <cfRule type="expression" dxfId="1145" priority="116">
      <formula>$B80="A"</formula>
    </cfRule>
  </conditionalFormatting>
  <conditionalFormatting sqref="F77 F80:F82">
    <cfRule type="cellIs" dxfId="1144" priority="114" stopIfTrue="1" operator="equal">
      <formula>"E7"</formula>
    </cfRule>
    <cfRule type="cellIs" dxfId="1143" priority="115" stopIfTrue="1" operator="equal">
      <formula>"E7A"</formula>
    </cfRule>
  </conditionalFormatting>
  <conditionalFormatting sqref="B82">
    <cfRule type="expression" dxfId="1142" priority="113">
      <formula>$B82="A"</formula>
    </cfRule>
  </conditionalFormatting>
  <conditionalFormatting sqref="B83:B84">
    <cfRule type="expression" dxfId="1141" priority="112">
      <formula>$B83="A"</formula>
    </cfRule>
  </conditionalFormatting>
  <conditionalFormatting sqref="F83">
    <cfRule type="cellIs" dxfId="1140" priority="110" stopIfTrue="1" operator="equal">
      <formula>"E7"</formula>
    </cfRule>
    <cfRule type="cellIs" dxfId="1139" priority="111" stopIfTrue="1" operator="equal">
      <formula>"E7A"</formula>
    </cfRule>
  </conditionalFormatting>
  <conditionalFormatting sqref="F84">
    <cfRule type="cellIs" dxfId="1138" priority="108" stopIfTrue="1" operator="equal">
      <formula>"E7"</formula>
    </cfRule>
    <cfRule type="cellIs" dxfId="1137" priority="109" stopIfTrue="1" operator="equal">
      <formula>"E7A"</formula>
    </cfRule>
  </conditionalFormatting>
  <conditionalFormatting sqref="F40:F42">
    <cfRule type="cellIs" dxfId="1136" priority="106" stopIfTrue="1" operator="equal">
      <formula>"E7"</formula>
    </cfRule>
    <cfRule type="cellIs" dxfId="1135" priority="107" stopIfTrue="1" operator="equal">
      <formula>"E7A"</formula>
    </cfRule>
  </conditionalFormatting>
  <conditionalFormatting sqref="F40:F42">
    <cfRule type="cellIs" dxfId="1134" priority="104" stopIfTrue="1" operator="equal">
      <formula>"E7"</formula>
    </cfRule>
    <cfRule type="cellIs" dxfId="1133" priority="105" stopIfTrue="1" operator="equal">
      <formula>"E7A"</formula>
    </cfRule>
  </conditionalFormatting>
  <conditionalFormatting sqref="F40:F42">
    <cfRule type="cellIs" dxfId="1132" priority="102" stopIfTrue="1" operator="equal">
      <formula>"E7"</formula>
    </cfRule>
    <cfRule type="cellIs" dxfId="1131" priority="103" stopIfTrue="1" operator="equal">
      <formula>"E7A"</formula>
    </cfRule>
  </conditionalFormatting>
  <conditionalFormatting sqref="F59">
    <cfRule type="cellIs" dxfId="1130" priority="100" stopIfTrue="1" operator="equal">
      <formula>"E7"</formula>
    </cfRule>
    <cfRule type="cellIs" dxfId="1129" priority="101" stopIfTrue="1" operator="equal">
      <formula>"E7A"</formula>
    </cfRule>
  </conditionalFormatting>
  <conditionalFormatting sqref="B59">
    <cfRule type="expression" dxfId="1128" priority="99">
      <formula>$B59="A"</formula>
    </cfRule>
  </conditionalFormatting>
  <conditionalFormatting sqref="F7:F12">
    <cfRule type="cellIs" dxfId="1127" priority="97" stopIfTrue="1" operator="equal">
      <formula>"E7"</formula>
    </cfRule>
    <cfRule type="cellIs" dxfId="1126" priority="98" stopIfTrue="1" operator="equal">
      <formula>"E7A"</formula>
    </cfRule>
  </conditionalFormatting>
  <conditionalFormatting sqref="F7">
    <cfRule type="cellIs" dxfId="1125" priority="95" stopIfTrue="1" operator="equal">
      <formula>"E7"</formula>
    </cfRule>
    <cfRule type="cellIs" dxfId="1124" priority="96" stopIfTrue="1" operator="equal">
      <formula>"E7A"</formula>
    </cfRule>
  </conditionalFormatting>
  <conditionalFormatting sqref="F8">
    <cfRule type="cellIs" dxfId="1123" priority="93" stopIfTrue="1" operator="equal">
      <formula>"E7"</formula>
    </cfRule>
    <cfRule type="cellIs" dxfId="1122" priority="94" stopIfTrue="1" operator="equal">
      <formula>"E7A"</formula>
    </cfRule>
  </conditionalFormatting>
  <conditionalFormatting sqref="F9">
    <cfRule type="cellIs" dxfId="1121" priority="91" stopIfTrue="1" operator="equal">
      <formula>"E7"</formula>
    </cfRule>
    <cfRule type="cellIs" dxfId="1120" priority="92" stopIfTrue="1" operator="equal">
      <formula>"E7A"</formula>
    </cfRule>
  </conditionalFormatting>
  <conditionalFormatting sqref="F10">
    <cfRule type="cellIs" dxfId="1119" priority="89" stopIfTrue="1" operator="equal">
      <formula>"E7"</formula>
    </cfRule>
    <cfRule type="cellIs" dxfId="1118" priority="90" stopIfTrue="1" operator="equal">
      <formula>"E7A"</formula>
    </cfRule>
  </conditionalFormatting>
  <conditionalFormatting sqref="F11">
    <cfRule type="cellIs" dxfId="1117" priority="87" stopIfTrue="1" operator="equal">
      <formula>"E7"</formula>
    </cfRule>
    <cfRule type="cellIs" dxfId="1116" priority="88" stopIfTrue="1" operator="equal">
      <formula>"E7A"</formula>
    </cfRule>
  </conditionalFormatting>
  <conditionalFormatting sqref="F12">
    <cfRule type="cellIs" dxfId="1115" priority="85" stopIfTrue="1" operator="equal">
      <formula>"E7"</formula>
    </cfRule>
    <cfRule type="cellIs" dxfId="1114" priority="86" stopIfTrue="1" operator="equal">
      <formula>"E7A"</formula>
    </cfRule>
  </conditionalFormatting>
  <conditionalFormatting sqref="B31:B36">
    <cfRule type="expression" dxfId="1113" priority="84">
      <formula>$B31="A"</formula>
    </cfRule>
  </conditionalFormatting>
  <conditionalFormatting sqref="B30">
    <cfRule type="expression" dxfId="1112" priority="83">
      <formula>$B30="A"</formula>
    </cfRule>
  </conditionalFormatting>
  <conditionalFormatting sqref="B29">
    <cfRule type="expression" dxfId="1111" priority="82">
      <formula>$B29="A"</formula>
    </cfRule>
  </conditionalFormatting>
  <conditionalFormatting sqref="B37:B44">
    <cfRule type="expression" dxfId="1110" priority="81">
      <formula>$B37="A"</formula>
    </cfRule>
  </conditionalFormatting>
  <conditionalFormatting sqref="B85:B86 B88 B91">
    <cfRule type="expression" dxfId="1109" priority="80">
      <formula>$B85="A"</formula>
    </cfRule>
  </conditionalFormatting>
  <conditionalFormatting sqref="B98 B100">
    <cfRule type="expression" dxfId="1108" priority="79">
      <formula>$B98="A"</formula>
    </cfRule>
  </conditionalFormatting>
  <conditionalFormatting sqref="F15">
    <cfRule type="cellIs" dxfId="1107" priority="77" stopIfTrue="1" operator="equal">
      <formula>"E7"</formula>
    </cfRule>
    <cfRule type="cellIs" dxfId="1106" priority="78" stopIfTrue="1" operator="equal">
      <formula>"E7A"</formula>
    </cfRule>
  </conditionalFormatting>
  <conditionalFormatting sqref="B15">
    <cfRule type="expression" dxfId="1105" priority="76">
      <formula>$B15="A"</formula>
    </cfRule>
  </conditionalFormatting>
  <conditionalFormatting sqref="F16">
    <cfRule type="cellIs" dxfId="1104" priority="74" stopIfTrue="1" operator="equal">
      <formula>"E7"</formula>
    </cfRule>
    <cfRule type="cellIs" dxfId="1103" priority="75" stopIfTrue="1" operator="equal">
      <formula>"E7A"</formula>
    </cfRule>
  </conditionalFormatting>
  <conditionalFormatting sqref="B16">
    <cfRule type="expression" dxfId="1102" priority="73">
      <formula>$B16="A"</formula>
    </cfRule>
  </conditionalFormatting>
  <conditionalFormatting sqref="F18">
    <cfRule type="cellIs" dxfId="1101" priority="71" stopIfTrue="1" operator="equal">
      <formula>"E7"</formula>
    </cfRule>
    <cfRule type="cellIs" dxfId="1100" priority="72" stopIfTrue="1" operator="equal">
      <formula>"E7A"</formula>
    </cfRule>
  </conditionalFormatting>
  <conditionalFormatting sqref="B18">
    <cfRule type="expression" dxfId="1099" priority="70">
      <formula>$B18="A"</formula>
    </cfRule>
  </conditionalFormatting>
  <conditionalFormatting sqref="F26">
    <cfRule type="cellIs" dxfId="1098" priority="68" stopIfTrue="1" operator="equal">
      <formula>"E7"</formula>
    </cfRule>
    <cfRule type="cellIs" dxfId="1097" priority="69" stopIfTrue="1" operator="equal">
      <formula>"E7A"</formula>
    </cfRule>
  </conditionalFormatting>
  <conditionalFormatting sqref="B26">
    <cfRule type="expression" dxfId="1096" priority="67">
      <formula>$B26="A"</formula>
    </cfRule>
  </conditionalFormatting>
  <conditionalFormatting sqref="F28">
    <cfRule type="cellIs" dxfId="1095" priority="65" stopIfTrue="1" operator="equal">
      <formula>"E7"</formula>
    </cfRule>
    <cfRule type="cellIs" dxfId="1094" priority="66" stopIfTrue="1" operator="equal">
      <formula>"E7A"</formula>
    </cfRule>
  </conditionalFormatting>
  <conditionalFormatting sqref="B28">
    <cfRule type="expression" dxfId="1093" priority="64">
      <formula>$B28="A"</formula>
    </cfRule>
  </conditionalFormatting>
  <conditionalFormatting sqref="F52">
    <cfRule type="cellIs" dxfId="1092" priority="62" stopIfTrue="1" operator="equal">
      <formula>"E7"</formula>
    </cfRule>
    <cfRule type="cellIs" dxfId="1091" priority="63" stopIfTrue="1" operator="equal">
      <formula>"E7A"</formula>
    </cfRule>
  </conditionalFormatting>
  <conditionalFormatting sqref="B52">
    <cfRule type="expression" dxfId="1090" priority="61">
      <formula>$B52="A"</formula>
    </cfRule>
  </conditionalFormatting>
  <conditionalFormatting sqref="F54">
    <cfRule type="cellIs" dxfId="1089" priority="59" stopIfTrue="1" operator="equal">
      <formula>"E7"</formula>
    </cfRule>
    <cfRule type="cellIs" dxfId="1088" priority="60" stopIfTrue="1" operator="equal">
      <formula>"E7A"</formula>
    </cfRule>
  </conditionalFormatting>
  <conditionalFormatting sqref="B54">
    <cfRule type="expression" dxfId="1087" priority="58">
      <formula>$B54="A"</formula>
    </cfRule>
  </conditionalFormatting>
  <conditionalFormatting sqref="F58">
    <cfRule type="cellIs" dxfId="1086" priority="56" stopIfTrue="1" operator="equal">
      <formula>"E7"</formula>
    </cfRule>
    <cfRule type="cellIs" dxfId="1085" priority="57" stopIfTrue="1" operator="equal">
      <formula>"E7A"</formula>
    </cfRule>
  </conditionalFormatting>
  <conditionalFormatting sqref="B58">
    <cfRule type="expression" dxfId="1084" priority="55">
      <formula>$B58="A"</formula>
    </cfRule>
  </conditionalFormatting>
  <conditionalFormatting sqref="F60">
    <cfRule type="cellIs" dxfId="1083" priority="53" stopIfTrue="1" operator="equal">
      <formula>"E7"</formula>
    </cfRule>
    <cfRule type="cellIs" dxfId="1082" priority="54" stopIfTrue="1" operator="equal">
      <formula>"E7A"</formula>
    </cfRule>
  </conditionalFormatting>
  <conditionalFormatting sqref="B60">
    <cfRule type="expression" dxfId="1081" priority="52">
      <formula>$B60="A"</formula>
    </cfRule>
  </conditionalFormatting>
  <conditionalFormatting sqref="B61">
    <cfRule type="expression" dxfId="1080" priority="51">
      <formula>$B61="A"</formula>
    </cfRule>
  </conditionalFormatting>
  <conditionalFormatting sqref="F61">
    <cfRule type="cellIs" dxfId="1079" priority="49" stopIfTrue="1" operator="equal">
      <formula>"E7"</formula>
    </cfRule>
    <cfRule type="cellIs" dxfId="1078" priority="50" stopIfTrue="1" operator="equal">
      <formula>"E7A"</formula>
    </cfRule>
  </conditionalFormatting>
  <conditionalFormatting sqref="B63">
    <cfRule type="expression" dxfId="1077" priority="48">
      <formula>$B63="A"</formula>
    </cfRule>
  </conditionalFormatting>
  <conditionalFormatting sqref="F63">
    <cfRule type="cellIs" dxfId="1076" priority="46" stopIfTrue="1" operator="equal">
      <formula>"E7"</formula>
    </cfRule>
    <cfRule type="cellIs" dxfId="1075" priority="47" stopIfTrue="1" operator="equal">
      <formula>"E7A"</formula>
    </cfRule>
  </conditionalFormatting>
  <conditionalFormatting sqref="B76">
    <cfRule type="expression" dxfId="1074" priority="45">
      <formula>$B76="A"</formula>
    </cfRule>
  </conditionalFormatting>
  <conditionalFormatting sqref="F76">
    <cfRule type="cellIs" dxfId="1073" priority="43" stopIfTrue="1" operator="equal">
      <formula>"E7"</formula>
    </cfRule>
    <cfRule type="cellIs" dxfId="1072" priority="44" stopIfTrue="1" operator="equal">
      <formula>"E7A"</formula>
    </cfRule>
  </conditionalFormatting>
  <conditionalFormatting sqref="B78">
    <cfRule type="expression" dxfId="1071" priority="42">
      <formula>$B78="A"</formula>
    </cfRule>
  </conditionalFormatting>
  <conditionalFormatting sqref="F78">
    <cfRule type="cellIs" dxfId="1070" priority="40" stopIfTrue="1" operator="equal">
      <formula>"E7"</formula>
    </cfRule>
    <cfRule type="cellIs" dxfId="1069" priority="41" stopIfTrue="1" operator="equal">
      <formula>"E7A"</formula>
    </cfRule>
  </conditionalFormatting>
  <conditionalFormatting sqref="B79">
    <cfRule type="expression" dxfId="1068" priority="39">
      <formula>$B79="A"</formula>
    </cfRule>
  </conditionalFormatting>
  <conditionalFormatting sqref="F79">
    <cfRule type="cellIs" dxfId="1067" priority="37" stopIfTrue="1" operator="equal">
      <formula>"E7"</formula>
    </cfRule>
    <cfRule type="cellIs" dxfId="1066" priority="38" stopIfTrue="1" operator="equal">
      <formula>"E7A"</formula>
    </cfRule>
  </conditionalFormatting>
  <conditionalFormatting sqref="B87">
    <cfRule type="expression" dxfId="1065" priority="36">
      <formula>$B87="A"</formula>
    </cfRule>
  </conditionalFormatting>
  <conditionalFormatting sqref="B89">
    <cfRule type="expression" dxfId="1064" priority="35">
      <formula>$B89="A"</formula>
    </cfRule>
  </conditionalFormatting>
  <conditionalFormatting sqref="B90">
    <cfRule type="expression" dxfId="1063" priority="34">
      <formula>$B90="A"</formula>
    </cfRule>
  </conditionalFormatting>
  <conditionalFormatting sqref="B92">
    <cfRule type="expression" dxfId="1062" priority="33">
      <formula>$B92="A"</formula>
    </cfRule>
  </conditionalFormatting>
  <conditionalFormatting sqref="B97">
    <cfRule type="expression" dxfId="1061" priority="32">
      <formula>$B97="A"</formula>
    </cfRule>
  </conditionalFormatting>
  <conditionalFormatting sqref="B99">
    <cfRule type="expression" dxfId="1060" priority="31">
      <formula>$B99="A"</formula>
    </cfRule>
  </conditionalFormatting>
  <conditionalFormatting sqref="FF6">
    <cfRule type="expression" dxfId="1059" priority="29">
      <formula>FF301=0</formula>
    </cfRule>
  </conditionalFormatting>
  <conditionalFormatting sqref="FF4">
    <cfRule type="duplicateValues" dxfId="1058" priority="28"/>
  </conditionalFormatting>
  <conditionalFormatting sqref="FF1">
    <cfRule type="duplicateValues" dxfId="1057" priority="30"/>
  </conditionalFormatting>
  <conditionalFormatting sqref="EA6">
    <cfRule type="expression" dxfId="1056" priority="27">
      <formula>EA301=0</formula>
    </cfRule>
  </conditionalFormatting>
  <conditionalFormatting sqref="EA4">
    <cfRule type="duplicateValues" dxfId="1055" priority="26"/>
  </conditionalFormatting>
  <conditionalFormatting sqref="CD6">
    <cfRule type="expression" dxfId="1054" priority="24">
      <formula>CD301=0</formula>
    </cfRule>
  </conditionalFormatting>
  <conditionalFormatting sqref="CD4">
    <cfRule type="duplicateValues" dxfId="1053" priority="23"/>
  </conditionalFormatting>
  <conditionalFormatting sqref="CD1">
    <cfRule type="duplicateValues" dxfId="1052" priority="25"/>
  </conditionalFormatting>
  <conditionalFormatting sqref="CC6">
    <cfRule type="expression" dxfId="1051" priority="21">
      <formula>CC301=0</formula>
    </cfRule>
  </conditionalFormatting>
  <conditionalFormatting sqref="CC4">
    <cfRule type="duplicateValues" dxfId="1050" priority="20"/>
  </conditionalFormatting>
  <conditionalFormatting sqref="CC1">
    <cfRule type="duplicateValues" dxfId="1049" priority="22"/>
  </conditionalFormatting>
  <conditionalFormatting sqref="BZ6">
    <cfRule type="expression" dxfId="1048" priority="18">
      <formula>BZ301=0</formula>
    </cfRule>
  </conditionalFormatting>
  <conditionalFormatting sqref="BZ4">
    <cfRule type="duplicateValues" dxfId="1047" priority="17"/>
  </conditionalFormatting>
  <conditionalFormatting sqref="BZ1">
    <cfRule type="duplicateValues" dxfId="1046" priority="19"/>
  </conditionalFormatting>
  <conditionalFormatting sqref="CH6">
    <cfRule type="expression" dxfId="1045" priority="14">
      <formula>CH301=0</formula>
    </cfRule>
  </conditionalFormatting>
  <conditionalFormatting sqref="CH4">
    <cfRule type="duplicateValues" dxfId="1044" priority="15"/>
  </conditionalFormatting>
  <conditionalFormatting sqref="CH1">
    <cfRule type="duplicateValues" dxfId="1043" priority="16"/>
  </conditionalFormatting>
  <conditionalFormatting sqref="GC6">
    <cfRule type="expression" dxfId="1042" priority="11">
      <formula>GC301=0</formula>
    </cfRule>
  </conditionalFormatting>
  <conditionalFormatting sqref="GC4">
    <cfRule type="duplicateValues" dxfId="1041" priority="12"/>
  </conditionalFormatting>
  <conditionalFormatting sqref="GC1">
    <cfRule type="duplicateValues" dxfId="1040" priority="13"/>
  </conditionalFormatting>
  <conditionalFormatting sqref="EA1:EB1">
    <cfRule type="duplicateValues" dxfId="1039" priority="10"/>
  </conditionalFormatting>
  <conditionalFormatting sqref="B103:B104">
    <cfRule type="expression" dxfId="1038" priority="9">
      <formula>$B103="A"</formula>
    </cfRule>
  </conditionalFormatting>
  <conditionalFormatting sqref="F103:F104">
    <cfRule type="cellIs" dxfId="1037" priority="7" stopIfTrue="1" operator="equal">
      <formula>"E7"</formula>
    </cfRule>
    <cfRule type="cellIs" dxfId="1036" priority="8" stopIfTrue="1" operator="equal">
      <formula>"E7A"</formula>
    </cfRule>
  </conditionalFormatting>
  <conditionalFormatting sqref="BJ6">
    <cfRule type="expression" dxfId="1035" priority="504">
      <formula>BJ$302&gt;0</formula>
    </cfRule>
    <cfRule type="duplicateValues" dxfId="1034" priority="505"/>
  </conditionalFormatting>
  <conditionalFormatting sqref="BK6">
    <cfRule type="expression" dxfId="1033" priority="506">
      <formula>BK$302&gt;0</formula>
    </cfRule>
    <cfRule type="duplicateValues" dxfId="1032" priority="507"/>
  </conditionalFormatting>
  <conditionalFormatting sqref="AU6">
    <cfRule type="expression" dxfId="1031" priority="508">
      <formula>AU$302&gt;0</formula>
    </cfRule>
    <cfRule type="duplicateValues" dxfId="1030" priority="509"/>
  </conditionalFormatting>
  <conditionalFormatting sqref="AV6">
    <cfRule type="expression" dxfId="1029" priority="510">
      <formula>AV$302&gt;0</formula>
    </cfRule>
    <cfRule type="duplicateValues" dxfId="1028" priority="511"/>
  </conditionalFormatting>
  <conditionalFormatting sqref="EP6">
    <cfRule type="expression" dxfId="1027" priority="512">
      <formula>EP$302&gt;0</formula>
    </cfRule>
    <cfRule type="duplicateValues" dxfId="1026" priority="513"/>
  </conditionalFormatting>
  <conditionalFormatting sqref="FG6">
    <cfRule type="expression" dxfId="1025" priority="514">
      <formula>FG$302&gt;0</formula>
    </cfRule>
    <cfRule type="duplicateValues" dxfId="1024" priority="515"/>
  </conditionalFormatting>
  <conditionalFormatting sqref="FA6">
    <cfRule type="expression" dxfId="1023" priority="516">
      <formula>FA$302&gt;0</formula>
    </cfRule>
    <cfRule type="duplicateValues" dxfId="1022" priority="517"/>
  </conditionalFormatting>
  <conditionalFormatting sqref="DV6">
    <cfRule type="expression" dxfId="1021" priority="518">
      <formula>DV$302&gt;0</formula>
    </cfRule>
    <cfRule type="duplicateValues" dxfId="1020" priority="519"/>
  </conditionalFormatting>
  <conditionalFormatting sqref="EB6">
    <cfRule type="expression" dxfId="1019" priority="520">
      <formula>EB$302&gt;0</formula>
    </cfRule>
    <cfRule type="duplicateValues" dxfId="1018" priority="521"/>
  </conditionalFormatting>
  <conditionalFormatting sqref="DN6">
    <cfRule type="expression" dxfId="1017" priority="522">
      <formula>DN$302&gt;0</formula>
    </cfRule>
    <cfRule type="duplicateValues" dxfId="1016" priority="523"/>
  </conditionalFormatting>
  <conditionalFormatting sqref="CZ6">
    <cfRule type="expression" dxfId="1015" priority="524">
      <formula>CZ$302&gt;0</formula>
    </cfRule>
    <cfRule type="duplicateValues" dxfId="1014" priority="525"/>
  </conditionalFormatting>
  <conditionalFormatting sqref="DE6">
    <cfRule type="expression" dxfId="1013" priority="526">
      <formula>DE$302&gt;0</formula>
    </cfRule>
    <cfRule type="duplicateValues" dxfId="1012" priority="527"/>
  </conditionalFormatting>
  <conditionalFormatting sqref="CE6">
    <cfRule type="expression" dxfId="1011" priority="528">
      <formula>CE$302&gt;0</formula>
    </cfRule>
    <cfRule type="duplicateValues" dxfId="1010" priority="529"/>
  </conditionalFormatting>
  <conditionalFormatting sqref="BY6">
    <cfRule type="expression" dxfId="1009" priority="530">
      <formula>BY$302&gt;0</formula>
    </cfRule>
    <cfRule type="duplicateValues" dxfId="1008" priority="531"/>
  </conditionalFormatting>
  <conditionalFormatting sqref="CA6">
    <cfRule type="expression" dxfId="1007" priority="532">
      <formula>CA$302&gt;0</formula>
    </cfRule>
    <cfRule type="duplicateValues" dxfId="1006" priority="533"/>
  </conditionalFormatting>
  <conditionalFormatting sqref="CB6">
    <cfRule type="expression" dxfId="1005" priority="534">
      <formula>CB$302&gt;0</formula>
    </cfRule>
    <cfRule type="duplicateValues" dxfId="1004" priority="535"/>
  </conditionalFormatting>
  <conditionalFormatting sqref="CK6">
    <cfRule type="expression" dxfId="1003" priority="536">
      <formula>CK$302&gt;0</formula>
    </cfRule>
    <cfRule type="duplicateValues" dxfId="1002" priority="537"/>
  </conditionalFormatting>
  <conditionalFormatting sqref="BT6">
    <cfRule type="expression" dxfId="1001" priority="538">
      <formula>BT$302&gt;0</formula>
    </cfRule>
    <cfRule type="duplicateValues" dxfId="1000" priority="539"/>
  </conditionalFormatting>
  <conditionalFormatting sqref="AZ6">
    <cfRule type="expression" dxfId="999" priority="540">
      <formula>AZ$302&gt;0</formula>
    </cfRule>
    <cfRule type="duplicateValues" dxfId="998" priority="541"/>
  </conditionalFormatting>
  <conditionalFormatting sqref="DM6">
    <cfRule type="expression" dxfId="997" priority="542">
      <formula>DM$302&gt;0</formula>
    </cfRule>
    <cfRule type="duplicateValues" dxfId="996" priority="543"/>
  </conditionalFormatting>
  <conditionalFormatting sqref="DO6">
    <cfRule type="expression" dxfId="995" priority="544">
      <formula>DO$302&gt;0</formula>
    </cfRule>
    <cfRule type="duplicateValues" dxfId="994" priority="545"/>
  </conditionalFormatting>
  <conditionalFormatting sqref="GH6">
    <cfRule type="expression" dxfId="993" priority="546">
      <formula>GH$302&gt;0</formula>
    </cfRule>
    <cfRule type="duplicateValues" dxfId="992" priority="547"/>
  </conditionalFormatting>
  <conditionalFormatting sqref="GG6">
    <cfRule type="expression" dxfId="991" priority="548">
      <formula>GG$302&gt;0</formula>
    </cfRule>
    <cfRule type="duplicateValues" dxfId="990" priority="549"/>
  </conditionalFormatting>
  <conditionalFormatting sqref="GQ6 GM6 GI6">
    <cfRule type="expression" dxfId="989" priority="550">
      <formula>GI$302&gt;0</formula>
    </cfRule>
    <cfRule type="duplicateValues" dxfId="988" priority="551"/>
  </conditionalFormatting>
  <conditionalFormatting sqref="EY6:EZ6 FH6:GB6 GJ6:GL6 GN6:GP6 FB6:FE6 GD6:GF6">
    <cfRule type="expression" dxfId="987" priority="556">
      <formula>EY$302&gt;0</formula>
    </cfRule>
    <cfRule type="duplicateValues" dxfId="986" priority="557"/>
  </conditionalFormatting>
  <conditionalFormatting sqref="DP6">
    <cfRule type="expression" dxfId="985" priority="568">
      <formula>DP$302&gt;0</formula>
    </cfRule>
    <cfRule type="duplicateValues" dxfId="984" priority="569"/>
  </conditionalFormatting>
  <conditionalFormatting sqref="DS6">
    <cfRule type="expression" dxfId="983" priority="570">
      <formula>DS$302&gt;0</formula>
    </cfRule>
    <cfRule type="duplicateValues" dxfId="982" priority="571"/>
  </conditionalFormatting>
  <conditionalFormatting sqref="DY6">
    <cfRule type="expression" dxfId="981" priority="572">
      <formula>DY$302&gt;0</formula>
    </cfRule>
    <cfRule type="duplicateValues" dxfId="980" priority="573"/>
  </conditionalFormatting>
  <conditionalFormatting sqref="EC6">
    <cfRule type="expression" dxfId="979" priority="574">
      <formula>EC$302&gt;0</formula>
    </cfRule>
    <cfRule type="duplicateValues" dxfId="978" priority="575"/>
  </conditionalFormatting>
  <conditionalFormatting sqref="H6:AT6 DW6:DX6 BL6:BS6 AW6:AY6 EQ6 EE6:EO6 DA6:DD6 DF6:DL6 CF6:CG6 CL6:CY6 BU6:BX6 BA6:BI6 DZ6 ES6:EX6 CI6:CJ6">
    <cfRule type="expression" dxfId="977" priority="576">
      <formula>H$302&gt;0</formula>
    </cfRule>
    <cfRule type="duplicateValues" dxfId="976" priority="577"/>
  </conditionalFormatting>
  <conditionalFormatting sqref="ER6">
    <cfRule type="expression" dxfId="975" priority="606">
      <formula>ER$302&gt;0</formula>
    </cfRule>
    <cfRule type="duplicateValues" dxfId="974" priority="607"/>
  </conditionalFormatting>
  <conditionalFormatting sqref="DQ6:DR6">
    <cfRule type="expression" dxfId="973" priority="608">
      <formula>DQ$302&gt;0</formula>
    </cfRule>
    <cfRule type="duplicateValues" dxfId="972" priority="609"/>
  </conditionalFormatting>
  <conditionalFormatting sqref="DT6:DU6">
    <cfRule type="expression" dxfId="971" priority="610">
      <formula>DT$302&gt;0</formula>
    </cfRule>
    <cfRule type="duplicateValues" dxfId="970" priority="611"/>
  </conditionalFormatting>
  <conditionalFormatting sqref="ED6">
    <cfRule type="expression" dxfId="969" priority="612">
      <formula>ED$302&gt;0</formula>
    </cfRule>
    <cfRule type="duplicateValues" dxfId="968" priority="613"/>
  </conditionalFormatting>
  <conditionalFormatting sqref="FF6">
    <cfRule type="expression" dxfId="967" priority="614">
      <formula>FF$302&gt;0</formula>
    </cfRule>
    <cfRule type="duplicateValues" dxfId="966" priority="615"/>
  </conditionalFormatting>
  <conditionalFormatting sqref="EA6">
    <cfRule type="expression" dxfId="965" priority="616">
      <formula>EA$302&gt;0</formula>
    </cfRule>
    <cfRule type="duplicateValues" dxfId="964" priority="617"/>
  </conditionalFormatting>
  <conditionalFormatting sqref="CD6">
    <cfRule type="expression" dxfId="963" priority="618">
      <formula>CD$302&gt;0</formula>
    </cfRule>
    <cfRule type="duplicateValues" dxfId="962" priority="619"/>
  </conditionalFormatting>
  <conditionalFormatting sqref="CC6">
    <cfRule type="expression" dxfId="961" priority="620">
      <formula>CC$302&gt;0</formula>
    </cfRule>
    <cfRule type="duplicateValues" dxfId="960" priority="621"/>
  </conditionalFormatting>
  <conditionalFormatting sqref="BZ6">
    <cfRule type="expression" dxfId="959" priority="622">
      <formula>BZ$302&gt;0</formula>
    </cfRule>
    <cfRule type="duplicateValues" dxfId="958" priority="623"/>
  </conditionalFormatting>
  <conditionalFormatting sqref="CH6">
    <cfRule type="expression" dxfId="957" priority="624">
      <formula>CH$302&gt;0</formula>
    </cfRule>
    <cfRule type="duplicateValues" dxfId="956" priority="625"/>
  </conditionalFormatting>
  <conditionalFormatting sqref="GC6">
    <cfRule type="expression" dxfId="955" priority="626">
      <formula>GC$302&gt;0</formula>
    </cfRule>
    <cfRule type="duplicateValues" dxfId="954" priority="627"/>
  </conditionalFormatting>
  <conditionalFormatting sqref="F105">
    <cfRule type="cellIs" dxfId="953" priority="5" stopIfTrue="1" operator="equal">
      <formula>"E7"</formula>
    </cfRule>
    <cfRule type="cellIs" dxfId="952" priority="6" stopIfTrue="1" operator="equal">
      <formula>"E7A"</formula>
    </cfRule>
  </conditionalFormatting>
  <conditionalFormatting sqref="D105">
    <cfRule type="cellIs" dxfId="951" priority="1" stopIfTrue="1" operator="equal">
      <formula>"E7"</formula>
    </cfRule>
    <cfRule type="cellIs" dxfId="950" priority="2" stopIfTrue="1" operator="equal">
      <formula>"E7A"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J122"/>
  <sheetViews>
    <sheetView workbookViewId="0">
      <pane xSplit="7" ySplit="6" topLeftCell="FT107" activePane="bottomRight" state="frozen"/>
      <selection pane="topRight" activeCell="H1" sqref="H1"/>
      <selection pane="bottomLeft" activeCell="A7" sqref="A7"/>
      <selection pane="bottomRight" activeCell="GI117" sqref="GI117"/>
    </sheetView>
  </sheetViews>
  <sheetFormatPr defaultColWidth="9" defaultRowHeight="10"/>
  <cols>
    <col min="1" max="1" width="4.69921875" style="92" bestFit="1" customWidth="1"/>
    <col min="2" max="2" width="8.8984375" style="92" bestFit="1" customWidth="1"/>
    <col min="3" max="3" width="5.8984375" style="92" bestFit="1" customWidth="1"/>
    <col min="4" max="4" width="5.19921875" style="92" bestFit="1" customWidth="1"/>
    <col min="5" max="5" width="11.09765625" style="92" bestFit="1" customWidth="1"/>
    <col min="6" max="6" width="10.3984375" style="92" bestFit="1" customWidth="1"/>
    <col min="7" max="7" width="10.59765625" style="92" bestFit="1" customWidth="1"/>
    <col min="8" max="8" width="9.5" style="92" bestFit="1" customWidth="1"/>
    <col min="9" max="9" width="12.5" style="92" bestFit="1" customWidth="1"/>
    <col min="10" max="11" width="11" style="92" bestFit="1" customWidth="1"/>
    <col min="12" max="12" width="9.5" style="92" bestFit="1" customWidth="1"/>
    <col min="13" max="13" width="12.19921875" style="92" bestFit="1" customWidth="1"/>
    <col min="14" max="15" width="11" style="92" bestFit="1" customWidth="1"/>
    <col min="16" max="16" width="9.59765625" style="92" bestFit="1" customWidth="1"/>
    <col min="17" max="17" width="8" style="92" bestFit="1" customWidth="1"/>
    <col min="18" max="18" width="8.5" style="92" bestFit="1" customWidth="1"/>
    <col min="19" max="20" width="9.09765625" style="92" bestFit="1" customWidth="1"/>
    <col min="21" max="21" width="8.5" style="92" bestFit="1" customWidth="1"/>
    <col min="22" max="22" width="9.5" style="92" bestFit="1" customWidth="1"/>
    <col min="23" max="23" width="10.19921875" style="92" bestFit="1" customWidth="1"/>
    <col min="24" max="24" width="10.59765625" style="92" bestFit="1" customWidth="1"/>
    <col min="25" max="25" width="11" style="92" bestFit="1" customWidth="1"/>
    <col min="26" max="26" width="10.8984375" style="92" bestFit="1" customWidth="1"/>
    <col min="27" max="27" width="9.5" style="92" bestFit="1" customWidth="1"/>
    <col min="28" max="28" width="12.19921875" style="92" bestFit="1" customWidth="1"/>
    <col min="29" max="29" width="11" style="92" bestFit="1" customWidth="1"/>
    <col min="30" max="30" width="9.5" style="92" bestFit="1" customWidth="1"/>
    <col min="31" max="31" width="8.69921875" style="92" bestFit="1" customWidth="1"/>
    <col min="32" max="32" width="9.5" style="92" bestFit="1" customWidth="1"/>
    <col min="33" max="33" width="11" style="92" bestFit="1" customWidth="1"/>
    <col min="34" max="34" width="9.59765625" style="92" bestFit="1" customWidth="1"/>
    <col min="35" max="35" width="9.09765625" style="92" bestFit="1" customWidth="1"/>
    <col min="36" max="36" width="8.5" style="92" bestFit="1" customWidth="1"/>
    <col min="37" max="37" width="11" style="92" bestFit="1" customWidth="1"/>
    <col min="38" max="38" width="11.3984375" style="92" bestFit="1" customWidth="1"/>
    <col min="39" max="39" width="11.09765625" style="92" bestFit="1" customWidth="1"/>
    <col min="40" max="40" width="10.8984375" style="92" bestFit="1" customWidth="1"/>
    <col min="41" max="41" width="10.3984375" style="92" bestFit="1" customWidth="1"/>
    <col min="42" max="42" width="11.8984375" style="92" bestFit="1" customWidth="1"/>
    <col min="43" max="43" width="11.69921875" style="92" bestFit="1" customWidth="1"/>
    <col min="44" max="44" width="11.3984375" style="92" bestFit="1" customWidth="1"/>
    <col min="45" max="46" width="10.5" style="92" bestFit="1" customWidth="1"/>
    <col min="47" max="47" width="9.8984375" style="92" bestFit="1" customWidth="1"/>
    <col min="48" max="49" width="10.3984375" style="92" bestFit="1" customWidth="1"/>
    <col min="50" max="50" width="11.19921875" style="92" bestFit="1" customWidth="1"/>
    <col min="51" max="51" width="12.5" style="92" bestFit="1" customWidth="1"/>
    <col min="52" max="52" width="10.3984375" style="92" bestFit="1" customWidth="1"/>
    <col min="53" max="55" width="11" style="92" bestFit="1" customWidth="1"/>
    <col min="56" max="57" width="10.8984375" style="92" bestFit="1" customWidth="1"/>
    <col min="58" max="58" width="9.5" style="92" bestFit="1" customWidth="1"/>
    <col min="59" max="59" width="9.19921875" style="92" bestFit="1" customWidth="1"/>
    <col min="60" max="60" width="9.69921875" style="92" bestFit="1" customWidth="1"/>
    <col min="61" max="61" width="9.8984375" style="92" bestFit="1" customWidth="1"/>
    <col min="62" max="63" width="10.3984375" style="92" bestFit="1" customWidth="1"/>
    <col min="64" max="64" width="10.19921875" style="92" bestFit="1" customWidth="1"/>
    <col min="65" max="65" width="11.5" style="92" bestFit="1" customWidth="1"/>
    <col min="66" max="66" width="9.5" style="92" bestFit="1" customWidth="1"/>
    <col min="67" max="67" width="10" style="92" bestFit="1" customWidth="1"/>
    <col min="68" max="69" width="10.19921875" style="92" bestFit="1" customWidth="1"/>
    <col min="70" max="70" width="9.8984375" style="92" bestFit="1" customWidth="1"/>
    <col min="71" max="71" width="8.8984375" style="92" bestFit="1" customWidth="1"/>
    <col min="72" max="72" width="9.8984375" style="92" bestFit="1" customWidth="1"/>
    <col min="73" max="75" width="10.3984375" style="92" bestFit="1" customWidth="1"/>
    <col min="76" max="76" width="10" style="92" bestFit="1" customWidth="1"/>
    <col min="77" max="78" width="11.19921875" style="92" bestFit="1" customWidth="1"/>
    <col min="79" max="79" width="12.5" style="92" bestFit="1" customWidth="1"/>
    <col min="80" max="80" width="10.3984375" style="92" bestFit="1" customWidth="1"/>
    <col min="81" max="82" width="11" style="92" bestFit="1" customWidth="1"/>
    <col min="83" max="83" width="12.59765625" style="92" bestFit="1" customWidth="1"/>
    <col min="84" max="84" width="11" style="92" bestFit="1" customWidth="1"/>
    <col min="85" max="86" width="10.8984375" style="92" bestFit="1" customWidth="1"/>
    <col min="87" max="88" width="9.5" style="92" bestFit="1" customWidth="1"/>
    <col min="89" max="89" width="9.19921875" style="92" bestFit="1" customWidth="1"/>
    <col min="90" max="91" width="11" style="92" bestFit="1" customWidth="1"/>
    <col min="92" max="93" width="10.8984375" style="92" bestFit="1" customWidth="1"/>
    <col min="94" max="94" width="9.5" style="92" bestFit="1" customWidth="1"/>
    <col min="95" max="96" width="11" style="92" bestFit="1" customWidth="1"/>
    <col min="97" max="98" width="10.8984375" style="92" bestFit="1" customWidth="1"/>
    <col min="99" max="99" width="9.5" style="92" bestFit="1" customWidth="1"/>
    <col min="100" max="100" width="10" style="92" bestFit="1" customWidth="1"/>
    <col min="101" max="101" width="11" style="92" bestFit="1" customWidth="1"/>
    <col min="102" max="102" width="10.59765625" style="92" bestFit="1" customWidth="1"/>
    <col min="103" max="103" width="12.19921875" style="92" bestFit="1" customWidth="1"/>
    <col min="104" max="104" width="11" style="92" bestFit="1" customWidth="1"/>
    <col min="105" max="105" width="10.8984375" style="92" bestFit="1" customWidth="1"/>
    <col min="106" max="106" width="11" style="92" bestFit="1" customWidth="1"/>
    <col min="107" max="107" width="11.3984375" style="92" bestFit="1" customWidth="1"/>
    <col min="108" max="108" width="10.8984375" style="92" bestFit="1" customWidth="1"/>
    <col min="109" max="109" width="9.59765625" style="92" bestFit="1" customWidth="1"/>
    <col min="110" max="111" width="9.5" style="92" bestFit="1" customWidth="1"/>
    <col min="112" max="112" width="10" style="92" bestFit="1" customWidth="1"/>
    <col min="113" max="113" width="10.59765625" style="92" bestFit="1" customWidth="1"/>
    <col min="114" max="114" width="11" style="92" bestFit="1" customWidth="1"/>
    <col min="115" max="115" width="10.8984375" style="92" bestFit="1" customWidth="1"/>
    <col min="116" max="116" width="11" style="92" bestFit="1" customWidth="1"/>
    <col min="117" max="117" width="9.5" style="92" bestFit="1" customWidth="1"/>
    <col min="118" max="118" width="10" style="92" bestFit="1" customWidth="1"/>
    <col min="119" max="119" width="12.3984375" style="92" bestFit="1" customWidth="1"/>
    <col min="120" max="120" width="10.5" style="92" bestFit="1" customWidth="1"/>
    <col min="121" max="121" width="11.8984375" style="92" bestFit="1" customWidth="1"/>
    <col min="122" max="122" width="10.3984375" style="92" bestFit="1" customWidth="1"/>
    <col min="123" max="123" width="10.5" style="92" bestFit="1" customWidth="1"/>
    <col min="124" max="124" width="11" style="92" bestFit="1" customWidth="1"/>
    <col min="125" max="125" width="10.8984375" style="92" bestFit="1" customWidth="1"/>
    <col min="126" max="126" width="9.5" style="92" bestFit="1" customWidth="1"/>
    <col min="127" max="127" width="11.3984375" style="92" bestFit="1" customWidth="1"/>
    <col min="128" max="128" width="9.5" style="92" bestFit="1" customWidth="1"/>
    <col min="129" max="129" width="10.5" style="92" bestFit="1" customWidth="1"/>
    <col min="130" max="130" width="11" style="92" bestFit="1" customWidth="1"/>
    <col min="131" max="131" width="11.8984375" style="92" bestFit="1" customWidth="1"/>
    <col min="132" max="132" width="10.3984375" style="92" bestFit="1" customWidth="1"/>
    <col min="133" max="133" width="10.5" style="92" bestFit="1" customWidth="1"/>
    <col min="134" max="135" width="10.8984375" style="92" bestFit="1" customWidth="1"/>
    <col min="136" max="136" width="10.59765625" style="92" bestFit="1" customWidth="1"/>
    <col min="137" max="137" width="11.8984375" style="92" bestFit="1" customWidth="1"/>
    <col min="138" max="138" width="11" style="92" bestFit="1" customWidth="1"/>
    <col min="139" max="139" width="10.5" style="92" bestFit="1" customWidth="1"/>
    <col min="140" max="140" width="11" style="92" bestFit="1" customWidth="1"/>
    <col min="141" max="141" width="10.3984375" style="92" bestFit="1" customWidth="1"/>
    <col min="142" max="142" width="12.59765625" style="92" bestFit="1" customWidth="1"/>
    <col min="143" max="143" width="10.8984375" style="92" bestFit="1" customWidth="1"/>
    <col min="144" max="144" width="10.59765625" style="92" bestFit="1" customWidth="1"/>
    <col min="145" max="145" width="11.69921875" style="92" bestFit="1" customWidth="1"/>
    <col min="146" max="146" width="12.3984375" style="92" bestFit="1" customWidth="1"/>
    <col min="147" max="148" width="10.5" style="92" bestFit="1" customWidth="1"/>
    <col min="149" max="149" width="11.5" style="92" bestFit="1" customWidth="1"/>
    <col min="150" max="150" width="10.3984375" style="92" bestFit="1" customWidth="1"/>
    <col min="151" max="151" width="11.8984375" style="92" bestFit="1" customWidth="1"/>
    <col min="152" max="152" width="11.3984375" style="92" bestFit="1" customWidth="1"/>
    <col min="153" max="153" width="10.3984375" style="92" bestFit="1" customWidth="1"/>
    <col min="154" max="154" width="11.8984375" style="92" bestFit="1" customWidth="1"/>
    <col min="155" max="155" width="10.5" style="92" bestFit="1" customWidth="1"/>
    <col min="156" max="156" width="11" style="92" bestFit="1" customWidth="1"/>
    <col min="157" max="157" width="11.5" style="92" bestFit="1" customWidth="1"/>
    <col min="158" max="158" width="11" style="92" bestFit="1" customWidth="1"/>
    <col min="159" max="159" width="11.8984375" style="92" bestFit="1" customWidth="1"/>
    <col min="160" max="160" width="11.3984375" style="92" bestFit="1" customWidth="1"/>
    <col min="161" max="161" width="10.5" style="92" bestFit="1" customWidth="1"/>
    <col min="162" max="162" width="12.3984375" style="92" bestFit="1" customWidth="1"/>
    <col min="163" max="163" width="11.69921875" style="92" bestFit="1" customWidth="1"/>
    <col min="164" max="164" width="11.59765625" style="92" bestFit="1" customWidth="1"/>
    <col min="165" max="165" width="11.5" style="92" bestFit="1" customWidth="1"/>
    <col min="166" max="166" width="10.09765625" style="92" bestFit="1" customWidth="1"/>
    <col min="167" max="167" width="11" style="92" bestFit="1" customWidth="1"/>
    <col min="168" max="168" width="11.3984375" style="92" bestFit="1" customWidth="1"/>
    <col min="169" max="169" width="11.09765625" style="92" bestFit="1" customWidth="1"/>
    <col min="170" max="170" width="11.3984375" style="92" bestFit="1" customWidth="1"/>
    <col min="171" max="171" width="10.8984375" style="92" bestFit="1" customWidth="1"/>
    <col min="172" max="172" width="11.3984375" style="92" bestFit="1" customWidth="1"/>
    <col min="173" max="173" width="10.8984375" style="92" bestFit="1" customWidth="1"/>
    <col min="174" max="174" width="11.3984375" style="92" bestFit="1" customWidth="1"/>
    <col min="175" max="175" width="10.5" style="92" bestFit="1" customWidth="1"/>
    <col min="176" max="176" width="11.3984375" style="92" bestFit="1" customWidth="1"/>
    <col min="177" max="177" width="11.69921875" style="92" bestFit="1" customWidth="1"/>
    <col min="178" max="178" width="11.3984375" style="92" bestFit="1" customWidth="1"/>
    <col min="179" max="179" width="10.59765625" style="92" bestFit="1" customWidth="1"/>
    <col min="180" max="180" width="11.8984375" style="92" bestFit="1" customWidth="1"/>
    <col min="181" max="181" width="10.09765625" style="92" bestFit="1" customWidth="1"/>
    <col min="182" max="183" width="7.5" style="92" bestFit="1" customWidth="1"/>
    <col min="184" max="184" width="9.3984375" style="92" bestFit="1" customWidth="1"/>
    <col min="185" max="185" width="9" style="92"/>
    <col min="186" max="186" width="4.69921875" style="92" bestFit="1" customWidth="1"/>
    <col min="187" max="187" width="9.5" style="92" bestFit="1" customWidth="1"/>
    <col min="188" max="188" width="5.19921875" style="92" bestFit="1" customWidth="1"/>
    <col min="189" max="189" width="10.3984375" style="92" bestFit="1" customWidth="1"/>
    <col min="190" max="190" width="18.8984375" style="92" bestFit="1" customWidth="1"/>
    <col min="191" max="191" width="5.8984375" style="92" bestFit="1" customWidth="1"/>
    <col min="192" max="192" width="14.09765625" style="92" bestFit="1" customWidth="1"/>
    <col min="193" max="16384" width="9" style="92"/>
  </cols>
  <sheetData>
    <row r="1" spans="1:192" s="304" customFormat="1" ht="11">
      <c r="A1" s="303"/>
      <c r="D1" s="305"/>
      <c r="E1" s="306"/>
      <c r="F1" s="306"/>
      <c r="G1" s="309" t="s">
        <v>0</v>
      </c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6"/>
      <c r="AM1" s="306"/>
      <c r="AN1" s="306"/>
      <c r="AO1" s="306"/>
      <c r="AP1" s="306"/>
      <c r="AQ1" s="306"/>
      <c r="AR1" s="306"/>
      <c r="AS1" s="306"/>
      <c r="AT1" s="306"/>
      <c r="AU1" s="306"/>
      <c r="AV1" s="306"/>
      <c r="AW1" s="306"/>
      <c r="AX1" s="306"/>
      <c r="AY1" s="306"/>
      <c r="AZ1" s="306"/>
      <c r="BA1" s="306"/>
      <c r="BB1" s="306"/>
      <c r="BC1" s="306"/>
      <c r="BD1" s="306"/>
      <c r="BE1" s="306"/>
      <c r="BF1" s="306"/>
      <c r="BG1" s="306"/>
      <c r="BH1" s="306"/>
      <c r="BI1" s="306"/>
      <c r="BJ1" s="306"/>
      <c r="BK1" s="306"/>
      <c r="BL1" s="306"/>
      <c r="BM1" s="306"/>
      <c r="BN1" s="306"/>
      <c r="BO1" s="306"/>
      <c r="BP1" s="340" t="s">
        <v>945</v>
      </c>
      <c r="BQ1" s="340" t="s">
        <v>945</v>
      </c>
      <c r="BR1" s="306"/>
      <c r="BS1" s="306"/>
      <c r="BT1" s="306"/>
      <c r="BU1" s="306"/>
      <c r="BV1" s="306"/>
      <c r="BW1" s="306"/>
      <c r="BX1" s="306"/>
      <c r="BY1" s="306"/>
      <c r="BZ1" s="306"/>
      <c r="CA1" s="306"/>
      <c r="CB1" s="306"/>
      <c r="CC1" s="306"/>
      <c r="CD1" s="306"/>
      <c r="CE1" s="306"/>
      <c r="CF1" s="306"/>
      <c r="CG1" s="306"/>
      <c r="CH1" s="306"/>
      <c r="CI1" s="306"/>
      <c r="CJ1" s="306"/>
      <c r="CK1" s="306"/>
      <c r="CL1" s="306"/>
      <c r="CM1" s="306"/>
      <c r="CN1" s="306"/>
      <c r="CO1" s="306"/>
      <c r="CP1" s="306"/>
      <c r="CQ1" s="306"/>
      <c r="CR1" s="306"/>
      <c r="CS1" s="306"/>
      <c r="CT1" s="306"/>
      <c r="CU1" s="306"/>
      <c r="CV1" s="306"/>
      <c r="CW1" s="306"/>
      <c r="CX1" s="306"/>
      <c r="CY1" s="306"/>
      <c r="CZ1" s="306"/>
      <c r="DA1" s="306"/>
      <c r="DB1" s="306"/>
      <c r="DC1" s="306"/>
      <c r="DD1" s="306"/>
      <c r="DE1" s="306"/>
      <c r="DF1" s="306"/>
      <c r="DG1" s="306"/>
      <c r="DH1" s="306"/>
      <c r="DI1" s="306"/>
      <c r="DJ1" s="306"/>
      <c r="DK1" s="306"/>
      <c r="DL1" s="306"/>
      <c r="DM1" s="306"/>
      <c r="DN1" s="306"/>
      <c r="DO1" s="306"/>
      <c r="DP1" s="306"/>
      <c r="DQ1" s="306"/>
      <c r="DR1" s="306"/>
      <c r="DS1" s="306"/>
      <c r="DT1" s="306"/>
      <c r="DU1" s="306"/>
      <c r="DV1" s="306"/>
      <c r="DW1" s="306"/>
      <c r="DX1" s="306"/>
      <c r="DY1" s="306"/>
      <c r="DZ1" s="306"/>
      <c r="EA1" s="306"/>
      <c r="EB1" s="306"/>
      <c r="EC1" s="306"/>
      <c r="ED1" s="306"/>
      <c r="EE1" s="306"/>
      <c r="EF1" s="306"/>
      <c r="EG1" s="306"/>
      <c r="EH1" s="306"/>
      <c r="EI1" s="306"/>
      <c r="EJ1" s="306"/>
      <c r="EK1" s="306"/>
      <c r="EL1" s="306"/>
      <c r="EM1" s="306"/>
      <c r="EN1" s="306"/>
      <c r="EO1" s="306"/>
      <c r="EP1" s="306"/>
      <c r="EQ1" s="306"/>
      <c r="ER1" s="306"/>
      <c r="ES1" s="306"/>
      <c r="ET1" s="306"/>
      <c r="EU1" s="306"/>
      <c r="EV1" s="306"/>
      <c r="EW1" s="306"/>
      <c r="EX1" s="306"/>
      <c r="EY1" s="306"/>
      <c r="EZ1" s="306"/>
      <c r="FA1" s="306"/>
      <c r="FB1" s="306"/>
      <c r="FC1" s="306"/>
      <c r="FD1" s="306"/>
      <c r="FE1" s="306"/>
      <c r="FF1" s="306"/>
      <c r="FG1" s="306"/>
      <c r="FH1" s="306"/>
      <c r="FI1" s="306"/>
      <c r="FJ1" s="306"/>
      <c r="FK1" s="306"/>
      <c r="FL1" s="306"/>
      <c r="FM1" s="306"/>
      <c r="FN1" s="306"/>
      <c r="FO1" s="306"/>
      <c r="FP1" s="306"/>
      <c r="FQ1" s="306"/>
      <c r="FR1" s="306"/>
      <c r="FS1" s="306"/>
      <c r="FT1" s="306"/>
      <c r="FU1" s="306"/>
      <c r="FV1" s="306"/>
      <c r="FW1" s="306"/>
      <c r="FX1" s="341" t="s">
        <v>1</v>
      </c>
      <c r="FY1" s="341" t="s">
        <v>1</v>
      </c>
      <c r="FZ1" s="306"/>
      <c r="GA1" s="306"/>
      <c r="GB1" s="341" t="s">
        <v>1</v>
      </c>
      <c r="GC1" s="306"/>
      <c r="GD1" s="307"/>
      <c r="GE1" s="306"/>
      <c r="GF1" s="306"/>
    </row>
    <row r="2" spans="1:192" s="308" customFormat="1" ht="11">
      <c r="E2" s="309"/>
      <c r="F2" s="309"/>
      <c r="G2" s="309" t="s">
        <v>2</v>
      </c>
      <c r="H2" s="310" t="s">
        <v>850</v>
      </c>
      <c r="I2" s="310" t="s">
        <v>3</v>
      </c>
      <c r="J2" s="310" t="s">
        <v>850</v>
      </c>
      <c r="K2" s="310" t="s">
        <v>850</v>
      </c>
      <c r="L2" s="310" t="s">
        <v>850</v>
      </c>
      <c r="M2" s="310" t="s">
        <v>850</v>
      </c>
      <c r="N2" s="310" t="s">
        <v>4</v>
      </c>
      <c r="O2" s="310" t="s">
        <v>850</v>
      </c>
      <c r="P2" s="310" t="s">
        <v>850</v>
      </c>
      <c r="Q2" s="310" t="s">
        <v>850</v>
      </c>
      <c r="R2" s="310" t="s">
        <v>850</v>
      </c>
      <c r="S2" s="310" t="s">
        <v>4</v>
      </c>
      <c r="T2" s="310" t="s">
        <v>5</v>
      </c>
      <c r="U2" s="310" t="s">
        <v>850</v>
      </c>
      <c r="V2" s="310" t="s">
        <v>850</v>
      </c>
      <c r="W2" s="310" t="s">
        <v>850</v>
      </c>
      <c r="X2" s="310" t="s">
        <v>4</v>
      </c>
      <c r="Y2" s="310" t="s">
        <v>5</v>
      </c>
      <c r="Z2" s="310" t="s">
        <v>850</v>
      </c>
      <c r="AA2" s="310" t="s">
        <v>4</v>
      </c>
      <c r="AB2" s="310" t="s">
        <v>5</v>
      </c>
      <c r="AC2" s="310" t="s">
        <v>5</v>
      </c>
      <c r="AD2" s="310" t="s">
        <v>5</v>
      </c>
      <c r="AE2" s="310" t="s">
        <v>5</v>
      </c>
      <c r="AF2" s="310" t="s">
        <v>850</v>
      </c>
      <c r="AG2" s="310" t="s">
        <v>850</v>
      </c>
      <c r="AH2" s="310" t="s">
        <v>4</v>
      </c>
      <c r="AI2" s="310" t="s">
        <v>850</v>
      </c>
      <c r="AJ2" s="310" t="s">
        <v>850</v>
      </c>
      <c r="AK2" s="310" t="s">
        <v>850</v>
      </c>
      <c r="AL2" s="310" t="s">
        <v>850</v>
      </c>
      <c r="AM2" s="310" t="s">
        <v>850</v>
      </c>
      <c r="AN2" s="310" t="s">
        <v>850</v>
      </c>
      <c r="AO2" s="310" t="s">
        <v>850</v>
      </c>
      <c r="AP2" s="310" t="s">
        <v>850</v>
      </c>
      <c r="AQ2" s="310" t="s">
        <v>850</v>
      </c>
      <c r="AR2" s="310" t="s">
        <v>850</v>
      </c>
      <c r="AS2" s="310" t="s">
        <v>850</v>
      </c>
      <c r="AT2" s="310" t="s">
        <v>850</v>
      </c>
      <c r="AU2" s="310" t="s">
        <v>3</v>
      </c>
      <c r="AV2" s="310" t="s">
        <v>850</v>
      </c>
      <c r="AW2" s="310" t="s">
        <v>850</v>
      </c>
      <c r="AX2" s="310" t="s">
        <v>3</v>
      </c>
      <c r="AY2" s="310" t="s">
        <v>850</v>
      </c>
      <c r="AZ2" s="310" t="s">
        <v>5</v>
      </c>
      <c r="BA2" s="310" t="s">
        <v>4</v>
      </c>
      <c r="BB2" s="310" t="s">
        <v>4</v>
      </c>
      <c r="BC2" s="310" t="s">
        <v>5</v>
      </c>
      <c r="BD2" s="310" t="s">
        <v>5</v>
      </c>
      <c r="BE2" s="310" t="s">
        <v>3</v>
      </c>
      <c r="BF2" s="310" t="s">
        <v>4</v>
      </c>
      <c r="BG2" s="310" t="s">
        <v>5</v>
      </c>
      <c r="BH2" s="310" t="s">
        <v>850</v>
      </c>
      <c r="BI2" s="310" t="s">
        <v>850</v>
      </c>
      <c r="BJ2" s="310" t="s">
        <v>850</v>
      </c>
      <c r="BK2" s="310" t="s">
        <v>850</v>
      </c>
      <c r="BL2" s="310" t="s">
        <v>5</v>
      </c>
      <c r="BM2" s="310" t="s">
        <v>850</v>
      </c>
      <c r="BN2" s="310" t="s">
        <v>3</v>
      </c>
      <c r="BO2" s="310" t="s">
        <v>3</v>
      </c>
      <c r="BP2" s="310" t="s">
        <v>5</v>
      </c>
      <c r="BQ2" s="310" t="s">
        <v>5</v>
      </c>
      <c r="BR2" s="310" t="s">
        <v>850</v>
      </c>
      <c r="BS2" s="310" t="s">
        <v>4</v>
      </c>
      <c r="BT2" s="310" t="s">
        <v>4</v>
      </c>
      <c r="BU2" s="310" t="s">
        <v>850</v>
      </c>
      <c r="BV2" s="310" t="s">
        <v>850</v>
      </c>
      <c r="BW2" s="310" t="s">
        <v>850</v>
      </c>
      <c r="BX2" s="310" t="s">
        <v>850</v>
      </c>
      <c r="BY2" s="310" t="s">
        <v>5</v>
      </c>
      <c r="BZ2" s="310" t="s">
        <v>4</v>
      </c>
      <c r="CA2" s="310" t="s">
        <v>4</v>
      </c>
      <c r="CB2" s="310" t="s">
        <v>5</v>
      </c>
      <c r="CC2" s="310" t="s">
        <v>4</v>
      </c>
      <c r="CD2" s="310" t="s">
        <v>4</v>
      </c>
      <c r="CE2" s="310" t="s">
        <v>5</v>
      </c>
      <c r="CF2" s="310" t="s">
        <v>5</v>
      </c>
      <c r="CG2" s="310" t="s">
        <v>3</v>
      </c>
      <c r="CH2" s="310" t="s">
        <v>850</v>
      </c>
      <c r="CI2" s="310" t="s">
        <v>4</v>
      </c>
      <c r="CJ2" s="310" t="s">
        <v>4</v>
      </c>
      <c r="CK2" s="310" t="s">
        <v>4</v>
      </c>
      <c r="CL2" s="310" t="s">
        <v>4</v>
      </c>
      <c r="CM2" s="310" t="s">
        <v>5</v>
      </c>
      <c r="CN2" s="310" t="s">
        <v>5</v>
      </c>
      <c r="CO2" s="310" t="s">
        <v>850</v>
      </c>
      <c r="CP2" s="310" t="s">
        <v>5</v>
      </c>
      <c r="CQ2" s="310" t="s">
        <v>5</v>
      </c>
      <c r="CR2" s="310" t="s">
        <v>5</v>
      </c>
      <c r="CS2" s="310" t="s">
        <v>5</v>
      </c>
      <c r="CT2" s="310" t="s">
        <v>850</v>
      </c>
      <c r="CU2" s="310" t="s">
        <v>850</v>
      </c>
      <c r="CV2" s="310" t="s">
        <v>850</v>
      </c>
      <c r="CW2" s="310" t="s">
        <v>850</v>
      </c>
      <c r="CX2" s="310" t="s">
        <v>5</v>
      </c>
      <c r="CY2" s="310" t="s">
        <v>5</v>
      </c>
      <c r="CZ2" s="310" t="s">
        <v>5</v>
      </c>
      <c r="DA2" s="310" t="s">
        <v>5</v>
      </c>
      <c r="DB2" s="310" t="s">
        <v>6</v>
      </c>
      <c r="DC2" s="310" t="s">
        <v>850</v>
      </c>
      <c r="DD2" s="310" t="s">
        <v>850</v>
      </c>
      <c r="DE2" s="310" t="s">
        <v>850</v>
      </c>
      <c r="DF2" s="310" t="s">
        <v>850</v>
      </c>
      <c r="DG2" s="310" t="s">
        <v>9</v>
      </c>
      <c r="DH2" s="310" t="s">
        <v>850</v>
      </c>
      <c r="DI2" s="310" t="s">
        <v>4</v>
      </c>
      <c r="DJ2" s="310" t="s">
        <v>5</v>
      </c>
      <c r="DK2" s="310" t="s">
        <v>850</v>
      </c>
      <c r="DL2" s="310" t="s">
        <v>6</v>
      </c>
      <c r="DM2" s="310" t="s">
        <v>8</v>
      </c>
      <c r="DN2" s="310" t="s">
        <v>850</v>
      </c>
      <c r="DO2" s="310" t="s">
        <v>850</v>
      </c>
      <c r="DP2" s="310" t="s">
        <v>4</v>
      </c>
      <c r="DQ2" s="310" t="s">
        <v>850</v>
      </c>
      <c r="DR2" s="310" t="s">
        <v>9</v>
      </c>
      <c r="DS2" s="310" t="s">
        <v>850</v>
      </c>
      <c r="DT2" s="310" t="s">
        <v>850</v>
      </c>
      <c r="DU2" s="310" t="s">
        <v>850</v>
      </c>
      <c r="DV2" s="310" t="s">
        <v>850</v>
      </c>
      <c r="DW2" s="310" t="s">
        <v>850</v>
      </c>
      <c r="DX2" s="310" t="s">
        <v>850</v>
      </c>
      <c r="DY2" s="310" t="s">
        <v>9</v>
      </c>
      <c r="DZ2" s="310" t="s">
        <v>850</v>
      </c>
      <c r="EA2" s="310" t="s">
        <v>850</v>
      </c>
      <c r="EB2" s="310" t="s">
        <v>9</v>
      </c>
      <c r="EC2" s="310" t="s">
        <v>850</v>
      </c>
      <c r="ED2" s="310" t="s">
        <v>850</v>
      </c>
      <c r="EE2" s="310" t="s">
        <v>850</v>
      </c>
      <c r="EF2" s="310" t="s">
        <v>4</v>
      </c>
      <c r="EG2" s="310" t="s">
        <v>850</v>
      </c>
      <c r="EH2" s="310" t="s">
        <v>6</v>
      </c>
      <c r="EI2" s="310" t="s">
        <v>8</v>
      </c>
      <c r="EJ2" s="310" t="s">
        <v>850</v>
      </c>
      <c r="EK2" s="310" t="s">
        <v>9</v>
      </c>
      <c r="EL2" s="310" t="s">
        <v>4</v>
      </c>
      <c r="EM2" s="310" t="s">
        <v>9</v>
      </c>
      <c r="EN2" s="310" t="s">
        <v>9</v>
      </c>
      <c r="EO2" s="310" t="s">
        <v>850</v>
      </c>
      <c r="EP2" s="310" t="s">
        <v>4</v>
      </c>
      <c r="EQ2" s="310" t="s">
        <v>8</v>
      </c>
      <c r="ER2" s="310" t="s">
        <v>9</v>
      </c>
      <c r="ES2" s="310" t="s">
        <v>4</v>
      </c>
      <c r="ET2" s="310" t="s">
        <v>850</v>
      </c>
      <c r="EU2" s="310" t="s">
        <v>4</v>
      </c>
      <c r="EV2" s="310" t="s">
        <v>4</v>
      </c>
      <c r="EW2" s="310" t="s">
        <v>9</v>
      </c>
      <c r="EX2" s="310" t="s">
        <v>850</v>
      </c>
      <c r="EY2" s="310" t="s">
        <v>3</v>
      </c>
      <c r="EZ2" s="310" t="s">
        <v>4</v>
      </c>
      <c r="FA2" s="310" t="s">
        <v>850</v>
      </c>
      <c r="FB2" s="310" t="s">
        <v>850</v>
      </c>
      <c r="FC2" s="310" t="s">
        <v>850</v>
      </c>
      <c r="FD2" s="310" t="s">
        <v>850</v>
      </c>
      <c r="FE2" s="310" t="s">
        <v>4</v>
      </c>
      <c r="FF2" s="310" t="s">
        <v>4</v>
      </c>
      <c r="FG2" s="310" t="s">
        <v>850</v>
      </c>
      <c r="FH2" s="310" t="s">
        <v>9</v>
      </c>
      <c r="FI2" s="310" t="s">
        <v>4</v>
      </c>
      <c r="FJ2" s="310" t="s">
        <v>850</v>
      </c>
      <c r="FK2" s="310" t="s">
        <v>4</v>
      </c>
      <c r="FL2" s="310" t="s">
        <v>8</v>
      </c>
      <c r="FM2" s="310" t="s">
        <v>850</v>
      </c>
      <c r="FN2" s="310" t="s">
        <v>3</v>
      </c>
      <c r="FO2" s="310" t="s">
        <v>850</v>
      </c>
      <c r="FP2" s="310" t="s">
        <v>8</v>
      </c>
      <c r="FQ2" s="310" t="s">
        <v>4</v>
      </c>
      <c r="FR2" s="310" t="s">
        <v>8</v>
      </c>
      <c r="FS2" s="310" t="s">
        <v>850</v>
      </c>
      <c r="FT2" s="310" t="s">
        <v>850</v>
      </c>
      <c r="FU2" s="310" t="s">
        <v>7</v>
      </c>
      <c r="FV2" s="310" t="s">
        <v>9</v>
      </c>
      <c r="FW2" s="310" t="s">
        <v>850</v>
      </c>
      <c r="FX2" s="310" t="s">
        <v>3</v>
      </c>
      <c r="FY2" s="310" t="s">
        <v>3</v>
      </c>
      <c r="FZ2" s="310" t="s">
        <v>850</v>
      </c>
      <c r="GA2" s="310" t="s">
        <v>850</v>
      </c>
      <c r="GB2" s="310" t="s">
        <v>3</v>
      </c>
      <c r="GC2" s="310" t="s">
        <v>850</v>
      </c>
      <c r="GD2" s="307"/>
      <c r="GE2" s="309"/>
      <c r="GF2" s="309"/>
    </row>
    <row r="3" spans="1:192" s="308" customFormat="1">
      <c r="E3" s="309"/>
      <c r="F3" s="309"/>
      <c r="G3" s="309" t="s">
        <v>10</v>
      </c>
      <c r="H3" s="310">
        <v>10</v>
      </c>
      <c r="I3" s="310">
        <v>5</v>
      </c>
      <c r="J3" s="310">
        <v>5</v>
      </c>
      <c r="K3" s="310">
        <v>10</v>
      </c>
      <c r="L3" s="310">
        <v>10</v>
      </c>
      <c r="M3" s="310">
        <v>5</v>
      </c>
      <c r="N3" s="310">
        <v>5</v>
      </c>
      <c r="O3" s="310">
        <v>10</v>
      </c>
      <c r="P3" s="310">
        <v>10</v>
      </c>
      <c r="Q3" s="310">
        <v>10</v>
      </c>
      <c r="R3" s="310"/>
      <c r="S3" s="310">
        <v>5</v>
      </c>
      <c r="T3" s="310">
        <v>10</v>
      </c>
      <c r="U3" s="310">
        <v>10</v>
      </c>
      <c r="V3" s="310">
        <v>10</v>
      </c>
      <c r="W3" s="310"/>
      <c r="X3" s="310">
        <v>10</v>
      </c>
      <c r="Y3" s="310">
        <v>10</v>
      </c>
      <c r="Z3" s="310">
        <v>10</v>
      </c>
      <c r="AA3" s="310">
        <v>10</v>
      </c>
      <c r="AB3" s="310">
        <v>10</v>
      </c>
      <c r="AC3" s="310">
        <v>10</v>
      </c>
      <c r="AD3" s="310">
        <v>10</v>
      </c>
      <c r="AE3" s="310">
        <v>10</v>
      </c>
      <c r="AF3" s="310">
        <v>10</v>
      </c>
      <c r="AG3" s="310">
        <v>10</v>
      </c>
      <c r="AH3" s="310">
        <v>10</v>
      </c>
      <c r="AI3" s="310">
        <v>10</v>
      </c>
      <c r="AJ3" s="310">
        <v>10</v>
      </c>
      <c r="AK3" s="310">
        <v>10</v>
      </c>
      <c r="AL3" s="310">
        <v>10</v>
      </c>
      <c r="AM3" s="310">
        <v>10</v>
      </c>
      <c r="AN3" s="310">
        <v>10</v>
      </c>
      <c r="AO3" s="310">
        <v>10</v>
      </c>
      <c r="AP3" s="310">
        <v>10</v>
      </c>
      <c r="AQ3" s="310">
        <v>10</v>
      </c>
      <c r="AR3" s="310">
        <v>10</v>
      </c>
      <c r="AS3" s="310">
        <v>10</v>
      </c>
      <c r="AT3" s="310">
        <v>10</v>
      </c>
      <c r="AU3" s="310">
        <v>1</v>
      </c>
      <c r="AV3" s="310">
        <v>1</v>
      </c>
      <c r="AW3" s="310">
        <v>1</v>
      </c>
      <c r="AX3" s="310">
        <v>4</v>
      </c>
      <c r="AY3" s="310">
        <v>5</v>
      </c>
      <c r="AZ3" s="310">
        <v>5</v>
      </c>
      <c r="BA3" s="310">
        <v>5</v>
      </c>
      <c r="BB3" s="310">
        <v>5</v>
      </c>
      <c r="BC3" s="310">
        <v>10</v>
      </c>
      <c r="BD3" s="310">
        <v>10</v>
      </c>
      <c r="BE3" s="310">
        <v>10</v>
      </c>
      <c r="BF3" s="310">
        <v>10</v>
      </c>
      <c r="BG3" s="310">
        <v>10</v>
      </c>
      <c r="BH3" s="310">
        <v>5</v>
      </c>
      <c r="BI3" s="310">
        <v>1</v>
      </c>
      <c r="BJ3" s="310">
        <v>1</v>
      </c>
      <c r="BK3" s="310">
        <v>1</v>
      </c>
      <c r="BL3" s="310">
        <v>4</v>
      </c>
      <c r="BM3" s="310">
        <v>5</v>
      </c>
      <c r="BN3" s="310">
        <v>5</v>
      </c>
      <c r="BO3" s="310">
        <v>5</v>
      </c>
      <c r="BP3" s="310">
        <v>10</v>
      </c>
      <c r="BQ3" s="310">
        <v>10</v>
      </c>
      <c r="BR3" s="310">
        <v>10</v>
      </c>
      <c r="BS3" s="310">
        <v>10</v>
      </c>
      <c r="BT3" s="310">
        <v>1</v>
      </c>
      <c r="BU3" s="310">
        <v>1</v>
      </c>
      <c r="BV3" s="310">
        <v>1</v>
      </c>
      <c r="BW3" s="310">
        <v>1</v>
      </c>
      <c r="BX3" s="310">
        <v>1</v>
      </c>
      <c r="BY3" s="310">
        <v>4</v>
      </c>
      <c r="BZ3" s="310">
        <v>4</v>
      </c>
      <c r="CA3" s="310">
        <v>5</v>
      </c>
      <c r="CB3" s="310">
        <v>5</v>
      </c>
      <c r="CC3" s="310">
        <v>5</v>
      </c>
      <c r="CD3" s="310">
        <v>5</v>
      </c>
      <c r="CE3" s="310">
        <v>10</v>
      </c>
      <c r="CF3" s="310">
        <v>10</v>
      </c>
      <c r="CG3" s="310">
        <v>10</v>
      </c>
      <c r="CH3" s="310">
        <v>10</v>
      </c>
      <c r="CI3" s="310">
        <v>10</v>
      </c>
      <c r="CJ3" s="310">
        <v>10</v>
      </c>
      <c r="CK3" s="310">
        <v>10</v>
      </c>
      <c r="CL3" s="310">
        <v>5</v>
      </c>
      <c r="CM3" s="310">
        <v>10</v>
      </c>
      <c r="CN3" s="310">
        <v>10</v>
      </c>
      <c r="CO3" s="310">
        <v>10</v>
      </c>
      <c r="CP3" s="310">
        <v>10</v>
      </c>
      <c r="CQ3" s="310">
        <v>5</v>
      </c>
      <c r="CR3" s="310">
        <v>10</v>
      </c>
      <c r="CS3" s="310">
        <v>10</v>
      </c>
      <c r="CT3" s="310">
        <v>10</v>
      </c>
      <c r="CU3" s="310">
        <v>10</v>
      </c>
      <c r="CV3" s="310">
        <v>5</v>
      </c>
      <c r="CW3" s="310">
        <v>5</v>
      </c>
      <c r="CX3" s="310">
        <v>10</v>
      </c>
      <c r="CY3" s="310">
        <v>10</v>
      </c>
      <c r="CZ3" s="310">
        <v>10</v>
      </c>
      <c r="DA3" s="310">
        <v>10</v>
      </c>
      <c r="DB3" s="310">
        <v>10</v>
      </c>
      <c r="DC3" s="310">
        <v>5</v>
      </c>
      <c r="DD3" s="310">
        <v>10</v>
      </c>
      <c r="DE3" s="310">
        <v>10</v>
      </c>
      <c r="DF3" s="310">
        <v>10</v>
      </c>
      <c r="DG3" s="310">
        <v>10</v>
      </c>
      <c r="DH3" s="310">
        <v>5</v>
      </c>
      <c r="DI3" s="310">
        <v>10</v>
      </c>
      <c r="DJ3" s="310">
        <v>10</v>
      </c>
      <c r="DK3" s="310">
        <v>10</v>
      </c>
      <c r="DL3" s="310">
        <v>10</v>
      </c>
      <c r="DM3" s="310">
        <v>10</v>
      </c>
      <c r="DN3" s="310">
        <v>5</v>
      </c>
      <c r="DO3" s="310">
        <v>10</v>
      </c>
      <c r="DP3" s="310">
        <v>10</v>
      </c>
      <c r="DQ3" s="310">
        <v>10</v>
      </c>
      <c r="DR3" s="310">
        <v>10</v>
      </c>
      <c r="DS3" s="310">
        <v>20</v>
      </c>
      <c r="DT3" s="310">
        <v>10</v>
      </c>
      <c r="DU3" s="310">
        <v>20</v>
      </c>
      <c r="DV3" s="310">
        <v>20</v>
      </c>
      <c r="DW3" s="310">
        <v>20</v>
      </c>
      <c r="DX3" s="310">
        <v>10</v>
      </c>
      <c r="DY3" s="310">
        <v>10</v>
      </c>
      <c r="DZ3" s="310">
        <v>20</v>
      </c>
      <c r="EA3" s="310">
        <v>10</v>
      </c>
      <c r="EB3" s="310">
        <v>10</v>
      </c>
      <c r="EC3" s="310">
        <v>20</v>
      </c>
      <c r="ED3" s="310">
        <v>10</v>
      </c>
      <c r="EE3" s="310">
        <v>10</v>
      </c>
      <c r="EF3" s="310">
        <v>10</v>
      </c>
      <c r="EG3" s="310">
        <v>5</v>
      </c>
      <c r="EH3" s="310">
        <v>20</v>
      </c>
      <c r="EI3" s="310">
        <v>10</v>
      </c>
      <c r="EJ3" s="310">
        <v>20</v>
      </c>
      <c r="EK3" s="310">
        <v>10</v>
      </c>
      <c r="EL3" s="310">
        <v>10</v>
      </c>
      <c r="EM3" s="310">
        <v>20</v>
      </c>
      <c r="EN3" s="310">
        <v>20</v>
      </c>
      <c r="EO3" s="310">
        <v>10</v>
      </c>
      <c r="EP3" s="310">
        <v>20</v>
      </c>
      <c r="EQ3" s="310">
        <v>20</v>
      </c>
      <c r="ER3" s="310">
        <v>20</v>
      </c>
      <c r="ES3" s="310">
        <v>20</v>
      </c>
      <c r="ET3" s="310">
        <v>10</v>
      </c>
      <c r="EU3" s="310">
        <v>20</v>
      </c>
      <c r="EV3" s="310">
        <v>20</v>
      </c>
      <c r="EW3" s="310">
        <v>20</v>
      </c>
      <c r="EX3" s="310">
        <v>10</v>
      </c>
      <c r="EY3" s="310">
        <v>20</v>
      </c>
      <c r="EZ3" s="310">
        <v>5</v>
      </c>
      <c r="FA3" s="310">
        <v>20</v>
      </c>
      <c r="FB3" s="310">
        <v>20</v>
      </c>
      <c r="FC3" s="310">
        <v>10</v>
      </c>
      <c r="FD3" s="310">
        <v>20</v>
      </c>
      <c r="FE3" s="310">
        <v>20</v>
      </c>
      <c r="FF3" s="310">
        <v>10</v>
      </c>
      <c r="FG3" s="310">
        <v>20</v>
      </c>
      <c r="FH3" s="310">
        <v>20</v>
      </c>
      <c r="FI3" s="310">
        <v>20</v>
      </c>
      <c r="FJ3" s="310">
        <v>20</v>
      </c>
      <c r="FK3" s="310">
        <v>20</v>
      </c>
      <c r="FL3" s="310">
        <v>20</v>
      </c>
      <c r="FM3" s="310">
        <v>20</v>
      </c>
      <c r="FN3" s="310">
        <v>20</v>
      </c>
      <c r="FO3" s="310">
        <v>20</v>
      </c>
      <c r="FP3" s="310">
        <v>30</v>
      </c>
      <c r="FQ3" s="310">
        <v>20</v>
      </c>
      <c r="FR3" s="310">
        <v>30</v>
      </c>
      <c r="FS3" s="310">
        <v>30</v>
      </c>
      <c r="FT3" s="310">
        <v>20</v>
      </c>
      <c r="FU3" s="310">
        <v>30</v>
      </c>
      <c r="FV3" s="310">
        <v>30</v>
      </c>
      <c r="FW3" s="310">
        <v>20</v>
      </c>
      <c r="FX3" s="310"/>
      <c r="FY3" s="310"/>
      <c r="FZ3" s="310"/>
      <c r="GA3" s="310"/>
      <c r="GB3" s="310"/>
      <c r="GC3" s="310"/>
      <c r="GD3" s="307"/>
      <c r="GG3" s="309"/>
      <c r="GH3" s="309"/>
    </row>
    <row r="4" spans="1:192" s="311" customFormat="1" ht="40">
      <c r="G4" s="311" t="s">
        <v>12</v>
      </c>
      <c r="H4" s="312" t="s">
        <v>13</v>
      </c>
      <c r="I4" s="312" t="s">
        <v>14</v>
      </c>
      <c r="J4" s="312" t="s">
        <v>15</v>
      </c>
      <c r="K4" s="312" t="s">
        <v>16</v>
      </c>
      <c r="L4" s="312" t="s">
        <v>17</v>
      </c>
      <c r="M4" s="312" t="s">
        <v>18</v>
      </c>
      <c r="N4" s="312" t="s">
        <v>19</v>
      </c>
      <c r="O4" s="312" t="s">
        <v>20</v>
      </c>
      <c r="P4" s="312" t="s">
        <v>21</v>
      </c>
      <c r="Q4" s="312" t="s">
        <v>22</v>
      </c>
      <c r="R4" s="312" t="s">
        <v>22</v>
      </c>
      <c r="S4" s="312" t="s">
        <v>23</v>
      </c>
      <c r="T4" s="312" t="s">
        <v>24</v>
      </c>
      <c r="U4" s="312" t="s">
        <v>25</v>
      </c>
      <c r="V4" s="312" t="s">
        <v>26</v>
      </c>
      <c r="W4" s="312" t="s">
        <v>26</v>
      </c>
      <c r="X4" s="312" t="s">
        <v>27</v>
      </c>
      <c r="Y4" s="312" t="s">
        <v>28</v>
      </c>
      <c r="Z4" s="312" t="s">
        <v>637</v>
      </c>
      <c r="AA4" s="312" t="s">
        <v>29</v>
      </c>
      <c r="AB4" s="312" t="s">
        <v>30</v>
      </c>
      <c r="AC4" s="312" t="s">
        <v>31</v>
      </c>
      <c r="AD4" s="312" t="s">
        <v>32</v>
      </c>
      <c r="AE4" s="313" t="s">
        <v>33</v>
      </c>
      <c r="AF4" s="312" t="s">
        <v>34</v>
      </c>
      <c r="AG4" s="312" t="s">
        <v>35</v>
      </c>
      <c r="AH4" s="312" t="s">
        <v>36</v>
      </c>
      <c r="AI4" s="312" t="s">
        <v>37</v>
      </c>
      <c r="AJ4" s="312" t="s">
        <v>38</v>
      </c>
      <c r="AK4" s="312" t="s">
        <v>39</v>
      </c>
      <c r="AL4" s="312" t="s">
        <v>638</v>
      </c>
      <c r="AM4" s="312" t="s">
        <v>851</v>
      </c>
      <c r="AN4" s="312" t="s">
        <v>41</v>
      </c>
      <c r="AO4" s="312" t="s">
        <v>42</v>
      </c>
      <c r="AP4" s="312" t="s">
        <v>43</v>
      </c>
      <c r="AQ4" s="312" t="s">
        <v>44</v>
      </c>
      <c r="AR4" s="312" t="s">
        <v>45</v>
      </c>
      <c r="AS4" s="312" t="s">
        <v>46</v>
      </c>
      <c r="AT4" s="312" t="s">
        <v>47</v>
      </c>
      <c r="AU4" s="312" t="s">
        <v>48</v>
      </c>
      <c r="AV4" s="312" t="s">
        <v>48</v>
      </c>
      <c r="AW4" s="312" t="s">
        <v>48</v>
      </c>
      <c r="AX4" s="312" t="s">
        <v>49</v>
      </c>
      <c r="AY4" s="312" t="s">
        <v>50</v>
      </c>
      <c r="AZ4" s="312" t="s">
        <v>51</v>
      </c>
      <c r="BA4" s="314" t="s">
        <v>52</v>
      </c>
      <c r="BB4" s="314" t="s">
        <v>52</v>
      </c>
      <c r="BC4" s="312" t="s">
        <v>53</v>
      </c>
      <c r="BD4" s="312" t="s">
        <v>54</v>
      </c>
      <c r="BE4" s="312" t="s">
        <v>55</v>
      </c>
      <c r="BF4" s="312" t="s">
        <v>56</v>
      </c>
      <c r="BG4" s="312" t="s">
        <v>57</v>
      </c>
      <c r="BH4" s="312" t="s">
        <v>57</v>
      </c>
      <c r="BI4" s="312" t="s">
        <v>58</v>
      </c>
      <c r="BJ4" s="312" t="s">
        <v>58</v>
      </c>
      <c r="BK4" s="312" t="s">
        <v>58</v>
      </c>
      <c r="BL4" s="312" t="s">
        <v>59</v>
      </c>
      <c r="BM4" s="312" t="s">
        <v>60</v>
      </c>
      <c r="BN4" s="312" t="s">
        <v>61</v>
      </c>
      <c r="BO4" s="312" t="s">
        <v>62</v>
      </c>
      <c r="BP4" s="312" t="s">
        <v>63</v>
      </c>
      <c r="BQ4" s="312" t="s">
        <v>64</v>
      </c>
      <c r="BR4" s="312" t="s">
        <v>65</v>
      </c>
      <c r="BS4" s="312" t="s">
        <v>66</v>
      </c>
      <c r="BT4" s="313" t="s">
        <v>67</v>
      </c>
      <c r="BU4" s="312" t="s">
        <v>67</v>
      </c>
      <c r="BV4" s="312" t="s">
        <v>67</v>
      </c>
      <c r="BW4" s="312" t="s">
        <v>67</v>
      </c>
      <c r="BX4" s="312" t="s">
        <v>67</v>
      </c>
      <c r="BY4" s="314" t="s">
        <v>68</v>
      </c>
      <c r="BZ4" s="314" t="s">
        <v>68</v>
      </c>
      <c r="CA4" s="312" t="s">
        <v>69</v>
      </c>
      <c r="CB4" s="312" t="s">
        <v>70</v>
      </c>
      <c r="CC4" s="314" t="s">
        <v>71</v>
      </c>
      <c r="CD4" s="314" t="s">
        <v>71</v>
      </c>
      <c r="CE4" s="312" t="s">
        <v>72</v>
      </c>
      <c r="CF4" s="312" t="s">
        <v>73</v>
      </c>
      <c r="CG4" s="312" t="s">
        <v>74</v>
      </c>
      <c r="CH4" s="312" t="s">
        <v>75</v>
      </c>
      <c r="CI4" s="314" t="s">
        <v>76</v>
      </c>
      <c r="CJ4" s="314" t="s">
        <v>76</v>
      </c>
      <c r="CK4" s="312" t="s">
        <v>77</v>
      </c>
      <c r="CL4" s="312" t="s">
        <v>78</v>
      </c>
      <c r="CM4" s="312" t="s">
        <v>79</v>
      </c>
      <c r="CN4" s="312" t="s">
        <v>80</v>
      </c>
      <c r="CO4" s="312" t="s">
        <v>81</v>
      </c>
      <c r="CP4" s="312" t="s">
        <v>82</v>
      </c>
      <c r="CQ4" s="312" t="s">
        <v>83</v>
      </c>
      <c r="CR4" s="312" t="s">
        <v>84</v>
      </c>
      <c r="CS4" s="312" t="s">
        <v>85</v>
      </c>
      <c r="CT4" s="312" t="s">
        <v>86</v>
      </c>
      <c r="CU4" s="312" t="s">
        <v>87</v>
      </c>
      <c r="CV4" s="312" t="s">
        <v>87</v>
      </c>
      <c r="CW4" s="312" t="s">
        <v>88</v>
      </c>
      <c r="CX4" s="312" t="s">
        <v>89</v>
      </c>
      <c r="CY4" s="312" t="s">
        <v>90</v>
      </c>
      <c r="CZ4" s="312" t="s">
        <v>91</v>
      </c>
      <c r="DA4" s="312" t="s">
        <v>92</v>
      </c>
      <c r="DB4" s="312" t="s">
        <v>947</v>
      </c>
      <c r="DC4" s="312" t="s">
        <v>93</v>
      </c>
      <c r="DD4" s="312" t="s">
        <v>94</v>
      </c>
      <c r="DE4" s="312" t="s">
        <v>95</v>
      </c>
      <c r="DF4" s="312" t="s">
        <v>96</v>
      </c>
      <c r="DG4" s="312" t="s">
        <v>948</v>
      </c>
      <c r="DH4" s="312" t="s">
        <v>97</v>
      </c>
      <c r="DI4" s="312" t="s">
        <v>98</v>
      </c>
      <c r="DJ4" s="312" t="s">
        <v>99</v>
      </c>
      <c r="DK4" s="312" t="s">
        <v>100</v>
      </c>
      <c r="DL4" s="312" t="s">
        <v>101</v>
      </c>
      <c r="DM4" s="312" t="s">
        <v>102</v>
      </c>
      <c r="DN4" s="312" t="s">
        <v>102</v>
      </c>
      <c r="DO4" s="312" t="s">
        <v>103</v>
      </c>
      <c r="DP4" s="312" t="s">
        <v>104</v>
      </c>
      <c r="DQ4" s="312" t="s">
        <v>105</v>
      </c>
      <c r="DR4" s="312" t="s">
        <v>106</v>
      </c>
      <c r="DS4" s="312" t="s">
        <v>756</v>
      </c>
      <c r="DT4" s="312" t="s">
        <v>852</v>
      </c>
      <c r="DU4" s="312" t="s">
        <v>853</v>
      </c>
      <c r="DV4" s="312" t="s">
        <v>854</v>
      </c>
      <c r="DW4" s="312" t="s">
        <v>855</v>
      </c>
      <c r="DX4" s="312" t="s">
        <v>757</v>
      </c>
      <c r="DY4" s="312" t="s">
        <v>107</v>
      </c>
      <c r="DZ4" s="312" t="s">
        <v>642</v>
      </c>
      <c r="EA4" s="312" t="s">
        <v>108</v>
      </c>
      <c r="EB4" s="312" t="s">
        <v>109</v>
      </c>
      <c r="EC4" s="312" t="s">
        <v>110</v>
      </c>
      <c r="ED4" s="312" t="s">
        <v>112</v>
      </c>
      <c r="EE4" s="312" t="s">
        <v>114</v>
      </c>
      <c r="EF4" s="312" t="s">
        <v>115</v>
      </c>
      <c r="EG4" s="312" t="s">
        <v>644</v>
      </c>
      <c r="EH4" s="312" t="s">
        <v>116</v>
      </c>
      <c r="EI4" s="312" t="s">
        <v>117</v>
      </c>
      <c r="EJ4" s="312" t="s">
        <v>118</v>
      </c>
      <c r="EK4" s="312" t="s">
        <v>119</v>
      </c>
      <c r="EL4" s="312" t="s">
        <v>120</v>
      </c>
      <c r="EM4" s="312" t="s">
        <v>121</v>
      </c>
      <c r="EN4" s="312" t="s">
        <v>122</v>
      </c>
      <c r="EO4" s="312" t="s">
        <v>123</v>
      </c>
      <c r="EP4" s="312" t="s">
        <v>124</v>
      </c>
      <c r="EQ4" s="314" t="s">
        <v>125</v>
      </c>
      <c r="ER4" s="314" t="s">
        <v>960</v>
      </c>
      <c r="ES4" s="312" t="s">
        <v>126</v>
      </c>
      <c r="ET4" s="312" t="s">
        <v>127</v>
      </c>
      <c r="EU4" s="312" t="s">
        <v>128</v>
      </c>
      <c r="EV4" s="312" t="s">
        <v>129</v>
      </c>
      <c r="EW4" s="312" t="s">
        <v>130</v>
      </c>
      <c r="EX4" s="312" t="s">
        <v>131</v>
      </c>
      <c r="EY4" s="312" t="s">
        <v>132</v>
      </c>
      <c r="EZ4" s="312" t="s">
        <v>856</v>
      </c>
      <c r="FA4" s="312" t="s">
        <v>133</v>
      </c>
      <c r="FB4" s="312" t="s">
        <v>134</v>
      </c>
      <c r="FC4" s="312" t="s">
        <v>135</v>
      </c>
      <c r="FD4" s="312" t="s">
        <v>136</v>
      </c>
      <c r="FE4" s="312" t="s">
        <v>137</v>
      </c>
      <c r="FF4" s="312" t="s">
        <v>857</v>
      </c>
      <c r="FG4" s="312" t="s">
        <v>138</v>
      </c>
      <c r="FH4" s="312" t="s">
        <v>139</v>
      </c>
      <c r="FI4" s="312" t="s">
        <v>140</v>
      </c>
      <c r="FJ4" s="312" t="s">
        <v>141</v>
      </c>
      <c r="FK4" s="312" t="s">
        <v>142</v>
      </c>
      <c r="FL4" s="312" t="s">
        <v>143</v>
      </c>
      <c r="FM4" s="312" t="s">
        <v>144</v>
      </c>
      <c r="FN4" s="312" t="s">
        <v>145</v>
      </c>
      <c r="FO4" s="312" t="s">
        <v>146</v>
      </c>
      <c r="FP4" s="312" t="s">
        <v>147</v>
      </c>
      <c r="FQ4" s="312" t="s">
        <v>148</v>
      </c>
      <c r="FR4" s="312" t="s">
        <v>149</v>
      </c>
      <c r="FS4" s="312" t="s">
        <v>150</v>
      </c>
      <c r="FT4" s="312" t="s">
        <v>151</v>
      </c>
      <c r="FU4" s="312" t="s">
        <v>152</v>
      </c>
      <c r="FV4" s="312" t="s">
        <v>645</v>
      </c>
      <c r="FW4" s="312" t="s">
        <v>154</v>
      </c>
      <c r="FX4" s="315" t="s">
        <v>858</v>
      </c>
      <c r="FY4" s="315" t="s">
        <v>157</v>
      </c>
      <c r="FZ4" s="315" t="s">
        <v>648</v>
      </c>
      <c r="GA4" s="315" t="s">
        <v>649</v>
      </c>
      <c r="GB4" s="315" t="s">
        <v>159</v>
      </c>
      <c r="GC4" s="315" t="s">
        <v>859</v>
      </c>
      <c r="GD4" s="316"/>
    </row>
    <row r="5" spans="1:192" s="304" customFormat="1" ht="20">
      <c r="A5" s="317"/>
      <c r="D5" s="305"/>
      <c r="E5" s="306" t="s">
        <v>162</v>
      </c>
      <c r="F5" s="318" t="s">
        <v>163</v>
      </c>
      <c r="G5" s="306" t="s">
        <v>164</v>
      </c>
      <c r="H5" s="319" t="s">
        <v>165</v>
      </c>
      <c r="I5" s="319" t="s">
        <v>166</v>
      </c>
      <c r="J5" s="319" t="s">
        <v>167</v>
      </c>
      <c r="K5" s="319" t="s">
        <v>168</v>
      </c>
      <c r="L5" s="319" t="s">
        <v>169</v>
      </c>
      <c r="M5" s="319" t="s">
        <v>170</v>
      </c>
      <c r="N5" s="319" t="s">
        <v>171</v>
      </c>
      <c r="O5" s="319" t="s">
        <v>172</v>
      </c>
      <c r="P5" s="319" t="s">
        <v>173</v>
      </c>
      <c r="Q5" s="319" t="s">
        <v>174</v>
      </c>
      <c r="R5" s="319" t="s">
        <v>860</v>
      </c>
      <c r="S5" s="319" t="s">
        <v>175</v>
      </c>
      <c r="T5" s="319" t="s">
        <v>176</v>
      </c>
      <c r="U5" s="319" t="s">
        <v>177</v>
      </c>
      <c r="V5" s="319" t="s">
        <v>178</v>
      </c>
      <c r="W5" s="319" t="s">
        <v>861</v>
      </c>
      <c r="X5" s="319" t="s">
        <v>179</v>
      </c>
      <c r="Y5" s="319" t="s">
        <v>180</v>
      </c>
      <c r="Z5" s="319" t="s">
        <v>650</v>
      </c>
      <c r="AA5" s="319" t="s">
        <v>181</v>
      </c>
      <c r="AB5" s="319" t="s">
        <v>182</v>
      </c>
      <c r="AC5" s="319" t="s">
        <v>183</v>
      </c>
      <c r="AD5" s="319" t="s">
        <v>184</v>
      </c>
      <c r="AE5" s="319" t="s">
        <v>185</v>
      </c>
      <c r="AF5" s="319" t="s">
        <v>186</v>
      </c>
      <c r="AG5" s="319" t="s">
        <v>187</v>
      </c>
      <c r="AH5" s="319" t="s">
        <v>188</v>
      </c>
      <c r="AI5" s="319" t="s">
        <v>189</v>
      </c>
      <c r="AJ5" s="319" t="s">
        <v>190</v>
      </c>
      <c r="AK5" s="319" t="s">
        <v>191</v>
      </c>
      <c r="AL5" s="319" t="s">
        <v>193</v>
      </c>
      <c r="AM5" s="319" t="s">
        <v>862</v>
      </c>
      <c r="AN5" s="319" t="s">
        <v>194</v>
      </c>
      <c r="AO5" s="319" t="s">
        <v>195</v>
      </c>
      <c r="AP5" s="319" t="s">
        <v>196</v>
      </c>
      <c r="AQ5" s="319" t="s">
        <v>197</v>
      </c>
      <c r="AR5" s="319" t="s">
        <v>198</v>
      </c>
      <c r="AS5" s="319" t="s">
        <v>199</v>
      </c>
      <c r="AT5" s="319" t="s">
        <v>200</v>
      </c>
      <c r="AU5" s="319" t="s">
        <v>201</v>
      </c>
      <c r="AV5" s="319" t="s">
        <v>203</v>
      </c>
      <c r="AW5" s="319" t="s">
        <v>202</v>
      </c>
      <c r="AX5" s="319" t="s">
        <v>204</v>
      </c>
      <c r="AY5" s="319" t="s">
        <v>205</v>
      </c>
      <c r="AZ5" s="319" t="s">
        <v>206</v>
      </c>
      <c r="BA5" s="319" t="s">
        <v>207</v>
      </c>
      <c r="BB5" s="319" t="s">
        <v>208</v>
      </c>
      <c r="BC5" s="319" t="s">
        <v>209</v>
      </c>
      <c r="BD5" s="319" t="s">
        <v>210</v>
      </c>
      <c r="BE5" s="319" t="s">
        <v>211</v>
      </c>
      <c r="BF5" s="319" t="s">
        <v>212</v>
      </c>
      <c r="BG5" s="319" t="s">
        <v>213</v>
      </c>
      <c r="BH5" s="319" t="s">
        <v>214</v>
      </c>
      <c r="BI5" s="319" t="s">
        <v>215</v>
      </c>
      <c r="BJ5" s="319" t="s">
        <v>216</v>
      </c>
      <c r="BK5" s="319" t="s">
        <v>217</v>
      </c>
      <c r="BL5" s="319" t="s">
        <v>218</v>
      </c>
      <c r="BM5" s="319" t="s">
        <v>219</v>
      </c>
      <c r="BN5" s="319" t="s">
        <v>220</v>
      </c>
      <c r="BO5" s="319" t="s">
        <v>221</v>
      </c>
      <c r="BP5" s="319" t="s">
        <v>222</v>
      </c>
      <c r="BQ5" s="319" t="s">
        <v>223</v>
      </c>
      <c r="BR5" s="319" t="s">
        <v>224</v>
      </c>
      <c r="BS5" s="319" t="s">
        <v>225</v>
      </c>
      <c r="BT5" s="319" t="s">
        <v>226</v>
      </c>
      <c r="BU5" s="319" t="s">
        <v>229</v>
      </c>
      <c r="BV5" s="319" t="s">
        <v>231</v>
      </c>
      <c r="BW5" s="319" t="s">
        <v>228</v>
      </c>
      <c r="BX5" s="319" t="s">
        <v>230</v>
      </c>
      <c r="BY5" s="319" t="s">
        <v>863</v>
      </c>
      <c r="BZ5" s="319" t="s">
        <v>232</v>
      </c>
      <c r="CA5" s="319" t="s">
        <v>233</v>
      </c>
      <c r="CB5" s="319" t="s">
        <v>234</v>
      </c>
      <c r="CC5" s="319" t="s">
        <v>236</v>
      </c>
      <c r="CD5" s="319" t="s">
        <v>238</v>
      </c>
      <c r="CE5" s="319" t="s">
        <v>239</v>
      </c>
      <c r="CF5" s="319" t="s">
        <v>240</v>
      </c>
      <c r="CG5" s="319" t="s">
        <v>241</v>
      </c>
      <c r="CH5" s="319" t="s">
        <v>242</v>
      </c>
      <c r="CI5" s="319" t="s">
        <v>243</v>
      </c>
      <c r="CJ5" s="319" t="s">
        <v>244</v>
      </c>
      <c r="CK5" s="319" t="s">
        <v>246</v>
      </c>
      <c r="CL5" s="319" t="s">
        <v>247</v>
      </c>
      <c r="CM5" s="319" t="s">
        <v>248</v>
      </c>
      <c r="CN5" s="319" t="s">
        <v>249</v>
      </c>
      <c r="CO5" s="319" t="s">
        <v>250</v>
      </c>
      <c r="CP5" s="319" t="s">
        <v>251</v>
      </c>
      <c r="CQ5" s="319" t="s">
        <v>252</v>
      </c>
      <c r="CR5" s="319" t="s">
        <v>254</v>
      </c>
      <c r="CS5" s="319" t="s">
        <v>256</v>
      </c>
      <c r="CT5" s="319" t="s">
        <v>257</v>
      </c>
      <c r="CU5" s="319" t="s">
        <v>258</v>
      </c>
      <c r="CV5" s="319" t="s">
        <v>664</v>
      </c>
      <c r="CW5" s="319" t="s">
        <v>260</v>
      </c>
      <c r="CX5" s="319" t="s">
        <v>261</v>
      </c>
      <c r="CY5" s="319" t="s">
        <v>262</v>
      </c>
      <c r="CZ5" s="319" t="s">
        <v>263</v>
      </c>
      <c r="DA5" s="319" t="s">
        <v>265</v>
      </c>
      <c r="DB5" s="319" t="s">
        <v>266</v>
      </c>
      <c r="DC5" s="319" t="s">
        <v>267</v>
      </c>
      <c r="DD5" s="319" t="s">
        <v>268</v>
      </c>
      <c r="DE5" s="319" t="s">
        <v>269</v>
      </c>
      <c r="DF5" s="319" t="s">
        <v>270</v>
      </c>
      <c r="DG5" s="319" t="s">
        <v>271</v>
      </c>
      <c r="DH5" s="319" t="s">
        <v>670</v>
      </c>
      <c r="DI5" s="319" t="s">
        <v>864</v>
      </c>
      <c r="DJ5" s="319" t="s">
        <v>274</v>
      </c>
      <c r="DK5" s="319" t="s">
        <v>671</v>
      </c>
      <c r="DL5" s="319" t="s">
        <v>277</v>
      </c>
      <c r="DM5" s="319" t="s">
        <v>278</v>
      </c>
      <c r="DN5" s="319" t="s">
        <v>279</v>
      </c>
      <c r="DO5" s="319" t="s">
        <v>281</v>
      </c>
      <c r="DP5" s="319" t="s">
        <v>282</v>
      </c>
      <c r="DQ5" s="319" t="s">
        <v>283</v>
      </c>
      <c r="DR5" s="319" t="s">
        <v>678</v>
      </c>
      <c r="DS5" s="319" t="s">
        <v>778</v>
      </c>
      <c r="DT5" s="319" t="s">
        <v>865</v>
      </c>
      <c r="DU5" s="319" t="s">
        <v>866</v>
      </c>
      <c r="DV5" s="319" t="s">
        <v>867</v>
      </c>
      <c r="DW5" s="319" t="s">
        <v>868</v>
      </c>
      <c r="DX5" s="319" t="s">
        <v>779</v>
      </c>
      <c r="DY5" s="319" t="s">
        <v>285</v>
      </c>
      <c r="DZ5" s="319" t="s">
        <v>679</v>
      </c>
      <c r="EA5" s="319" t="s">
        <v>286</v>
      </c>
      <c r="EB5" s="319" t="s">
        <v>287</v>
      </c>
      <c r="EC5" s="319" t="s">
        <v>288</v>
      </c>
      <c r="ED5" s="319" t="s">
        <v>290</v>
      </c>
      <c r="EE5" s="319" t="s">
        <v>292</v>
      </c>
      <c r="EF5" s="319" t="s">
        <v>293</v>
      </c>
      <c r="EG5" s="319" t="s">
        <v>681</v>
      </c>
      <c r="EH5" s="319" t="s">
        <v>294</v>
      </c>
      <c r="EI5" s="319" t="s">
        <v>295</v>
      </c>
      <c r="EJ5" s="319" t="s">
        <v>296</v>
      </c>
      <c r="EK5" s="319" t="s">
        <v>297</v>
      </c>
      <c r="EL5" s="319" t="s">
        <v>298</v>
      </c>
      <c r="EM5" s="319" t="s">
        <v>299</v>
      </c>
      <c r="EN5" s="319" t="s">
        <v>300</v>
      </c>
      <c r="EO5" s="319" t="s">
        <v>301</v>
      </c>
      <c r="EP5" s="319" t="s">
        <v>302</v>
      </c>
      <c r="EQ5" s="319" t="s">
        <v>869</v>
      </c>
      <c r="ER5" s="319" t="s">
        <v>683</v>
      </c>
      <c r="ES5" s="319" t="s">
        <v>304</v>
      </c>
      <c r="ET5" s="319" t="s">
        <v>305</v>
      </c>
      <c r="EU5" s="319" t="s">
        <v>306</v>
      </c>
      <c r="EV5" s="319" t="s">
        <v>307</v>
      </c>
      <c r="EW5" s="319" t="s">
        <v>308</v>
      </c>
      <c r="EX5" s="319" t="s">
        <v>310</v>
      </c>
      <c r="EY5" s="319" t="s">
        <v>311</v>
      </c>
      <c r="EZ5" s="319" t="s">
        <v>870</v>
      </c>
      <c r="FA5" s="319" t="s">
        <v>312</v>
      </c>
      <c r="FB5" s="319" t="s">
        <v>313</v>
      </c>
      <c r="FC5" s="319" t="s">
        <v>314</v>
      </c>
      <c r="FD5" s="319" t="s">
        <v>315</v>
      </c>
      <c r="FE5" s="319" t="s">
        <v>316</v>
      </c>
      <c r="FF5" s="319" t="s">
        <v>871</v>
      </c>
      <c r="FG5" s="319" t="s">
        <v>317</v>
      </c>
      <c r="FH5" s="319" t="s">
        <v>318</v>
      </c>
      <c r="FI5" s="319" t="s">
        <v>319</v>
      </c>
      <c r="FJ5" s="319" t="s">
        <v>320</v>
      </c>
      <c r="FK5" s="319" t="s">
        <v>321</v>
      </c>
      <c r="FL5" s="319" t="s">
        <v>322</v>
      </c>
      <c r="FM5" s="319" t="s">
        <v>323</v>
      </c>
      <c r="FN5" s="319" t="s">
        <v>324</v>
      </c>
      <c r="FO5" s="319" t="s">
        <v>325</v>
      </c>
      <c r="FP5" s="319" t="s">
        <v>326</v>
      </c>
      <c r="FQ5" s="319" t="s">
        <v>327</v>
      </c>
      <c r="FR5" s="319" t="s">
        <v>328</v>
      </c>
      <c r="FS5" s="319" t="s">
        <v>329</v>
      </c>
      <c r="FT5" s="319" t="s">
        <v>330</v>
      </c>
      <c r="FU5" s="319" t="s">
        <v>332</v>
      </c>
      <c r="FV5" s="319" t="s">
        <v>333</v>
      </c>
      <c r="FW5" s="319" t="s">
        <v>334</v>
      </c>
      <c r="FX5" s="319" t="s">
        <v>872</v>
      </c>
      <c r="FY5" s="319" t="s">
        <v>337</v>
      </c>
      <c r="FZ5" s="319" t="s">
        <v>688</v>
      </c>
      <c r="GA5" s="319" t="s">
        <v>341</v>
      </c>
      <c r="GB5" s="319" t="s">
        <v>339</v>
      </c>
      <c r="GC5" s="319" t="s">
        <v>873</v>
      </c>
      <c r="GD5" s="320"/>
      <c r="GE5" s="306"/>
      <c r="GF5" s="306"/>
    </row>
    <row r="6" spans="1:192" s="308" customFormat="1" ht="11">
      <c r="A6" s="321" t="s">
        <v>743</v>
      </c>
      <c r="B6" s="305" t="s">
        <v>744</v>
      </c>
      <c r="C6" s="305" t="s">
        <v>745</v>
      </c>
      <c r="D6" s="305" t="s">
        <v>746</v>
      </c>
      <c r="E6" s="322" t="s">
        <v>346</v>
      </c>
      <c r="F6" s="322"/>
      <c r="G6" s="323" t="s">
        <v>347</v>
      </c>
      <c r="H6" s="135" t="s">
        <v>348</v>
      </c>
      <c r="I6" s="135" t="s">
        <v>349</v>
      </c>
      <c r="J6" s="135" t="s">
        <v>350</v>
      </c>
      <c r="K6" s="135" t="s">
        <v>351</v>
      </c>
      <c r="L6" s="135" t="s">
        <v>352</v>
      </c>
      <c r="M6" s="135" t="s">
        <v>353</v>
      </c>
      <c r="N6" s="135" t="s">
        <v>354</v>
      </c>
      <c r="O6" s="135" t="s">
        <v>355</v>
      </c>
      <c r="P6" s="135" t="s">
        <v>356</v>
      </c>
      <c r="Q6" s="135" t="s">
        <v>357</v>
      </c>
      <c r="R6" s="135" t="s">
        <v>874</v>
      </c>
      <c r="S6" s="135" t="s">
        <v>358</v>
      </c>
      <c r="T6" s="135" t="s">
        <v>359</v>
      </c>
      <c r="U6" s="135" t="s">
        <v>360</v>
      </c>
      <c r="V6" s="135" t="s">
        <v>361</v>
      </c>
      <c r="W6" s="135" t="s">
        <v>875</v>
      </c>
      <c r="X6" s="135" t="s">
        <v>362</v>
      </c>
      <c r="Y6" s="135" t="s">
        <v>363</v>
      </c>
      <c r="Z6" s="135" t="s">
        <v>689</v>
      </c>
      <c r="AA6" s="135" t="s">
        <v>364</v>
      </c>
      <c r="AB6" s="135" t="s">
        <v>365</v>
      </c>
      <c r="AC6" s="135" t="s">
        <v>366</v>
      </c>
      <c r="AD6" s="135" t="s">
        <v>367</v>
      </c>
      <c r="AE6" s="135" t="s">
        <v>368</v>
      </c>
      <c r="AF6" s="135" t="s">
        <v>369</v>
      </c>
      <c r="AG6" s="135" t="s">
        <v>370</v>
      </c>
      <c r="AH6" s="135" t="s">
        <v>371</v>
      </c>
      <c r="AI6" s="135" t="s">
        <v>372</v>
      </c>
      <c r="AJ6" s="135" t="s">
        <v>373</v>
      </c>
      <c r="AK6" s="135" t="s">
        <v>374</v>
      </c>
      <c r="AL6" s="135" t="s">
        <v>376</v>
      </c>
      <c r="AM6" s="135" t="s">
        <v>876</v>
      </c>
      <c r="AN6" s="135" t="s">
        <v>377</v>
      </c>
      <c r="AO6" s="135" t="s">
        <v>378</v>
      </c>
      <c r="AP6" s="135" t="s">
        <v>379</v>
      </c>
      <c r="AQ6" s="135" t="s">
        <v>380</v>
      </c>
      <c r="AR6" s="135" t="s">
        <v>381</v>
      </c>
      <c r="AS6" s="135" t="s">
        <v>382</v>
      </c>
      <c r="AT6" s="135" t="s">
        <v>383</v>
      </c>
      <c r="AU6" s="135" t="s">
        <v>384</v>
      </c>
      <c r="AV6" s="135" t="s">
        <v>386</v>
      </c>
      <c r="AW6" s="135" t="s">
        <v>385</v>
      </c>
      <c r="AX6" s="135" t="s">
        <v>387</v>
      </c>
      <c r="AY6" s="135" t="s">
        <v>388</v>
      </c>
      <c r="AZ6" s="135" t="s">
        <v>389</v>
      </c>
      <c r="BA6" s="135" t="s">
        <v>390</v>
      </c>
      <c r="BB6" s="135" t="s">
        <v>390</v>
      </c>
      <c r="BC6" s="135" t="s">
        <v>391</v>
      </c>
      <c r="BD6" s="135" t="s">
        <v>392</v>
      </c>
      <c r="BE6" s="135" t="s">
        <v>393</v>
      </c>
      <c r="BF6" s="135" t="s">
        <v>394</v>
      </c>
      <c r="BG6" s="135" t="s">
        <v>395</v>
      </c>
      <c r="BH6" s="135" t="s">
        <v>396</v>
      </c>
      <c r="BI6" s="135" t="s">
        <v>397</v>
      </c>
      <c r="BJ6" s="135" t="s">
        <v>692</v>
      </c>
      <c r="BK6" s="135" t="s">
        <v>399</v>
      </c>
      <c r="BL6" s="135" t="s">
        <v>400</v>
      </c>
      <c r="BM6" s="135" t="s">
        <v>401</v>
      </c>
      <c r="BN6" s="135" t="s">
        <v>402</v>
      </c>
      <c r="BO6" s="135" t="s">
        <v>403</v>
      </c>
      <c r="BP6" s="135" t="s">
        <v>404</v>
      </c>
      <c r="BQ6" s="135" t="s">
        <v>405</v>
      </c>
      <c r="BR6" s="135" t="s">
        <v>406</v>
      </c>
      <c r="BS6" s="135" t="s">
        <v>407</v>
      </c>
      <c r="BT6" s="135" t="s">
        <v>408</v>
      </c>
      <c r="BU6" s="135" t="s">
        <v>410</v>
      </c>
      <c r="BV6" s="135" t="s">
        <v>412</v>
      </c>
      <c r="BW6" s="135" t="s">
        <v>409</v>
      </c>
      <c r="BX6" s="135" t="s">
        <v>411</v>
      </c>
      <c r="BY6" s="135" t="s">
        <v>413</v>
      </c>
      <c r="BZ6" s="135" t="s">
        <v>413</v>
      </c>
      <c r="CA6" s="135" t="s">
        <v>414</v>
      </c>
      <c r="CB6" s="135" t="s">
        <v>415</v>
      </c>
      <c r="CC6" s="135" t="s">
        <v>416</v>
      </c>
      <c r="CD6" s="135" t="s">
        <v>416</v>
      </c>
      <c r="CE6" s="135" t="s">
        <v>417</v>
      </c>
      <c r="CF6" s="135" t="s">
        <v>418</v>
      </c>
      <c r="CG6" s="135" t="s">
        <v>419</v>
      </c>
      <c r="CH6" s="135" t="s">
        <v>420</v>
      </c>
      <c r="CI6" s="135" t="s">
        <v>421</v>
      </c>
      <c r="CJ6" s="135" t="s">
        <v>421</v>
      </c>
      <c r="CK6" s="135" t="s">
        <v>422</v>
      </c>
      <c r="CL6" s="135" t="s">
        <v>423</v>
      </c>
      <c r="CM6" s="135" t="s">
        <v>424</v>
      </c>
      <c r="CN6" s="135" t="s">
        <v>425</v>
      </c>
      <c r="CO6" s="135" t="s">
        <v>426</v>
      </c>
      <c r="CP6" s="135" t="s">
        <v>427</v>
      </c>
      <c r="CQ6" s="135" t="s">
        <v>428</v>
      </c>
      <c r="CR6" s="135" t="s">
        <v>429</v>
      </c>
      <c r="CS6" s="135" t="s">
        <v>430</v>
      </c>
      <c r="CT6" s="135" t="s">
        <v>431</v>
      </c>
      <c r="CU6" s="135" t="s">
        <v>432</v>
      </c>
      <c r="CV6" s="135" t="s">
        <v>433</v>
      </c>
      <c r="CW6" s="135" t="s">
        <v>434</v>
      </c>
      <c r="CX6" s="135" t="s">
        <v>435</v>
      </c>
      <c r="CY6" s="135" t="s">
        <v>436</v>
      </c>
      <c r="CZ6" s="135" t="s">
        <v>437</v>
      </c>
      <c r="DA6" s="135" t="s">
        <v>438</v>
      </c>
      <c r="DB6" s="135" t="s">
        <v>439</v>
      </c>
      <c r="DC6" s="135" t="s">
        <v>440</v>
      </c>
      <c r="DD6" s="135" t="s">
        <v>441</v>
      </c>
      <c r="DE6" s="135" t="s">
        <v>442</v>
      </c>
      <c r="DF6" s="135" t="s">
        <v>443</v>
      </c>
      <c r="DG6" s="135" t="s">
        <v>444</v>
      </c>
      <c r="DH6" s="135" t="s">
        <v>445</v>
      </c>
      <c r="DI6" s="135" t="s">
        <v>446</v>
      </c>
      <c r="DJ6" s="135" t="s">
        <v>447</v>
      </c>
      <c r="DK6" s="135" t="s">
        <v>448</v>
      </c>
      <c r="DL6" s="135" t="s">
        <v>449</v>
      </c>
      <c r="DM6" s="135" t="s">
        <v>450</v>
      </c>
      <c r="DN6" s="135" t="s">
        <v>451</v>
      </c>
      <c r="DO6" s="135" t="s">
        <v>452</v>
      </c>
      <c r="DP6" s="135" t="s">
        <v>453</v>
      </c>
      <c r="DQ6" s="135" t="s">
        <v>454</v>
      </c>
      <c r="DR6" s="135" t="s">
        <v>455</v>
      </c>
      <c r="DS6" s="135" t="s">
        <v>877</v>
      </c>
      <c r="DT6" s="135" t="s">
        <v>878</v>
      </c>
      <c r="DU6" s="135" t="s">
        <v>879</v>
      </c>
      <c r="DV6" s="135" t="s">
        <v>880</v>
      </c>
      <c r="DW6" s="135" t="s">
        <v>881</v>
      </c>
      <c r="DX6" s="135" t="s">
        <v>882</v>
      </c>
      <c r="DY6" s="135" t="s">
        <v>456</v>
      </c>
      <c r="DZ6" s="135" t="s">
        <v>696</v>
      </c>
      <c r="EA6" s="135" t="s">
        <v>457</v>
      </c>
      <c r="EB6" s="135" t="s">
        <v>458</v>
      </c>
      <c r="EC6" s="135" t="s">
        <v>459</v>
      </c>
      <c r="ED6" s="135" t="s">
        <v>461</v>
      </c>
      <c r="EE6" s="135" t="s">
        <v>463</v>
      </c>
      <c r="EF6" s="135" t="s">
        <v>464</v>
      </c>
      <c r="EG6" s="135" t="s">
        <v>698</v>
      </c>
      <c r="EH6" s="135" t="s">
        <v>465</v>
      </c>
      <c r="EI6" s="135" t="s">
        <v>466</v>
      </c>
      <c r="EJ6" s="135" t="s">
        <v>467</v>
      </c>
      <c r="EK6" s="135" t="s">
        <v>468</v>
      </c>
      <c r="EL6" s="135" t="s">
        <v>469</v>
      </c>
      <c r="EM6" s="135" t="s">
        <v>470</v>
      </c>
      <c r="EN6" s="135" t="s">
        <v>471</v>
      </c>
      <c r="EO6" s="135" t="s">
        <v>472</v>
      </c>
      <c r="EP6" s="135" t="s">
        <v>473</v>
      </c>
      <c r="EQ6" s="135" t="s">
        <v>474</v>
      </c>
      <c r="ER6" s="135" t="s">
        <v>474</v>
      </c>
      <c r="ES6" s="135" t="s">
        <v>475</v>
      </c>
      <c r="ET6" s="135" t="s">
        <v>476</v>
      </c>
      <c r="EU6" s="135" t="s">
        <v>477</v>
      </c>
      <c r="EV6" s="135" t="s">
        <v>478</v>
      </c>
      <c r="EW6" s="135" t="s">
        <v>479</v>
      </c>
      <c r="EX6" s="135" t="s">
        <v>480</v>
      </c>
      <c r="EY6" s="135" t="s">
        <v>481</v>
      </c>
      <c r="EZ6" s="135" t="s">
        <v>883</v>
      </c>
      <c r="FA6" s="135" t="s">
        <v>482</v>
      </c>
      <c r="FB6" s="135" t="s">
        <v>483</v>
      </c>
      <c r="FC6" s="135" t="s">
        <v>484</v>
      </c>
      <c r="FD6" s="135" t="s">
        <v>485</v>
      </c>
      <c r="FE6" s="135" t="s">
        <v>486</v>
      </c>
      <c r="FF6" s="135" t="s">
        <v>884</v>
      </c>
      <c r="FG6" s="135" t="s">
        <v>487</v>
      </c>
      <c r="FH6" s="135" t="s">
        <v>488</v>
      </c>
      <c r="FI6" s="135" t="s">
        <v>489</v>
      </c>
      <c r="FJ6" s="135" t="s">
        <v>490</v>
      </c>
      <c r="FK6" s="135" t="s">
        <v>491</v>
      </c>
      <c r="FL6" s="135" t="s">
        <v>492</v>
      </c>
      <c r="FM6" s="135" t="s">
        <v>493</v>
      </c>
      <c r="FN6" s="135" t="s">
        <v>494</v>
      </c>
      <c r="FO6" s="135" t="s">
        <v>495</v>
      </c>
      <c r="FP6" s="135" t="s">
        <v>496</v>
      </c>
      <c r="FQ6" s="135" t="s">
        <v>497</v>
      </c>
      <c r="FR6" s="135" t="s">
        <v>498</v>
      </c>
      <c r="FS6" s="135" t="s">
        <v>499</v>
      </c>
      <c r="FT6" s="135" t="s">
        <v>500</v>
      </c>
      <c r="FU6" s="135" t="s">
        <v>501</v>
      </c>
      <c r="FV6" s="135" t="s">
        <v>502</v>
      </c>
      <c r="FW6" s="135" t="s">
        <v>503</v>
      </c>
      <c r="FX6" s="135" t="s">
        <v>885</v>
      </c>
      <c r="FY6" s="135" t="s">
        <v>506</v>
      </c>
      <c r="FZ6" s="135" t="s">
        <v>701</v>
      </c>
      <c r="GA6" s="135" t="s">
        <v>702</v>
      </c>
      <c r="GB6" s="135" t="s">
        <v>508</v>
      </c>
      <c r="GC6" s="135" t="s">
        <v>886</v>
      </c>
      <c r="GD6" s="324" t="s">
        <v>511</v>
      </c>
      <c r="GE6" s="324" t="s">
        <v>512</v>
      </c>
      <c r="GF6" s="324" t="s">
        <v>513</v>
      </c>
      <c r="GG6" s="324" t="s">
        <v>514</v>
      </c>
      <c r="GH6" s="324" t="s">
        <v>515</v>
      </c>
      <c r="GJ6" s="308" t="s">
        <v>516</v>
      </c>
    </row>
    <row r="7" spans="1:192" s="329" customFormat="1" hidden="1">
      <c r="A7" s="325" t="s">
        <v>526</v>
      </c>
      <c r="B7" s="325" t="s">
        <v>517</v>
      </c>
      <c r="C7" s="325" t="s">
        <v>527</v>
      </c>
      <c r="D7" s="325" t="s">
        <v>636</v>
      </c>
      <c r="E7" s="325" t="s">
        <v>528</v>
      </c>
      <c r="F7" s="325" t="s">
        <v>520</v>
      </c>
      <c r="G7" s="325"/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26"/>
      <c r="S7" s="326"/>
      <c r="T7" s="326"/>
      <c r="U7" s="326"/>
      <c r="V7" s="326"/>
      <c r="W7" s="326"/>
      <c r="X7" s="326"/>
      <c r="Y7" s="326"/>
      <c r="Z7" s="326"/>
      <c r="AA7" s="326"/>
      <c r="AB7" s="326"/>
      <c r="AC7" s="326"/>
      <c r="AD7" s="326"/>
      <c r="AE7" s="326"/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326"/>
      <c r="CB7" s="326"/>
      <c r="CC7" s="326"/>
      <c r="CD7" s="326"/>
      <c r="CE7" s="326"/>
      <c r="CF7" s="326"/>
      <c r="CG7" s="326"/>
      <c r="CH7" s="326"/>
      <c r="CI7" s="326"/>
      <c r="CJ7" s="326"/>
      <c r="CK7" s="326"/>
      <c r="CL7" s="326"/>
      <c r="CM7" s="326"/>
      <c r="CN7" s="326"/>
      <c r="CO7" s="326"/>
      <c r="CP7" s="326"/>
      <c r="CQ7" s="326"/>
      <c r="CR7" s="326"/>
      <c r="CS7" s="326"/>
      <c r="CT7" s="326"/>
      <c r="CU7" s="326"/>
      <c r="CV7" s="326"/>
      <c r="CW7" s="326"/>
      <c r="CX7" s="326"/>
      <c r="CY7" s="326"/>
      <c r="CZ7" s="326"/>
      <c r="DA7" s="326"/>
      <c r="DB7" s="326"/>
      <c r="DC7" s="326"/>
      <c r="DD7" s="326"/>
      <c r="DE7" s="326"/>
      <c r="DF7" s="326"/>
      <c r="DG7" s="326"/>
      <c r="DH7" s="326"/>
      <c r="DI7" s="326"/>
      <c r="DJ7" s="326"/>
      <c r="DK7" s="326"/>
      <c r="DL7" s="326"/>
      <c r="DM7" s="326"/>
      <c r="DN7" s="326"/>
      <c r="DO7" s="326"/>
      <c r="DP7" s="326"/>
      <c r="DQ7" s="326"/>
      <c r="DR7" s="326"/>
      <c r="DS7" s="326"/>
      <c r="DT7" s="326"/>
      <c r="DU7" s="326"/>
      <c r="DV7" s="326"/>
      <c r="DW7" s="326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6"/>
      <c r="EJ7" s="326"/>
      <c r="EK7" s="326"/>
      <c r="EL7" s="326"/>
      <c r="EM7" s="326"/>
      <c r="EN7" s="326"/>
      <c r="EO7" s="326"/>
      <c r="EP7" s="326"/>
      <c r="EQ7" s="326"/>
      <c r="ER7" s="326"/>
      <c r="ES7" s="326"/>
      <c r="ET7" s="326"/>
      <c r="EU7" s="326"/>
      <c r="EV7" s="326"/>
      <c r="EW7" s="326"/>
      <c r="EX7" s="326"/>
      <c r="EY7" s="326"/>
      <c r="EZ7" s="326"/>
      <c r="FA7" s="326"/>
      <c r="FB7" s="326"/>
      <c r="FC7" s="326"/>
      <c r="FD7" s="326"/>
      <c r="FE7" s="326"/>
      <c r="FF7" s="326"/>
      <c r="FG7" s="326"/>
      <c r="FH7" s="326"/>
      <c r="FI7" s="326"/>
      <c r="FJ7" s="326"/>
      <c r="FK7" s="326"/>
      <c r="FL7" s="326"/>
      <c r="FM7" s="326"/>
      <c r="FN7" s="326"/>
      <c r="FO7" s="326"/>
      <c r="FP7" s="326"/>
      <c r="FQ7" s="326"/>
      <c r="FR7" s="326"/>
      <c r="FS7" s="326"/>
      <c r="FT7" s="326"/>
      <c r="FU7" s="326"/>
      <c r="FV7" s="326"/>
      <c r="FW7" s="326"/>
      <c r="FX7" s="326"/>
      <c r="FY7" s="326"/>
      <c r="FZ7" s="326"/>
      <c r="GA7" s="326"/>
      <c r="GB7" s="326"/>
      <c r="GC7" s="326"/>
      <c r="GD7" s="327"/>
      <c r="GE7" s="325" t="s">
        <v>887</v>
      </c>
      <c r="GF7" s="325" t="s">
        <v>522</v>
      </c>
      <c r="GG7" s="325" t="s">
        <v>850</v>
      </c>
      <c r="GH7" s="325" t="s">
        <v>529</v>
      </c>
      <c r="GI7" s="328">
        <f t="shared" ref="GI7:GI38" si="0">SUM(H7:GC7)</f>
        <v>0</v>
      </c>
      <c r="GJ7" s="329" t="s">
        <v>888</v>
      </c>
    </row>
    <row r="8" spans="1:192" s="329" customFormat="1" hidden="1">
      <c r="A8" s="325" t="s">
        <v>526</v>
      </c>
      <c r="B8" s="325" t="s">
        <v>517</v>
      </c>
      <c r="C8" s="325" t="s">
        <v>527</v>
      </c>
      <c r="D8" s="325" t="s">
        <v>633</v>
      </c>
      <c r="E8" s="325" t="s">
        <v>528</v>
      </c>
      <c r="F8" s="325" t="s">
        <v>520</v>
      </c>
      <c r="G8" s="325"/>
      <c r="H8" s="326"/>
      <c r="I8" s="326"/>
      <c r="J8" s="326"/>
      <c r="K8" s="326"/>
      <c r="L8" s="326"/>
      <c r="M8" s="326"/>
      <c r="N8" s="326"/>
      <c r="O8" s="326"/>
      <c r="P8" s="326"/>
      <c r="Q8" s="326"/>
      <c r="R8" s="326"/>
      <c r="S8" s="326"/>
      <c r="T8" s="326"/>
      <c r="U8" s="326"/>
      <c r="V8" s="326"/>
      <c r="W8" s="326"/>
      <c r="X8" s="326"/>
      <c r="Y8" s="326"/>
      <c r="Z8" s="326"/>
      <c r="AA8" s="326"/>
      <c r="AB8" s="326"/>
      <c r="AC8" s="326"/>
      <c r="AD8" s="326"/>
      <c r="AE8" s="326"/>
      <c r="AF8" s="326"/>
      <c r="AG8" s="326"/>
      <c r="AH8" s="326"/>
      <c r="AI8" s="326"/>
      <c r="AJ8" s="326"/>
      <c r="AK8" s="326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/>
      <c r="BL8" s="326"/>
      <c r="BM8" s="326"/>
      <c r="BN8" s="326"/>
      <c r="BO8" s="326"/>
      <c r="BP8" s="326"/>
      <c r="BQ8" s="326"/>
      <c r="BR8" s="326"/>
      <c r="BS8" s="326"/>
      <c r="BT8" s="326"/>
      <c r="BU8" s="326"/>
      <c r="BV8" s="326"/>
      <c r="BW8" s="326"/>
      <c r="BX8" s="326"/>
      <c r="BY8" s="326"/>
      <c r="BZ8" s="326"/>
      <c r="CA8" s="326"/>
      <c r="CB8" s="326"/>
      <c r="CC8" s="326"/>
      <c r="CD8" s="326"/>
      <c r="CE8" s="326"/>
      <c r="CF8" s="326"/>
      <c r="CG8" s="326"/>
      <c r="CH8" s="326"/>
      <c r="CI8" s="326"/>
      <c r="CJ8" s="326"/>
      <c r="CK8" s="326"/>
      <c r="CL8" s="326"/>
      <c r="CM8" s="326"/>
      <c r="CN8" s="326"/>
      <c r="CO8" s="326"/>
      <c r="CP8" s="326"/>
      <c r="CQ8" s="326"/>
      <c r="CR8" s="326"/>
      <c r="CS8" s="326"/>
      <c r="CT8" s="326"/>
      <c r="CU8" s="326"/>
      <c r="CV8" s="326"/>
      <c r="CW8" s="326"/>
      <c r="CX8" s="326"/>
      <c r="CY8" s="326"/>
      <c r="CZ8" s="326"/>
      <c r="DA8" s="326"/>
      <c r="DB8" s="326"/>
      <c r="DC8" s="326"/>
      <c r="DD8" s="326"/>
      <c r="DE8" s="326"/>
      <c r="DF8" s="326"/>
      <c r="DG8" s="326"/>
      <c r="DH8" s="326"/>
      <c r="DI8" s="326"/>
      <c r="DJ8" s="326"/>
      <c r="DK8" s="326"/>
      <c r="DL8" s="326"/>
      <c r="DM8" s="326"/>
      <c r="DN8" s="326"/>
      <c r="DO8" s="326"/>
      <c r="DP8" s="326"/>
      <c r="DQ8" s="326"/>
      <c r="DR8" s="326"/>
      <c r="DS8" s="326"/>
      <c r="DT8" s="326"/>
      <c r="DU8" s="326"/>
      <c r="DV8" s="326"/>
      <c r="DW8" s="326"/>
      <c r="DX8" s="326"/>
      <c r="DY8" s="326"/>
      <c r="DZ8" s="326"/>
      <c r="EA8" s="326"/>
      <c r="EB8" s="326"/>
      <c r="EC8" s="326"/>
      <c r="ED8" s="326"/>
      <c r="EE8" s="326"/>
      <c r="EF8" s="326"/>
      <c r="EG8" s="326"/>
      <c r="EH8" s="326"/>
      <c r="EI8" s="326"/>
      <c r="EJ8" s="326"/>
      <c r="EK8" s="326"/>
      <c r="EL8" s="330">
        <f>100-100</f>
        <v>0</v>
      </c>
      <c r="EM8" s="330">
        <f>100-100</f>
        <v>0</v>
      </c>
      <c r="EN8" s="326"/>
      <c r="EO8" s="326"/>
      <c r="EP8" s="330">
        <f>50-50</f>
        <v>0</v>
      </c>
      <c r="EQ8" s="326"/>
      <c r="ER8" s="330">
        <f>200-200</f>
        <v>0</v>
      </c>
      <c r="ES8" s="330">
        <f>20-20</f>
        <v>0</v>
      </c>
      <c r="ET8" s="326"/>
      <c r="EU8" s="326"/>
      <c r="EV8" s="330">
        <f>50-50</f>
        <v>0</v>
      </c>
      <c r="EW8" s="330">
        <f>50-50</f>
        <v>0</v>
      </c>
      <c r="EX8" s="326"/>
      <c r="EY8" s="330">
        <f>200-200</f>
        <v>0</v>
      </c>
      <c r="EZ8" s="326"/>
      <c r="FA8" s="326"/>
      <c r="FB8" s="326"/>
      <c r="FC8" s="326"/>
      <c r="FD8" s="326"/>
      <c r="FE8" s="326"/>
      <c r="FF8" s="326"/>
      <c r="FG8" s="326"/>
      <c r="FH8" s="326"/>
      <c r="FI8" s="330">
        <f>80-80</f>
        <v>0</v>
      </c>
      <c r="FJ8" s="326"/>
      <c r="FK8" s="326"/>
      <c r="FL8" s="326"/>
      <c r="FM8" s="326"/>
      <c r="FN8" s="326"/>
      <c r="FO8" s="326"/>
      <c r="FP8" s="326"/>
      <c r="FQ8" s="326"/>
      <c r="FR8" s="326"/>
      <c r="FS8" s="326"/>
      <c r="FT8" s="326"/>
      <c r="FU8" s="326"/>
      <c r="FV8" s="326"/>
      <c r="FW8" s="326"/>
      <c r="FX8" s="326"/>
      <c r="FY8" s="326"/>
      <c r="FZ8" s="326"/>
      <c r="GA8" s="326"/>
      <c r="GB8" s="326"/>
      <c r="GC8" s="326"/>
      <c r="GD8" s="327" t="s">
        <v>850</v>
      </c>
      <c r="GE8" s="325" t="s">
        <v>887</v>
      </c>
      <c r="GF8" s="325" t="s">
        <v>522</v>
      </c>
      <c r="GG8" s="325" t="s">
        <v>850</v>
      </c>
      <c r="GH8" s="325" t="s">
        <v>529</v>
      </c>
      <c r="GI8" s="328">
        <f t="shared" si="0"/>
        <v>0</v>
      </c>
      <c r="GJ8" s="329" t="s">
        <v>888</v>
      </c>
    </row>
    <row r="9" spans="1:192" s="329" customFormat="1" hidden="1">
      <c r="A9" s="325" t="s">
        <v>526</v>
      </c>
      <c r="B9" s="325" t="s">
        <v>517</v>
      </c>
      <c r="C9" s="325" t="s">
        <v>527</v>
      </c>
      <c r="D9" s="325" t="s">
        <v>632</v>
      </c>
      <c r="E9" s="325" t="s">
        <v>528</v>
      </c>
      <c r="F9" s="325" t="s">
        <v>520</v>
      </c>
      <c r="G9" s="325"/>
      <c r="H9" s="326"/>
      <c r="I9" s="326"/>
      <c r="J9" s="326"/>
      <c r="K9" s="326"/>
      <c r="L9" s="326"/>
      <c r="M9" s="326"/>
      <c r="N9" s="326"/>
      <c r="O9" s="326"/>
      <c r="P9" s="326"/>
      <c r="Q9" s="326"/>
      <c r="R9" s="326"/>
      <c r="S9" s="326"/>
      <c r="T9" s="326"/>
      <c r="U9" s="326"/>
      <c r="V9" s="326"/>
      <c r="W9" s="326"/>
      <c r="X9" s="326"/>
      <c r="Y9" s="326"/>
      <c r="Z9" s="326"/>
      <c r="AA9" s="326"/>
      <c r="AB9" s="326"/>
      <c r="AC9" s="326"/>
      <c r="AD9" s="326"/>
      <c r="AE9" s="326"/>
      <c r="AF9" s="326"/>
      <c r="AG9" s="326"/>
      <c r="AH9" s="326"/>
      <c r="AI9" s="326"/>
      <c r="AJ9" s="326"/>
      <c r="AK9" s="326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326"/>
      <c r="CB9" s="326"/>
      <c r="CC9" s="326"/>
      <c r="CD9" s="326"/>
      <c r="CE9" s="326"/>
      <c r="CF9" s="326"/>
      <c r="CG9" s="326"/>
      <c r="CH9" s="326"/>
      <c r="CI9" s="326"/>
      <c r="CJ9" s="326"/>
      <c r="CK9" s="326"/>
      <c r="CL9" s="326"/>
      <c r="CM9" s="326"/>
      <c r="CN9" s="326"/>
      <c r="CO9" s="326"/>
      <c r="CP9" s="326"/>
      <c r="CQ9" s="326"/>
      <c r="CR9" s="326"/>
      <c r="CS9" s="326"/>
      <c r="CT9" s="326"/>
      <c r="CU9" s="326"/>
      <c r="CV9" s="326"/>
      <c r="CW9" s="326"/>
      <c r="CX9" s="326"/>
      <c r="CY9" s="326"/>
      <c r="CZ9" s="326"/>
      <c r="DA9" s="326"/>
      <c r="DB9" s="326"/>
      <c r="DC9" s="326"/>
      <c r="DD9" s="326"/>
      <c r="DE9" s="326"/>
      <c r="DF9" s="326"/>
      <c r="DG9" s="326"/>
      <c r="DH9" s="326"/>
      <c r="DI9" s="326"/>
      <c r="DJ9" s="326"/>
      <c r="DK9" s="326"/>
      <c r="DL9" s="326"/>
      <c r="DM9" s="326"/>
      <c r="DN9" s="326"/>
      <c r="DO9" s="326"/>
      <c r="DP9" s="326"/>
      <c r="DQ9" s="326"/>
      <c r="DR9" s="326"/>
      <c r="DS9" s="326"/>
      <c r="DT9" s="326"/>
      <c r="DU9" s="326"/>
      <c r="DV9" s="326"/>
      <c r="DW9" s="326"/>
      <c r="DX9" s="326"/>
      <c r="DY9" s="326"/>
      <c r="DZ9" s="326"/>
      <c r="EA9" s="326"/>
      <c r="EB9" s="326"/>
      <c r="EC9" s="326"/>
      <c r="ED9" s="326"/>
      <c r="EE9" s="326"/>
      <c r="EF9" s="326"/>
      <c r="EG9" s="326"/>
      <c r="EH9" s="326"/>
      <c r="EI9" s="326"/>
      <c r="EJ9" s="326"/>
      <c r="EK9" s="326"/>
      <c r="EL9" s="326"/>
      <c r="EM9" s="326"/>
      <c r="EN9" s="326"/>
      <c r="EO9" s="326"/>
      <c r="EP9" s="326"/>
      <c r="EQ9" s="326"/>
      <c r="ER9" s="326"/>
      <c r="ES9" s="326"/>
      <c r="ET9" s="326"/>
      <c r="EU9" s="326"/>
      <c r="EV9" s="326"/>
      <c r="EW9" s="326"/>
      <c r="EX9" s="326"/>
      <c r="EY9" s="326"/>
      <c r="EZ9" s="326"/>
      <c r="FA9" s="326"/>
      <c r="FB9" s="326"/>
      <c r="FC9" s="326"/>
      <c r="FD9" s="326"/>
      <c r="FE9" s="326"/>
      <c r="FF9" s="326"/>
      <c r="FG9" s="326"/>
      <c r="FH9" s="326"/>
      <c r="FI9" s="326"/>
      <c r="FJ9" s="326"/>
      <c r="FK9" s="326"/>
      <c r="FL9" s="326"/>
      <c r="FM9" s="326"/>
      <c r="FN9" s="326"/>
      <c r="FO9" s="326"/>
      <c r="FP9" s="326"/>
      <c r="FQ9" s="326"/>
      <c r="FR9" s="326"/>
      <c r="FS9" s="326"/>
      <c r="FT9" s="326"/>
      <c r="FU9" s="326"/>
      <c r="FV9" s="326"/>
      <c r="FW9" s="326"/>
      <c r="FX9" s="326"/>
      <c r="FY9" s="326"/>
      <c r="FZ9" s="326"/>
      <c r="GA9" s="326"/>
      <c r="GB9" s="326"/>
      <c r="GC9" s="326"/>
      <c r="GD9" s="327"/>
      <c r="GE9" s="325" t="s">
        <v>887</v>
      </c>
      <c r="GF9" s="325" t="s">
        <v>522</v>
      </c>
      <c r="GG9" s="325" t="s">
        <v>850</v>
      </c>
      <c r="GH9" s="325" t="s">
        <v>529</v>
      </c>
      <c r="GI9" s="328">
        <f t="shared" si="0"/>
        <v>0</v>
      </c>
      <c r="GJ9" s="329" t="s">
        <v>888</v>
      </c>
    </row>
    <row r="10" spans="1:192" s="329" customFormat="1" hidden="1">
      <c r="A10" s="325" t="s">
        <v>889</v>
      </c>
      <c r="B10" s="325" t="s">
        <v>517</v>
      </c>
      <c r="C10" s="325" t="s">
        <v>527</v>
      </c>
      <c r="D10" s="325" t="s">
        <v>636</v>
      </c>
      <c r="E10" s="325" t="s">
        <v>532</v>
      </c>
      <c r="F10" s="325" t="s">
        <v>520</v>
      </c>
      <c r="G10" s="325" t="s">
        <v>890</v>
      </c>
      <c r="H10" s="326"/>
      <c r="I10" s="326"/>
      <c r="J10" s="326"/>
      <c r="K10" s="326"/>
      <c r="L10" s="326"/>
      <c r="M10" s="326"/>
      <c r="N10" s="326"/>
      <c r="O10" s="326"/>
      <c r="P10" s="326"/>
      <c r="Q10" s="326"/>
      <c r="R10" s="326"/>
      <c r="S10" s="326"/>
      <c r="T10" s="326"/>
      <c r="U10" s="326"/>
      <c r="V10" s="326"/>
      <c r="W10" s="326"/>
      <c r="X10" s="326"/>
      <c r="Y10" s="326"/>
      <c r="Z10" s="326"/>
      <c r="AA10" s="326"/>
      <c r="AB10" s="326"/>
      <c r="AC10" s="326"/>
      <c r="AD10" s="326"/>
      <c r="AE10" s="326"/>
      <c r="AF10" s="326"/>
      <c r="AG10" s="326"/>
      <c r="AH10" s="326"/>
      <c r="AI10" s="326"/>
      <c r="AJ10" s="326"/>
      <c r="AK10" s="326"/>
      <c r="AL10" s="326"/>
      <c r="AM10" s="326"/>
      <c r="AN10" s="326"/>
      <c r="AO10" s="326"/>
      <c r="AP10" s="326"/>
      <c r="AQ10" s="326"/>
      <c r="AR10" s="326"/>
      <c r="AS10" s="326"/>
      <c r="AT10" s="326"/>
      <c r="AU10" s="326"/>
      <c r="AV10" s="326"/>
      <c r="AW10" s="326"/>
      <c r="AX10" s="326"/>
      <c r="AY10" s="326"/>
      <c r="AZ10" s="326"/>
      <c r="BA10" s="326"/>
      <c r="BB10" s="326"/>
      <c r="BC10" s="326"/>
      <c r="BD10" s="326"/>
      <c r="BE10" s="326"/>
      <c r="BF10" s="326"/>
      <c r="BG10" s="326"/>
      <c r="BH10" s="326"/>
      <c r="BI10" s="326"/>
      <c r="BJ10" s="326"/>
      <c r="BK10" s="326"/>
      <c r="BL10" s="326"/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326"/>
      <c r="CB10" s="326"/>
      <c r="CC10" s="326"/>
      <c r="CD10" s="326"/>
      <c r="CE10" s="326"/>
      <c r="CF10" s="326"/>
      <c r="CG10" s="326"/>
      <c r="CH10" s="326"/>
      <c r="CI10" s="326"/>
      <c r="CJ10" s="326"/>
      <c r="CK10" s="326"/>
      <c r="CL10" s="326"/>
      <c r="CM10" s="326"/>
      <c r="CN10" s="326"/>
      <c r="CO10" s="326"/>
      <c r="CP10" s="326"/>
      <c r="CQ10" s="326"/>
      <c r="CR10" s="326"/>
      <c r="CS10" s="326"/>
      <c r="CT10" s="326"/>
      <c r="CU10" s="326"/>
      <c r="CV10" s="326"/>
      <c r="CW10" s="326"/>
      <c r="CX10" s="326"/>
      <c r="CY10" s="326"/>
      <c r="CZ10" s="326"/>
      <c r="DA10" s="326"/>
      <c r="DB10" s="326"/>
      <c r="DC10" s="326"/>
      <c r="DD10" s="326"/>
      <c r="DE10" s="326"/>
      <c r="DF10" s="326"/>
      <c r="DG10" s="326"/>
      <c r="DH10" s="326"/>
      <c r="DI10" s="326"/>
      <c r="DJ10" s="326"/>
      <c r="DK10" s="326"/>
      <c r="DL10" s="326"/>
      <c r="DM10" s="326"/>
      <c r="DN10" s="326"/>
      <c r="DO10" s="326"/>
      <c r="DP10" s="326"/>
      <c r="DQ10" s="326"/>
      <c r="DR10" s="326"/>
      <c r="DS10" s="326"/>
      <c r="DT10" s="326"/>
      <c r="DU10" s="326"/>
      <c r="DV10" s="326"/>
      <c r="DW10" s="326"/>
      <c r="DX10" s="326"/>
      <c r="DY10" s="326"/>
      <c r="DZ10" s="326"/>
      <c r="EA10" s="326"/>
      <c r="EB10" s="326"/>
      <c r="EC10" s="326"/>
      <c r="ED10" s="326"/>
      <c r="EE10" s="326"/>
      <c r="EF10" s="326"/>
      <c r="EG10" s="326"/>
      <c r="EH10" s="326"/>
      <c r="EI10" s="331">
        <f>200</f>
        <v>200</v>
      </c>
      <c r="EJ10" s="326"/>
      <c r="EK10" s="326"/>
      <c r="EL10" s="326"/>
      <c r="EM10" s="326"/>
      <c r="EN10" s="331">
        <f>20</f>
        <v>20</v>
      </c>
      <c r="EO10" s="326"/>
      <c r="EP10" s="326"/>
      <c r="EQ10" s="326"/>
      <c r="ER10" s="326"/>
      <c r="ES10" s="326"/>
      <c r="ET10" s="326"/>
      <c r="EU10" s="326"/>
      <c r="EV10" s="326"/>
      <c r="EW10" s="326"/>
      <c r="EX10" s="326"/>
      <c r="EY10" s="326"/>
      <c r="EZ10" s="326"/>
      <c r="FA10" s="326"/>
      <c r="FB10" s="326"/>
      <c r="FC10" s="326"/>
      <c r="FD10" s="326"/>
      <c r="FE10" s="326"/>
      <c r="FF10" s="326"/>
      <c r="FG10" s="326"/>
      <c r="FH10" s="326"/>
      <c r="FI10" s="326"/>
      <c r="FJ10" s="326"/>
      <c r="FK10" s="326"/>
      <c r="FL10" s="326"/>
      <c r="FM10" s="326"/>
      <c r="FN10" s="326"/>
      <c r="FO10" s="326"/>
      <c r="FP10" s="326"/>
      <c r="FQ10" s="326"/>
      <c r="FR10" s="326"/>
      <c r="FS10" s="326"/>
      <c r="FT10" s="326"/>
      <c r="FU10" s="326"/>
      <c r="FV10" s="326"/>
      <c r="FW10" s="326"/>
      <c r="FX10" s="326"/>
      <c r="FY10" s="326"/>
      <c r="FZ10" s="326"/>
      <c r="GA10" s="326"/>
      <c r="GB10" s="326"/>
      <c r="GC10" s="326"/>
      <c r="GD10" s="327"/>
      <c r="GE10" s="325" t="s">
        <v>887</v>
      </c>
      <c r="GF10" s="325" t="s">
        <v>522</v>
      </c>
      <c r="GG10" s="325" t="s">
        <v>850</v>
      </c>
      <c r="GH10" s="325" t="s">
        <v>533</v>
      </c>
      <c r="GI10" s="328">
        <f t="shared" si="0"/>
        <v>220</v>
      </c>
      <c r="GJ10" s="329" t="s">
        <v>800</v>
      </c>
    </row>
    <row r="11" spans="1:192" s="329" customFormat="1" hidden="1">
      <c r="A11" s="325" t="s">
        <v>889</v>
      </c>
      <c r="B11" s="325" t="s">
        <v>517</v>
      </c>
      <c r="C11" s="325" t="s">
        <v>527</v>
      </c>
      <c r="D11" s="325" t="s">
        <v>633</v>
      </c>
      <c r="E11" s="325" t="s">
        <v>532</v>
      </c>
      <c r="F11" s="325" t="s">
        <v>520</v>
      </c>
      <c r="G11" s="325" t="s">
        <v>890</v>
      </c>
      <c r="H11" s="326"/>
      <c r="I11" s="326"/>
      <c r="J11" s="326"/>
      <c r="K11" s="326"/>
      <c r="L11" s="326"/>
      <c r="M11" s="326"/>
      <c r="N11" s="326"/>
      <c r="O11" s="326"/>
      <c r="P11" s="326"/>
      <c r="Q11" s="326"/>
      <c r="R11" s="326"/>
      <c r="S11" s="326"/>
      <c r="T11" s="326"/>
      <c r="U11" s="326"/>
      <c r="V11" s="326"/>
      <c r="W11" s="326"/>
      <c r="X11" s="326"/>
      <c r="Y11" s="326"/>
      <c r="Z11" s="326"/>
      <c r="AA11" s="326"/>
      <c r="AB11" s="326"/>
      <c r="AC11" s="326"/>
      <c r="AD11" s="326"/>
      <c r="AE11" s="326"/>
      <c r="AF11" s="330">
        <f>20-20</f>
        <v>0</v>
      </c>
      <c r="AG11" s="330">
        <f>20-20</f>
        <v>0</v>
      </c>
      <c r="AH11" s="330">
        <f>20-20</f>
        <v>0</v>
      </c>
      <c r="AI11" s="330">
        <f>20-20</f>
        <v>0</v>
      </c>
      <c r="AJ11" s="330">
        <f>20-20</f>
        <v>0</v>
      </c>
      <c r="AK11" s="326"/>
      <c r="AL11" s="326"/>
      <c r="AM11" s="326"/>
      <c r="AN11" s="326"/>
      <c r="AO11" s="326"/>
      <c r="AP11" s="326"/>
      <c r="AQ11" s="326"/>
      <c r="AR11" s="326"/>
      <c r="AS11" s="326"/>
      <c r="AT11" s="326"/>
      <c r="AU11" s="326"/>
      <c r="AV11" s="326"/>
      <c r="AW11" s="326"/>
      <c r="AX11" s="330">
        <f>100-100</f>
        <v>0</v>
      </c>
      <c r="AY11" s="326"/>
      <c r="AZ11" s="330">
        <f>100-100</f>
        <v>0</v>
      </c>
      <c r="BA11" s="330">
        <f>100-100</f>
        <v>0</v>
      </c>
      <c r="BB11" s="326"/>
      <c r="BC11" s="330">
        <f>200-200</f>
        <v>0</v>
      </c>
      <c r="BD11" s="330">
        <f>100-100</f>
        <v>0</v>
      </c>
      <c r="BE11" s="330">
        <f>200-200</f>
        <v>0</v>
      </c>
      <c r="BF11" s="330">
        <f>200-200</f>
        <v>0</v>
      </c>
      <c r="BG11" s="326"/>
      <c r="BH11" s="326"/>
      <c r="BI11" s="326"/>
      <c r="BJ11" s="326"/>
      <c r="BK11" s="326"/>
      <c r="BL11" s="330">
        <f t="shared" ref="BL11:BS11" si="1">200-200</f>
        <v>0</v>
      </c>
      <c r="BM11" s="330">
        <f t="shared" si="1"/>
        <v>0</v>
      </c>
      <c r="BN11" s="330">
        <f t="shared" si="1"/>
        <v>0</v>
      </c>
      <c r="BO11" s="330">
        <f t="shared" si="1"/>
        <v>0</v>
      </c>
      <c r="BP11" s="330">
        <f t="shared" si="1"/>
        <v>0</v>
      </c>
      <c r="BQ11" s="330">
        <f t="shared" si="1"/>
        <v>0</v>
      </c>
      <c r="BR11" s="330">
        <f t="shared" si="1"/>
        <v>0</v>
      </c>
      <c r="BS11" s="330">
        <f t="shared" si="1"/>
        <v>0</v>
      </c>
      <c r="BT11" s="326"/>
      <c r="BU11" s="326"/>
      <c r="BV11" s="326"/>
      <c r="BW11" s="326"/>
      <c r="BX11" s="326"/>
      <c r="BY11" s="330">
        <f>200-200</f>
        <v>0</v>
      </c>
      <c r="BZ11" s="326"/>
      <c r="CA11" s="326"/>
      <c r="CB11" s="330">
        <f>200-200</f>
        <v>0</v>
      </c>
      <c r="CC11" s="330">
        <f>200-200</f>
        <v>0</v>
      </c>
      <c r="CD11" s="326"/>
      <c r="CE11" s="326"/>
      <c r="CF11" s="330">
        <f>200-200</f>
        <v>0</v>
      </c>
      <c r="CG11" s="330">
        <f>200-200</f>
        <v>0</v>
      </c>
      <c r="CH11" s="330">
        <f>200-200</f>
        <v>0</v>
      </c>
      <c r="CI11" s="330">
        <f>200-200</f>
        <v>0</v>
      </c>
      <c r="CJ11" s="326"/>
      <c r="CK11" s="330">
        <f>200-200</f>
        <v>0</v>
      </c>
      <c r="CL11" s="326"/>
      <c r="CM11" s="326"/>
      <c r="CN11" s="326"/>
      <c r="CO11" s="326"/>
      <c r="CP11" s="326"/>
      <c r="CQ11" s="330">
        <f>300-300</f>
        <v>0</v>
      </c>
      <c r="CR11" s="330">
        <f>300-300</f>
        <v>0</v>
      </c>
      <c r="CS11" s="330">
        <f>300-300</f>
        <v>0</v>
      </c>
      <c r="CT11" s="330">
        <f>300-300</f>
        <v>0</v>
      </c>
      <c r="CU11" s="330">
        <f>300-300</f>
        <v>0</v>
      </c>
      <c r="CV11" s="326"/>
      <c r="CW11" s="326"/>
      <c r="CX11" s="330">
        <f>300-300</f>
        <v>0</v>
      </c>
      <c r="CY11" s="330">
        <f>300-300</f>
        <v>0</v>
      </c>
      <c r="CZ11" s="330">
        <f>300-300</f>
        <v>0</v>
      </c>
      <c r="DA11" s="330">
        <f>300-300</f>
        <v>0</v>
      </c>
      <c r="DB11" s="330">
        <f>300-300</f>
        <v>0</v>
      </c>
      <c r="DC11" s="326"/>
      <c r="DD11" s="330">
        <f>300-300</f>
        <v>0</v>
      </c>
      <c r="DE11" s="330">
        <f>300-300</f>
        <v>0</v>
      </c>
      <c r="DF11" s="326"/>
      <c r="DG11" s="330">
        <f>300-300</f>
        <v>0</v>
      </c>
      <c r="DH11" s="326"/>
      <c r="DI11" s="330">
        <f>500-500</f>
        <v>0</v>
      </c>
      <c r="DJ11" s="330">
        <f>500-500</f>
        <v>0</v>
      </c>
      <c r="DK11" s="330">
        <f>500-500</f>
        <v>0</v>
      </c>
      <c r="DL11" s="330">
        <f>500-500</f>
        <v>0</v>
      </c>
      <c r="DM11" s="330">
        <f>500-500</f>
        <v>0</v>
      </c>
      <c r="DN11" s="326"/>
      <c r="DO11" s="326"/>
      <c r="DP11" s="326"/>
      <c r="DQ11" s="326"/>
      <c r="DR11" s="326"/>
      <c r="DS11" s="326"/>
      <c r="DT11" s="326"/>
      <c r="DU11" s="326"/>
      <c r="DV11" s="326"/>
      <c r="DW11" s="326"/>
      <c r="DX11" s="326"/>
      <c r="DY11" s="326"/>
      <c r="DZ11" s="326"/>
      <c r="EA11" s="326"/>
      <c r="EB11" s="326"/>
      <c r="EC11" s="326"/>
      <c r="ED11" s="330">
        <f>200-200</f>
        <v>0</v>
      </c>
      <c r="EE11" s="330">
        <f>200-200</f>
        <v>0</v>
      </c>
      <c r="EF11" s="330">
        <f>200-200</f>
        <v>0</v>
      </c>
      <c r="EG11" s="326"/>
      <c r="EH11" s="326"/>
      <c r="EI11" s="330">
        <f>200-200</f>
        <v>0</v>
      </c>
      <c r="EJ11" s="326"/>
      <c r="EK11" s="330">
        <f>200-200</f>
        <v>0</v>
      </c>
      <c r="EL11" s="330">
        <f>500-500</f>
        <v>0</v>
      </c>
      <c r="EM11" s="330">
        <f>500-500</f>
        <v>0</v>
      </c>
      <c r="EN11" s="330">
        <f>500-500</f>
        <v>0</v>
      </c>
      <c r="EO11" s="326"/>
      <c r="EP11" s="330">
        <f t="shared" ref="EP11:EW11" si="2">500-500</f>
        <v>0</v>
      </c>
      <c r="EQ11" s="326"/>
      <c r="ER11" s="330">
        <f t="shared" si="2"/>
        <v>0</v>
      </c>
      <c r="ES11" s="330">
        <f t="shared" si="2"/>
        <v>0</v>
      </c>
      <c r="ET11" s="330">
        <f t="shared" si="2"/>
        <v>0</v>
      </c>
      <c r="EU11" s="330">
        <f t="shared" si="2"/>
        <v>0</v>
      </c>
      <c r="EV11" s="330">
        <f t="shared" si="2"/>
        <v>0</v>
      </c>
      <c r="EW11" s="330">
        <f t="shared" si="2"/>
        <v>0</v>
      </c>
      <c r="EX11" s="326"/>
      <c r="EY11" s="330">
        <f>500-500</f>
        <v>0</v>
      </c>
      <c r="EZ11" s="326"/>
      <c r="FA11" s="330">
        <f>500-500</f>
        <v>0</v>
      </c>
      <c r="FB11" s="330">
        <f>500-500</f>
        <v>0</v>
      </c>
      <c r="FC11" s="326"/>
      <c r="FD11" s="330">
        <f>500-500</f>
        <v>0</v>
      </c>
      <c r="FE11" s="330">
        <f>500-500</f>
        <v>0</v>
      </c>
      <c r="FF11" s="326"/>
      <c r="FG11" s="330">
        <f>200-200</f>
        <v>0</v>
      </c>
      <c r="FH11" s="331">
        <f>200-200+30</f>
        <v>30</v>
      </c>
      <c r="FI11" s="330">
        <f>200-200</f>
        <v>0</v>
      </c>
      <c r="FJ11" s="330">
        <f>200-200</f>
        <v>0</v>
      </c>
      <c r="FK11" s="326"/>
      <c r="FL11" s="326"/>
      <c r="FM11" s="326"/>
      <c r="FN11" s="330">
        <f>80-80</f>
        <v>0</v>
      </c>
      <c r="FO11" s="326"/>
      <c r="FP11" s="326"/>
      <c r="FQ11" s="326"/>
      <c r="FR11" s="326"/>
      <c r="FS11" s="326"/>
      <c r="FT11" s="326"/>
      <c r="FU11" s="326"/>
      <c r="FV11" s="326"/>
      <c r="FW11" s="326"/>
      <c r="FX11" s="326"/>
      <c r="FY11" s="326"/>
      <c r="FZ11" s="326"/>
      <c r="GA11" s="326"/>
      <c r="GB11" s="326"/>
      <c r="GC11" s="326"/>
      <c r="GD11" s="327" t="s">
        <v>850</v>
      </c>
      <c r="GE11" s="325" t="s">
        <v>887</v>
      </c>
      <c r="GF11" s="325" t="s">
        <v>522</v>
      </c>
      <c r="GG11" s="325" t="s">
        <v>850</v>
      </c>
      <c r="GH11" s="325" t="s">
        <v>533</v>
      </c>
      <c r="GI11" s="328">
        <f t="shared" si="0"/>
        <v>30</v>
      </c>
      <c r="GJ11" s="329" t="s">
        <v>800</v>
      </c>
    </row>
    <row r="12" spans="1:192" s="329" customFormat="1" hidden="1">
      <c r="A12" s="325" t="s">
        <v>889</v>
      </c>
      <c r="B12" s="325" t="s">
        <v>517</v>
      </c>
      <c r="C12" s="325" t="s">
        <v>527</v>
      </c>
      <c r="D12" s="325" t="s">
        <v>3</v>
      </c>
      <c r="E12" s="325" t="s">
        <v>532</v>
      </c>
      <c r="F12" s="325" t="s">
        <v>520</v>
      </c>
      <c r="G12" s="325" t="s">
        <v>891</v>
      </c>
      <c r="H12" s="326"/>
      <c r="I12" s="326"/>
      <c r="J12" s="326"/>
      <c r="K12" s="326"/>
      <c r="L12" s="326"/>
      <c r="M12" s="326"/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6"/>
      <c r="AW12" s="326"/>
      <c r="AX12" s="326"/>
      <c r="AY12" s="326"/>
      <c r="AZ12" s="326"/>
      <c r="BA12" s="326"/>
      <c r="BB12" s="326"/>
      <c r="BC12" s="326"/>
      <c r="BD12" s="326"/>
      <c r="BE12" s="326"/>
      <c r="BF12" s="326"/>
      <c r="BG12" s="326"/>
      <c r="BH12" s="326"/>
      <c r="BI12" s="326"/>
      <c r="BJ12" s="326"/>
      <c r="BK12" s="326"/>
      <c r="BL12" s="326"/>
      <c r="BM12" s="326"/>
      <c r="BN12" s="326"/>
      <c r="BO12" s="326"/>
      <c r="BP12" s="326"/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326"/>
      <c r="CB12" s="326"/>
      <c r="CC12" s="326"/>
      <c r="CD12" s="326"/>
      <c r="CE12" s="326"/>
      <c r="CF12" s="326"/>
      <c r="CG12" s="326"/>
      <c r="CH12" s="326"/>
      <c r="CI12" s="326"/>
      <c r="CJ12" s="326"/>
      <c r="CK12" s="326"/>
      <c r="CL12" s="326"/>
      <c r="CM12" s="326"/>
      <c r="CN12" s="326"/>
      <c r="CO12" s="326"/>
      <c r="CP12" s="326"/>
      <c r="CQ12" s="326"/>
      <c r="CR12" s="326"/>
      <c r="CS12" s="326"/>
      <c r="CT12" s="326"/>
      <c r="CU12" s="326"/>
      <c r="CV12" s="326"/>
      <c r="CW12" s="326"/>
      <c r="CX12" s="326"/>
      <c r="CY12" s="326"/>
      <c r="CZ12" s="326"/>
      <c r="DA12" s="326"/>
      <c r="DB12" s="326"/>
      <c r="DC12" s="326"/>
      <c r="DD12" s="326"/>
      <c r="DE12" s="326"/>
      <c r="DF12" s="326"/>
      <c r="DG12" s="326"/>
      <c r="DH12" s="326"/>
      <c r="DI12" s="326"/>
      <c r="DJ12" s="326"/>
      <c r="DK12" s="326"/>
      <c r="DL12" s="326"/>
      <c r="DM12" s="326"/>
      <c r="DN12" s="326"/>
      <c r="DO12" s="326"/>
      <c r="DP12" s="326"/>
      <c r="DQ12" s="326"/>
      <c r="DR12" s="326"/>
      <c r="DS12" s="326"/>
      <c r="DT12" s="326"/>
      <c r="DU12" s="326"/>
      <c r="DV12" s="326"/>
      <c r="DW12" s="326"/>
      <c r="DX12" s="326"/>
      <c r="DY12" s="326"/>
      <c r="DZ12" s="326"/>
      <c r="EA12" s="326"/>
      <c r="EB12" s="326"/>
      <c r="EC12" s="326"/>
      <c r="ED12" s="326"/>
      <c r="EE12" s="326"/>
      <c r="EF12" s="326"/>
      <c r="EG12" s="326"/>
      <c r="EH12" s="326"/>
      <c r="EI12" s="326"/>
      <c r="EJ12" s="326"/>
      <c r="EK12" s="326"/>
      <c r="EL12" s="326"/>
      <c r="EM12" s="326"/>
      <c r="EN12" s="326"/>
      <c r="EO12" s="326"/>
      <c r="EP12" s="326"/>
      <c r="EQ12" s="326"/>
      <c r="ER12" s="326"/>
      <c r="ES12" s="326"/>
      <c r="ET12" s="326"/>
      <c r="EU12" s="326"/>
      <c r="EV12" s="326"/>
      <c r="EW12" s="326"/>
      <c r="EX12" s="326"/>
      <c r="EY12" s="326"/>
      <c r="EZ12" s="326"/>
      <c r="FA12" s="326"/>
      <c r="FB12" s="326"/>
      <c r="FC12" s="326"/>
      <c r="FD12" s="326"/>
      <c r="FE12" s="326"/>
      <c r="FF12" s="326"/>
      <c r="FG12" s="326"/>
      <c r="FH12" s="326"/>
      <c r="FI12" s="326"/>
      <c r="FJ12" s="326"/>
      <c r="FK12" s="326"/>
      <c r="FL12" s="326"/>
      <c r="FM12" s="326"/>
      <c r="FN12" s="332">
        <f>80</f>
        <v>80</v>
      </c>
      <c r="FO12" s="326"/>
      <c r="FP12" s="326"/>
      <c r="FQ12" s="326"/>
      <c r="FR12" s="326"/>
      <c r="FS12" s="326"/>
      <c r="FT12" s="326"/>
      <c r="FU12" s="326"/>
      <c r="FV12" s="326"/>
      <c r="FW12" s="326"/>
      <c r="FX12" s="326"/>
      <c r="FY12" s="326"/>
      <c r="FZ12" s="326"/>
      <c r="GA12" s="326"/>
      <c r="GB12" s="326"/>
      <c r="GC12" s="326"/>
      <c r="GD12" s="327"/>
      <c r="GE12" s="325" t="s">
        <v>887</v>
      </c>
      <c r="GF12" s="325" t="s">
        <v>522</v>
      </c>
      <c r="GG12" s="325" t="s">
        <v>850</v>
      </c>
      <c r="GH12" s="325" t="s">
        <v>533</v>
      </c>
      <c r="GI12" s="328">
        <f t="shared" si="0"/>
        <v>80</v>
      </c>
      <c r="GJ12" s="329" t="s">
        <v>800</v>
      </c>
    </row>
    <row r="13" spans="1:192" s="329" customFormat="1" hidden="1">
      <c r="A13" s="325" t="s">
        <v>892</v>
      </c>
      <c r="B13" s="325" t="s">
        <v>517</v>
      </c>
      <c r="C13" s="325" t="s">
        <v>527</v>
      </c>
      <c r="D13" s="325" t="s">
        <v>636</v>
      </c>
      <c r="E13" s="325" t="s">
        <v>534</v>
      </c>
      <c r="F13" s="325" t="s">
        <v>520</v>
      </c>
      <c r="G13" s="325"/>
      <c r="H13" s="326"/>
      <c r="I13" s="326"/>
      <c r="J13" s="326"/>
      <c r="K13" s="326"/>
      <c r="L13" s="326"/>
      <c r="M13" s="326"/>
      <c r="N13" s="326"/>
      <c r="O13" s="326"/>
      <c r="P13" s="326"/>
      <c r="Q13" s="326"/>
      <c r="R13" s="326"/>
      <c r="S13" s="326"/>
      <c r="T13" s="326"/>
      <c r="U13" s="326"/>
      <c r="V13" s="326"/>
      <c r="W13" s="326"/>
      <c r="X13" s="326"/>
      <c r="Y13" s="326"/>
      <c r="Z13" s="326"/>
      <c r="AA13" s="326"/>
      <c r="AB13" s="326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P13" s="326"/>
      <c r="AQ13" s="326"/>
      <c r="AR13" s="326"/>
      <c r="AS13" s="326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/>
      <c r="BF13" s="326"/>
      <c r="BG13" s="326"/>
      <c r="BH13" s="326"/>
      <c r="BI13" s="326"/>
      <c r="BJ13" s="326"/>
      <c r="BK13" s="326"/>
      <c r="BL13" s="326"/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326"/>
      <c r="CB13" s="326"/>
      <c r="CC13" s="326"/>
      <c r="CD13" s="326"/>
      <c r="CE13" s="326"/>
      <c r="CF13" s="326"/>
      <c r="CG13" s="326"/>
      <c r="CH13" s="326"/>
      <c r="CI13" s="326"/>
      <c r="CJ13" s="326"/>
      <c r="CK13" s="326"/>
      <c r="CL13" s="326"/>
      <c r="CM13" s="326"/>
      <c r="CN13" s="326"/>
      <c r="CO13" s="326"/>
      <c r="CP13" s="326"/>
      <c r="CQ13" s="326"/>
      <c r="CR13" s="326"/>
      <c r="CS13" s="326"/>
      <c r="CT13" s="326"/>
      <c r="CU13" s="326"/>
      <c r="CV13" s="326"/>
      <c r="CW13" s="326"/>
      <c r="CX13" s="326"/>
      <c r="CY13" s="326"/>
      <c r="CZ13" s="326"/>
      <c r="DA13" s="326"/>
      <c r="DB13" s="326"/>
      <c r="DC13" s="326"/>
      <c r="DD13" s="326"/>
      <c r="DE13" s="326"/>
      <c r="DF13" s="326"/>
      <c r="DG13" s="326"/>
      <c r="DH13" s="326"/>
      <c r="DI13" s="326"/>
      <c r="DJ13" s="326"/>
      <c r="DK13" s="326"/>
      <c r="DL13" s="326"/>
      <c r="DM13" s="326"/>
      <c r="DN13" s="326"/>
      <c r="DO13" s="326"/>
      <c r="DP13" s="326"/>
      <c r="DQ13" s="326"/>
      <c r="DR13" s="326"/>
      <c r="DS13" s="326"/>
      <c r="DT13" s="326"/>
      <c r="DU13" s="326"/>
      <c r="DV13" s="326"/>
      <c r="DW13" s="326"/>
      <c r="DX13" s="326"/>
      <c r="DY13" s="326"/>
      <c r="DZ13" s="326"/>
      <c r="EA13" s="326"/>
      <c r="EB13" s="326"/>
      <c r="EC13" s="326"/>
      <c r="ED13" s="326"/>
      <c r="EE13" s="326"/>
      <c r="EF13" s="326"/>
      <c r="EG13" s="326"/>
      <c r="EH13" s="326"/>
      <c r="EI13" s="326"/>
      <c r="EJ13" s="326"/>
      <c r="EK13" s="326"/>
      <c r="EL13" s="326"/>
      <c r="EM13" s="326"/>
      <c r="EN13" s="326"/>
      <c r="EO13" s="326"/>
      <c r="EP13" s="326"/>
      <c r="EQ13" s="326"/>
      <c r="ER13" s="326"/>
      <c r="ES13" s="326"/>
      <c r="ET13" s="326"/>
      <c r="EU13" s="326"/>
      <c r="EV13" s="326"/>
      <c r="EW13" s="326"/>
      <c r="EX13" s="326"/>
      <c r="EY13" s="326"/>
      <c r="EZ13" s="326"/>
      <c r="FA13" s="326"/>
      <c r="FB13" s="326"/>
      <c r="FC13" s="326"/>
      <c r="FD13" s="326"/>
      <c r="FE13" s="326"/>
      <c r="FF13" s="326"/>
      <c r="FG13" s="326"/>
      <c r="FH13" s="326"/>
      <c r="FI13" s="326"/>
      <c r="FJ13" s="326"/>
      <c r="FK13" s="326"/>
      <c r="FL13" s="326"/>
      <c r="FM13" s="326"/>
      <c r="FN13" s="326"/>
      <c r="FO13" s="326"/>
      <c r="FP13" s="326"/>
      <c r="FQ13" s="326"/>
      <c r="FR13" s="326"/>
      <c r="FS13" s="326"/>
      <c r="FT13" s="326"/>
      <c r="FU13" s="326"/>
      <c r="FV13" s="326"/>
      <c r="FW13" s="326"/>
      <c r="FX13" s="326"/>
      <c r="FY13" s="326"/>
      <c r="FZ13" s="326"/>
      <c r="GA13" s="326"/>
      <c r="GB13" s="326"/>
      <c r="GC13" s="326"/>
      <c r="GD13" s="327"/>
      <c r="GE13" s="325" t="s">
        <v>887</v>
      </c>
      <c r="GF13" s="325" t="s">
        <v>522</v>
      </c>
      <c r="GG13" s="325" t="s">
        <v>893</v>
      </c>
      <c r="GH13" s="325" t="s">
        <v>894</v>
      </c>
      <c r="GI13" s="328">
        <f t="shared" si="0"/>
        <v>0</v>
      </c>
      <c r="GJ13" s="329" t="s">
        <v>888</v>
      </c>
    </row>
    <row r="14" spans="1:192" s="329" customFormat="1" hidden="1">
      <c r="A14" s="325" t="s">
        <v>892</v>
      </c>
      <c r="B14" s="325" t="s">
        <v>517</v>
      </c>
      <c r="C14" s="325" t="s">
        <v>527</v>
      </c>
      <c r="D14" s="325" t="s">
        <v>633</v>
      </c>
      <c r="E14" s="325" t="s">
        <v>534</v>
      </c>
      <c r="F14" s="325" t="s">
        <v>520</v>
      </c>
      <c r="G14" s="325"/>
      <c r="H14" s="326"/>
      <c r="I14" s="326"/>
      <c r="J14" s="326"/>
      <c r="K14" s="326"/>
      <c r="L14" s="326"/>
      <c r="M14" s="326"/>
      <c r="N14" s="326"/>
      <c r="O14" s="326"/>
      <c r="P14" s="326"/>
      <c r="Q14" s="326"/>
      <c r="R14" s="326"/>
      <c r="S14" s="326"/>
      <c r="T14" s="326"/>
      <c r="U14" s="326"/>
      <c r="V14" s="326"/>
      <c r="W14" s="326"/>
      <c r="X14" s="326"/>
      <c r="Y14" s="326"/>
      <c r="Z14" s="326"/>
      <c r="AA14" s="326"/>
      <c r="AB14" s="326"/>
      <c r="AC14" s="326"/>
      <c r="AD14" s="326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/>
      <c r="BR14" s="326"/>
      <c r="BS14" s="326"/>
      <c r="BT14" s="326"/>
      <c r="BU14" s="326"/>
      <c r="BV14" s="326"/>
      <c r="BW14" s="326"/>
      <c r="BX14" s="326"/>
      <c r="BY14" s="326"/>
      <c r="BZ14" s="326"/>
      <c r="CA14" s="326"/>
      <c r="CB14" s="326"/>
      <c r="CC14" s="326"/>
      <c r="CD14" s="326"/>
      <c r="CE14" s="326"/>
      <c r="CF14" s="326"/>
      <c r="CG14" s="326"/>
      <c r="CH14" s="326"/>
      <c r="CI14" s="326"/>
      <c r="CJ14" s="326"/>
      <c r="CK14" s="326"/>
      <c r="CL14" s="326"/>
      <c r="CM14" s="326"/>
      <c r="CN14" s="326"/>
      <c r="CO14" s="326"/>
      <c r="CP14" s="326"/>
      <c r="CQ14" s="326"/>
      <c r="CR14" s="326"/>
      <c r="CS14" s="326"/>
      <c r="CT14" s="326"/>
      <c r="CU14" s="326"/>
      <c r="CV14" s="326"/>
      <c r="CW14" s="326"/>
      <c r="CX14" s="326"/>
      <c r="CY14" s="326"/>
      <c r="CZ14" s="326"/>
      <c r="DA14" s="326"/>
      <c r="DB14" s="326"/>
      <c r="DC14" s="326"/>
      <c r="DD14" s="326"/>
      <c r="DE14" s="326"/>
      <c r="DF14" s="326"/>
      <c r="DG14" s="326"/>
      <c r="DH14" s="326"/>
      <c r="DI14" s="326"/>
      <c r="DJ14" s="326"/>
      <c r="DK14" s="326"/>
      <c r="DL14" s="326"/>
      <c r="DM14" s="326"/>
      <c r="DN14" s="326"/>
      <c r="DO14" s="326"/>
      <c r="DP14" s="326"/>
      <c r="DQ14" s="326"/>
      <c r="DR14" s="326"/>
      <c r="DS14" s="326"/>
      <c r="DT14" s="326"/>
      <c r="DU14" s="326"/>
      <c r="DV14" s="326"/>
      <c r="DW14" s="326"/>
      <c r="DX14" s="326"/>
      <c r="DY14" s="326"/>
      <c r="DZ14" s="326"/>
      <c r="EA14" s="326"/>
      <c r="EB14" s="326"/>
      <c r="EC14" s="326"/>
      <c r="ED14" s="326"/>
      <c r="EE14" s="326"/>
      <c r="EF14" s="326"/>
      <c r="EG14" s="326"/>
      <c r="EH14" s="326"/>
      <c r="EI14" s="326"/>
      <c r="EJ14" s="326"/>
      <c r="EK14" s="326"/>
      <c r="EL14" s="330">
        <f>50-50</f>
        <v>0</v>
      </c>
      <c r="EM14" s="330">
        <f>100-100</f>
        <v>0</v>
      </c>
      <c r="EN14" s="326"/>
      <c r="EO14" s="326"/>
      <c r="EP14" s="330">
        <f>50-50</f>
        <v>0</v>
      </c>
      <c r="EQ14" s="326"/>
      <c r="ER14" s="330">
        <f>100-100</f>
        <v>0</v>
      </c>
      <c r="ES14" s="330">
        <f>50-50</f>
        <v>0</v>
      </c>
      <c r="ET14" s="326"/>
      <c r="EU14" s="326"/>
      <c r="EV14" s="330">
        <f>50-50</f>
        <v>0</v>
      </c>
      <c r="EW14" s="330">
        <f>20-20</f>
        <v>0</v>
      </c>
      <c r="EX14" s="326"/>
      <c r="EY14" s="330">
        <f>50-50</f>
        <v>0</v>
      </c>
      <c r="EZ14" s="326"/>
      <c r="FA14" s="326"/>
      <c r="FB14" s="326"/>
      <c r="FC14" s="326"/>
      <c r="FD14" s="326"/>
      <c r="FE14" s="326"/>
      <c r="FF14" s="326"/>
      <c r="FG14" s="326"/>
      <c r="FH14" s="326"/>
      <c r="FI14" s="330">
        <f>50-50</f>
        <v>0</v>
      </c>
      <c r="FJ14" s="326"/>
      <c r="FK14" s="326"/>
      <c r="FL14" s="326"/>
      <c r="FM14" s="326"/>
      <c r="FN14" s="326"/>
      <c r="FO14" s="326"/>
      <c r="FP14" s="326"/>
      <c r="FQ14" s="326"/>
      <c r="FR14" s="326"/>
      <c r="FS14" s="326"/>
      <c r="FT14" s="326"/>
      <c r="FU14" s="326"/>
      <c r="FV14" s="326"/>
      <c r="FW14" s="326"/>
      <c r="FX14" s="326"/>
      <c r="FY14" s="326"/>
      <c r="FZ14" s="326"/>
      <c r="GA14" s="326"/>
      <c r="GB14" s="326"/>
      <c r="GC14" s="326"/>
      <c r="GD14" s="327" t="s">
        <v>850</v>
      </c>
      <c r="GE14" s="325" t="s">
        <v>887</v>
      </c>
      <c r="GF14" s="325" t="s">
        <v>522</v>
      </c>
      <c r="GG14" s="325" t="s">
        <v>893</v>
      </c>
      <c r="GH14" s="325" t="s">
        <v>894</v>
      </c>
      <c r="GI14" s="328">
        <f t="shared" si="0"/>
        <v>0</v>
      </c>
      <c r="GJ14" s="329" t="s">
        <v>888</v>
      </c>
    </row>
    <row r="15" spans="1:192" s="329" customFormat="1" hidden="1">
      <c r="A15" s="325" t="s">
        <v>892</v>
      </c>
      <c r="B15" s="325" t="s">
        <v>517</v>
      </c>
      <c r="C15" s="325" t="s">
        <v>527</v>
      </c>
      <c r="D15" s="325" t="s">
        <v>3</v>
      </c>
      <c r="E15" s="325" t="s">
        <v>534</v>
      </c>
      <c r="F15" s="325" t="s">
        <v>520</v>
      </c>
      <c r="G15" s="325"/>
      <c r="H15" s="326"/>
      <c r="I15" s="326"/>
      <c r="J15" s="326"/>
      <c r="K15" s="326"/>
      <c r="L15" s="326"/>
      <c r="M15" s="326"/>
      <c r="N15" s="326"/>
      <c r="O15" s="326"/>
      <c r="P15" s="326"/>
      <c r="Q15" s="326"/>
      <c r="R15" s="326"/>
      <c r="S15" s="326"/>
      <c r="T15" s="326"/>
      <c r="U15" s="326"/>
      <c r="V15" s="326"/>
      <c r="W15" s="326"/>
      <c r="X15" s="326"/>
      <c r="Y15" s="326"/>
      <c r="Z15" s="326"/>
      <c r="AA15" s="326"/>
      <c r="AB15" s="326"/>
      <c r="AC15" s="326"/>
      <c r="AD15" s="326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  <c r="AQ15" s="326"/>
      <c r="AR15" s="326"/>
      <c r="AS15" s="326"/>
      <c r="AT15" s="326"/>
      <c r="AU15" s="326"/>
      <c r="AV15" s="326"/>
      <c r="AW15" s="326"/>
      <c r="AX15" s="326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6"/>
      <c r="BK15" s="326"/>
      <c r="BL15" s="326"/>
      <c r="BM15" s="326"/>
      <c r="BN15" s="326"/>
      <c r="BO15" s="326"/>
      <c r="BP15" s="326"/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326"/>
      <c r="CB15" s="326"/>
      <c r="CC15" s="326"/>
      <c r="CD15" s="326"/>
      <c r="CE15" s="326"/>
      <c r="CF15" s="326"/>
      <c r="CG15" s="326"/>
      <c r="CH15" s="326"/>
      <c r="CI15" s="326"/>
      <c r="CJ15" s="326"/>
      <c r="CK15" s="326"/>
      <c r="CL15" s="326"/>
      <c r="CM15" s="326"/>
      <c r="CN15" s="326"/>
      <c r="CO15" s="326"/>
      <c r="CP15" s="326"/>
      <c r="CQ15" s="326"/>
      <c r="CR15" s="326"/>
      <c r="CS15" s="326"/>
      <c r="CT15" s="326"/>
      <c r="CU15" s="326"/>
      <c r="CV15" s="326"/>
      <c r="CW15" s="326"/>
      <c r="CX15" s="326"/>
      <c r="CY15" s="326"/>
      <c r="CZ15" s="326"/>
      <c r="DA15" s="326"/>
      <c r="DB15" s="326"/>
      <c r="DC15" s="326"/>
      <c r="DD15" s="326"/>
      <c r="DE15" s="326"/>
      <c r="DF15" s="326"/>
      <c r="DG15" s="326"/>
      <c r="DH15" s="326"/>
      <c r="DI15" s="326"/>
      <c r="DJ15" s="326"/>
      <c r="DK15" s="326"/>
      <c r="DL15" s="326"/>
      <c r="DM15" s="326"/>
      <c r="DN15" s="326"/>
      <c r="DO15" s="326"/>
      <c r="DP15" s="326"/>
      <c r="DQ15" s="326"/>
      <c r="DR15" s="326"/>
      <c r="DS15" s="326"/>
      <c r="DT15" s="326"/>
      <c r="DU15" s="326"/>
      <c r="DV15" s="326"/>
      <c r="DW15" s="326"/>
      <c r="DX15" s="326"/>
      <c r="DY15" s="326"/>
      <c r="DZ15" s="326"/>
      <c r="EA15" s="326"/>
      <c r="EB15" s="326"/>
      <c r="EC15" s="326"/>
      <c r="ED15" s="326"/>
      <c r="EE15" s="326"/>
      <c r="EF15" s="326"/>
      <c r="EG15" s="326"/>
      <c r="EH15" s="326"/>
      <c r="EI15" s="326"/>
      <c r="EJ15" s="326"/>
      <c r="EK15" s="326"/>
      <c r="EL15" s="326"/>
      <c r="EM15" s="326"/>
      <c r="EN15" s="326"/>
      <c r="EO15" s="326"/>
      <c r="EP15" s="326"/>
      <c r="EQ15" s="326"/>
      <c r="ER15" s="326"/>
      <c r="ES15" s="326"/>
      <c r="ET15" s="326"/>
      <c r="EU15" s="326"/>
      <c r="EV15" s="326"/>
      <c r="EW15" s="326"/>
      <c r="EX15" s="326"/>
      <c r="EY15" s="326"/>
      <c r="EZ15" s="326"/>
      <c r="FA15" s="326"/>
      <c r="FB15" s="326"/>
      <c r="FC15" s="326"/>
      <c r="FD15" s="326"/>
      <c r="FE15" s="326"/>
      <c r="FF15" s="326"/>
      <c r="FG15" s="326"/>
      <c r="FH15" s="326"/>
      <c r="FI15" s="326"/>
      <c r="FJ15" s="326"/>
      <c r="FK15" s="326"/>
      <c r="FL15" s="326"/>
      <c r="FM15" s="326"/>
      <c r="FN15" s="326"/>
      <c r="FO15" s="326"/>
      <c r="FP15" s="326"/>
      <c r="FQ15" s="326"/>
      <c r="FR15" s="326"/>
      <c r="FS15" s="326"/>
      <c r="FT15" s="326"/>
      <c r="FU15" s="326"/>
      <c r="FV15" s="326"/>
      <c r="FW15" s="326"/>
      <c r="FX15" s="326"/>
      <c r="FY15" s="326"/>
      <c r="FZ15" s="326"/>
      <c r="GA15" s="326"/>
      <c r="GB15" s="326"/>
      <c r="GC15" s="326"/>
      <c r="GD15" s="327"/>
      <c r="GE15" s="325" t="s">
        <v>887</v>
      </c>
      <c r="GF15" s="325" t="s">
        <v>522</v>
      </c>
      <c r="GG15" s="325" t="s">
        <v>893</v>
      </c>
      <c r="GH15" s="325" t="s">
        <v>894</v>
      </c>
      <c r="GI15" s="328">
        <f t="shared" si="0"/>
        <v>0</v>
      </c>
      <c r="GJ15" s="329" t="s">
        <v>888</v>
      </c>
    </row>
    <row r="16" spans="1:192" s="329" customFormat="1" hidden="1">
      <c r="A16" s="325" t="s">
        <v>526</v>
      </c>
      <c r="B16" s="325" t="s">
        <v>517</v>
      </c>
      <c r="C16" s="325" t="s">
        <v>527</v>
      </c>
      <c r="D16" s="325" t="s">
        <v>636</v>
      </c>
      <c r="E16" s="325" t="s">
        <v>536</v>
      </c>
      <c r="F16" s="325" t="s">
        <v>520</v>
      </c>
      <c r="G16" s="325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  <c r="S16" s="326"/>
      <c r="T16" s="326"/>
      <c r="U16" s="326"/>
      <c r="V16" s="326"/>
      <c r="W16" s="326"/>
      <c r="X16" s="326"/>
      <c r="Y16" s="326"/>
      <c r="Z16" s="326"/>
      <c r="AA16" s="326"/>
      <c r="AB16" s="326"/>
      <c r="AC16" s="326"/>
      <c r="AD16" s="326"/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/>
      <c r="BS16" s="326"/>
      <c r="BT16" s="326"/>
      <c r="BU16" s="326"/>
      <c r="BV16" s="326"/>
      <c r="BW16" s="326"/>
      <c r="BX16" s="326"/>
      <c r="BY16" s="326"/>
      <c r="BZ16" s="326"/>
      <c r="CA16" s="326"/>
      <c r="CB16" s="326"/>
      <c r="CC16" s="326"/>
      <c r="CD16" s="326"/>
      <c r="CE16" s="326"/>
      <c r="CF16" s="326"/>
      <c r="CG16" s="326"/>
      <c r="CH16" s="326"/>
      <c r="CI16" s="326"/>
      <c r="CJ16" s="326"/>
      <c r="CK16" s="326"/>
      <c r="CL16" s="326"/>
      <c r="CM16" s="326"/>
      <c r="CN16" s="326"/>
      <c r="CO16" s="326"/>
      <c r="CP16" s="326"/>
      <c r="CQ16" s="326"/>
      <c r="CR16" s="326"/>
      <c r="CS16" s="326"/>
      <c r="CT16" s="326"/>
      <c r="CU16" s="326"/>
      <c r="CV16" s="326"/>
      <c r="CW16" s="326"/>
      <c r="CX16" s="326"/>
      <c r="CY16" s="326"/>
      <c r="CZ16" s="326"/>
      <c r="DA16" s="326"/>
      <c r="DB16" s="326"/>
      <c r="DC16" s="326"/>
      <c r="DD16" s="326"/>
      <c r="DE16" s="326"/>
      <c r="DF16" s="326"/>
      <c r="DG16" s="326"/>
      <c r="DH16" s="326"/>
      <c r="DI16" s="326"/>
      <c r="DJ16" s="326"/>
      <c r="DK16" s="326"/>
      <c r="DL16" s="326"/>
      <c r="DM16" s="326"/>
      <c r="DN16" s="326"/>
      <c r="DO16" s="326"/>
      <c r="DP16" s="326"/>
      <c r="DQ16" s="326"/>
      <c r="DR16" s="326"/>
      <c r="DS16" s="326"/>
      <c r="DT16" s="326"/>
      <c r="DU16" s="326"/>
      <c r="DV16" s="326"/>
      <c r="DW16" s="326"/>
      <c r="DX16" s="326"/>
      <c r="DY16" s="326"/>
      <c r="DZ16" s="326"/>
      <c r="EA16" s="326"/>
      <c r="EB16" s="326"/>
      <c r="EC16" s="326"/>
      <c r="ED16" s="326"/>
      <c r="EE16" s="326"/>
      <c r="EF16" s="326"/>
      <c r="EG16" s="326"/>
      <c r="EH16" s="326"/>
      <c r="EI16" s="331">
        <f>400</f>
        <v>400</v>
      </c>
      <c r="EJ16" s="326"/>
      <c r="EK16" s="326"/>
      <c r="EL16" s="326"/>
      <c r="EM16" s="326"/>
      <c r="EN16" s="326"/>
      <c r="EO16" s="326"/>
      <c r="EP16" s="326"/>
      <c r="EQ16" s="326"/>
      <c r="ER16" s="326"/>
      <c r="ES16" s="326"/>
      <c r="ET16" s="326"/>
      <c r="EU16" s="326"/>
      <c r="EV16" s="326"/>
      <c r="EW16" s="326"/>
      <c r="EX16" s="326"/>
      <c r="EY16" s="326"/>
      <c r="EZ16" s="326"/>
      <c r="FA16" s="326"/>
      <c r="FB16" s="326"/>
      <c r="FC16" s="326"/>
      <c r="FD16" s="326"/>
      <c r="FE16" s="326"/>
      <c r="FF16" s="326"/>
      <c r="FG16" s="326"/>
      <c r="FH16" s="326"/>
      <c r="FI16" s="326"/>
      <c r="FJ16" s="326"/>
      <c r="FK16" s="326"/>
      <c r="FL16" s="326"/>
      <c r="FM16" s="326"/>
      <c r="FN16" s="326"/>
      <c r="FO16" s="326"/>
      <c r="FP16" s="326"/>
      <c r="FQ16" s="326"/>
      <c r="FR16" s="326"/>
      <c r="FS16" s="326"/>
      <c r="FT16" s="326"/>
      <c r="FU16" s="326"/>
      <c r="FV16" s="326"/>
      <c r="FW16" s="326"/>
      <c r="FX16" s="326"/>
      <c r="FY16" s="326"/>
      <c r="FZ16" s="326"/>
      <c r="GA16" s="326"/>
      <c r="GB16" s="326"/>
      <c r="GC16" s="326"/>
      <c r="GD16" s="327"/>
      <c r="GE16" s="325" t="s">
        <v>887</v>
      </c>
      <c r="GF16" s="325" t="s">
        <v>522</v>
      </c>
      <c r="GG16" s="325" t="s">
        <v>537</v>
      </c>
      <c r="GH16" s="325" t="s">
        <v>895</v>
      </c>
      <c r="GI16" s="328">
        <f t="shared" si="0"/>
        <v>400</v>
      </c>
      <c r="GJ16" s="329" t="s">
        <v>896</v>
      </c>
    </row>
    <row r="17" spans="1:192" s="329" customFormat="1" hidden="1">
      <c r="A17" s="325" t="s">
        <v>526</v>
      </c>
      <c r="B17" s="325" t="s">
        <v>517</v>
      </c>
      <c r="C17" s="325" t="s">
        <v>527</v>
      </c>
      <c r="D17" s="325" t="s">
        <v>633</v>
      </c>
      <c r="E17" s="325" t="s">
        <v>536</v>
      </c>
      <c r="F17" s="325" t="s">
        <v>520</v>
      </c>
      <c r="G17" s="325"/>
      <c r="H17" s="326"/>
      <c r="I17" s="326"/>
      <c r="J17" s="330">
        <f>10-10</f>
        <v>0</v>
      </c>
      <c r="K17" s="330">
        <f>10-10</f>
        <v>0</v>
      </c>
      <c r="L17" s="326"/>
      <c r="M17" s="330">
        <f>20-20</f>
        <v>0</v>
      </c>
      <c r="N17" s="330">
        <f>20-20</f>
        <v>0</v>
      </c>
      <c r="O17" s="330">
        <f>50-50</f>
        <v>0</v>
      </c>
      <c r="P17" s="326"/>
      <c r="Q17" s="326"/>
      <c r="R17" s="326"/>
      <c r="S17" s="330">
        <f>10-10</f>
        <v>0</v>
      </c>
      <c r="T17" s="330">
        <f>50-50</f>
        <v>0</v>
      </c>
      <c r="U17" s="326"/>
      <c r="V17" s="326"/>
      <c r="W17" s="326"/>
      <c r="X17" s="330">
        <f>20-20</f>
        <v>0</v>
      </c>
      <c r="Y17" s="330">
        <f>50-50</f>
        <v>0</v>
      </c>
      <c r="Z17" s="326"/>
      <c r="AA17" s="330">
        <f>50-50</f>
        <v>0</v>
      </c>
      <c r="AB17" s="326"/>
      <c r="AC17" s="326"/>
      <c r="AD17" s="326"/>
      <c r="AE17" s="326"/>
      <c r="AF17" s="330">
        <f>500-500</f>
        <v>0</v>
      </c>
      <c r="AG17" s="330">
        <f>500-500</f>
        <v>0</v>
      </c>
      <c r="AH17" s="326"/>
      <c r="AI17" s="326"/>
      <c r="AJ17" s="326"/>
      <c r="AK17" s="330">
        <f>500-500</f>
        <v>0</v>
      </c>
      <c r="AL17" s="330">
        <f>500-500</f>
        <v>0</v>
      </c>
      <c r="AM17" s="326"/>
      <c r="AN17" s="330">
        <f>500-500</f>
        <v>0</v>
      </c>
      <c r="AO17" s="326"/>
      <c r="AP17" s="330">
        <f>500-500</f>
        <v>0</v>
      </c>
      <c r="AQ17" s="326"/>
      <c r="AR17" s="326"/>
      <c r="AS17" s="326"/>
      <c r="AT17" s="326"/>
      <c r="AU17" s="326"/>
      <c r="AV17" s="326"/>
      <c r="AW17" s="326"/>
      <c r="AX17" s="326"/>
      <c r="AY17" s="326"/>
      <c r="AZ17" s="326"/>
      <c r="BA17" s="326"/>
      <c r="BB17" s="326"/>
      <c r="BC17" s="326"/>
      <c r="BD17" s="326"/>
      <c r="BE17" s="326"/>
      <c r="BF17" s="326"/>
      <c r="BG17" s="326"/>
      <c r="BH17" s="326"/>
      <c r="BI17" s="326"/>
      <c r="BJ17" s="326"/>
      <c r="BK17" s="326"/>
      <c r="BL17" s="326"/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326"/>
      <c r="CA17" s="326"/>
      <c r="CB17" s="326"/>
      <c r="CC17" s="326"/>
      <c r="CD17" s="326"/>
      <c r="CE17" s="326"/>
      <c r="CF17" s="326"/>
      <c r="CG17" s="326"/>
      <c r="CH17" s="326"/>
      <c r="CI17" s="326"/>
      <c r="CJ17" s="326"/>
      <c r="CK17" s="326"/>
      <c r="CL17" s="326"/>
      <c r="CM17" s="326"/>
      <c r="CN17" s="326"/>
      <c r="CO17" s="326"/>
      <c r="CP17" s="326"/>
      <c r="CQ17" s="326"/>
      <c r="CR17" s="326"/>
      <c r="CS17" s="326"/>
      <c r="CT17" s="326"/>
      <c r="CU17" s="326"/>
      <c r="CV17" s="326"/>
      <c r="CW17" s="326"/>
      <c r="CX17" s="326"/>
      <c r="CY17" s="326"/>
      <c r="CZ17" s="326"/>
      <c r="DA17" s="326"/>
      <c r="DB17" s="326"/>
      <c r="DC17" s="326"/>
      <c r="DD17" s="326"/>
      <c r="DE17" s="326"/>
      <c r="DF17" s="326"/>
      <c r="DG17" s="326"/>
      <c r="DH17" s="326"/>
      <c r="DI17" s="326"/>
      <c r="DJ17" s="326"/>
      <c r="DK17" s="326"/>
      <c r="DL17" s="326"/>
      <c r="DM17" s="326"/>
      <c r="DN17" s="326"/>
      <c r="DO17" s="326"/>
      <c r="DP17" s="326"/>
      <c r="DQ17" s="326"/>
      <c r="DR17" s="330">
        <f>600-600</f>
        <v>0</v>
      </c>
      <c r="DS17" s="326"/>
      <c r="DT17" s="326"/>
      <c r="DU17" s="326"/>
      <c r="DV17" s="326"/>
      <c r="DW17" s="326"/>
      <c r="DX17" s="326"/>
      <c r="DY17" s="326"/>
      <c r="DZ17" s="326"/>
      <c r="EA17" s="326"/>
      <c r="EB17" s="326"/>
      <c r="EC17" s="326"/>
      <c r="ED17" s="326"/>
      <c r="EE17" s="330">
        <f>1000-1000</f>
        <v>0</v>
      </c>
      <c r="EF17" s="326"/>
      <c r="EG17" s="326"/>
      <c r="EH17" s="326"/>
      <c r="EI17" s="330">
        <f>1000-1000</f>
        <v>0</v>
      </c>
      <c r="EJ17" s="326"/>
      <c r="EK17" s="326"/>
      <c r="EL17" s="330">
        <f>1000-1000</f>
        <v>0</v>
      </c>
      <c r="EM17" s="326"/>
      <c r="EN17" s="326"/>
      <c r="EO17" s="330">
        <f>1000-1000</f>
        <v>0</v>
      </c>
      <c r="EP17" s="326"/>
      <c r="EQ17" s="326"/>
      <c r="ER17" s="326"/>
      <c r="ES17" s="326"/>
      <c r="ET17" s="330">
        <f>1000-1000</f>
        <v>0</v>
      </c>
      <c r="EU17" s="326"/>
      <c r="EV17" s="326"/>
      <c r="EW17" s="326"/>
      <c r="EX17" s="326"/>
      <c r="EY17" s="326"/>
      <c r="EZ17" s="326"/>
      <c r="FA17" s="326"/>
      <c r="FB17" s="326"/>
      <c r="FC17" s="326"/>
      <c r="FD17" s="326"/>
      <c r="FE17" s="326"/>
      <c r="FF17" s="326"/>
      <c r="FG17" s="330">
        <f>500-500</f>
        <v>0</v>
      </c>
      <c r="FH17" s="326"/>
      <c r="FI17" s="326"/>
      <c r="FJ17" s="326"/>
      <c r="FK17" s="326"/>
      <c r="FL17" s="326"/>
      <c r="FM17" s="326"/>
      <c r="FN17" s="326"/>
      <c r="FO17" s="326"/>
      <c r="FP17" s="326"/>
      <c r="FQ17" s="326"/>
      <c r="FR17" s="326"/>
      <c r="FS17" s="326"/>
      <c r="FT17" s="326"/>
      <c r="FU17" s="326"/>
      <c r="FV17" s="326"/>
      <c r="FW17" s="326"/>
      <c r="FX17" s="326"/>
      <c r="FY17" s="326"/>
      <c r="FZ17" s="326"/>
      <c r="GA17" s="326"/>
      <c r="GB17" s="326"/>
      <c r="GC17" s="326"/>
      <c r="GD17" s="327" t="s">
        <v>850</v>
      </c>
      <c r="GE17" s="325" t="s">
        <v>887</v>
      </c>
      <c r="GF17" s="325" t="s">
        <v>522</v>
      </c>
      <c r="GG17" s="325" t="s">
        <v>537</v>
      </c>
      <c r="GH17" s="325" t="s">
        <v>895</v>
      </c>
      <c r="GI17" s="328">
        <f t="shared" si="0"/>
        <v>0</v>
      </c>
      <c r="GJ17" s="329" t="s">
        <v>896</v>
      </c>
    </row>
    <row r="18" spans="1:192" s="329" customFormat="1" hidden="1">
      <c r="A18" s="325" t="s">
        <v>526</v>
      </c>
      <c r="B18" s="325" t="s">
        <v>517</v>
      </c>
      <c r="C18" s="325" t="s">
        <v>527</v>
      </c>
      <c r="D18" s="325" t="s">
        <v>3</v>
      </c>
      <c r="E18" s="325" t="s">
        <v>536</v>
      </c>
      <c r="F18" s="325" t="s">
        <v>520</v>
      </c>
      <c r="G18" s="325"/>
      <c r="H18" s="326"/>
      <c r="I18" s="326"/>
      <c r="J18" s="326"/>
      <c r="K18" s="326"/>
      <c r="L18" s="326"/>
      <c r="M18" s="326"/>
      <c r="N18" s="326"/>
      <c r="O18" s="326"/>
      <c r="P18" s="326"/>
      <c r="Q18" s="326"/>
      <c r="R18" s="326"/>
      <c r="S18" s="326"/>
      <c r="T18" s="331">
        <f>5</f>
        <v>5</v>
      </c>
      <c r="U18" s="326"/>
      <c r="V18" s="326"/>
      <c r="W18" s="326"/>
      <c r="X18" s="326"/>
      <c r="Y18" s="326"/>
      <c r="Z18" s="326"/>
      <c r="AA18" s="326"/>
      <c r="AB18" s="326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/>
      <c r="BG18" s="326"/>
      <c r="BH18" s="326"/>
      <c r="BI18" s="326"/>
      <c r="BJ18" s="326"/>
      <c r="BK18" s="326"/>
      <c r="BL18" s="326"/>
      <c r="BM18" s="326"/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326"/>
      <c r="CB18" s="326"/>
      <c r="CC18" s="326"/>
      <c r="CD18" s="326"/>
      <c r="CE18" s="326"/>
      <c r="CF18" s="326"/>
      <c r="CG18" s="326"/>
      <c r="CH18" s="326"/>
      <c r="CI18" s="326"/>
      <c r="CJ18" s="326"/>
      <c r="CK18" s="326"/>
      <c r="CL18" s="326"/>
      <c r="CM18" s="326"/>
      <c r="CN18" s="326"/>
      <c r="CO18" s="326"/>
      <c r="CP18" s="326"/>
      <c r="CQ18" s="326"/>
      <c r="CR18" s="326"/>
      <c r="CS18" s="326"/>
      <c r="CT18" s="326"/>
      <c r="CU18" s="326"/>
      <c r="CV18" s="326"/>
      <c r="CW18" s="326"/>
      <c r="CX18" s="326"/>
      <c r="CY18" s="326"/>
      <c r="CZ18" s="326"/>
      <c r="DA18" s="326"/>
      <c r="DB18" s="326"/>
      <c r="DC18" s="326"/>
      <c r="DD18" s="326"/>
      <c r="DE18" s="326"/>
      <c r="DF18" s="326"/>
      <c r="DG18" s="326"/>
      <c r="DH18" s="326"/>
      <c r="DI18" s="326"/>
      <c r="DJ18" s="326"/>
      <c r="DK18" s="326"/>
      <c r="DL18" s="326"/>
      <c r="DM18" s="326"/>
      <c r="DN18" s="326"/>
      <c r="DO18" s="326"/>
      <c r="DP18" s="326"/>
      <c r="DQ18" s="326"/>
      <c r="DR18" s="326"/>
      <c r="DS18" s="326"/>
      <c r="DT18" s="326"/>
      <c r="DU18" s="326"/>
      <c r="DV18" s="326"/>
      <c r="DW18" s="326"/>
      <c r="DX18" s="326"/>
      <c r="DY18" s="326"/>
      <c r="DZ18" s="326"/>
      <c r="EA18" s="326"/>
      <c r="EB18" s="326"/>
      <c r="EC18" s="326"/>
      <c r="ED18" s="326"/>
      <c r="EE18" s="326"/>
      <c r="EF18" s="326"/>
      <c r="EG18" s="326"/>
      <c r="EH18" s="326"/>
      <c r="EI18" s="326"/>
      <c r="EJ18" s="326"/>
      <c r="EK18" s="326"/>
      <c r="EL18" s="326"/>
      <c r="EM18" s="326"/>
      <c r="EN18" s="326"/>
      <c r="EO18" s="326"/>
      <c r="EP18" s="326"/>
      <c r="EQ18" s="326"/>
      <c r="ER18" s="326"/>
      <c r="ES18" s="326"/>
      <c r="ET18" s="326"/>
      <c r="EU18" s="326"/>
      <c r="EV18" s="326"/>
      <c r="EW18" s="326"/>
      <c r="EX18" s="326"/>
      <c r="EY18" s="326"/>
      <c r="EZ18" s="326"/>
      <c r="FA18" s="326"/>
      <c r="FB18" s="326"/>
      <c r="FC18" s="326"/>
      <c r="FD18" s="326"/>
      <c r="FE18" s="326"/>
      <c r="FF18" s="326"/>
      <c r="FG18" s="326"/>
      <c r="FH18" s="326"/>
      <c r="FI18" s="326"/>
      <c r="FJ18" s="326"/>
      <c r="FK18" s="326"/>
      <c r="FL18" s="326"/>
      <c r="FM18" s="326"/>
      <c r="FN18" s="326"/>
      <c r="FO18" s="326"/>
      <c r="FP18" s="326"/>
      <c r="FQ18" s="326"/>
      <c r="FR18" s="326"/>
      <c r="FS18" s="326"/>
      <c r="FT18" s="326"/>
      <c r="FU18" s="326"/>
      <c r="FV18" s="326"/>
      <c r="FW18" s="326"/>
      <c r="FX18" s="326"/>
      <c r="FY18" s="326"/>
      <c r="FZ18" s="326"/>
      <c r="GA18" s="326"/>
      <c r="GB18" s="326"/>
      <c r="GC18" s="326"/>
      <c r="GD18" s="327"/>
      <c r="GE18" s="325" t="s">
        <v>887</v>
      </c>
      <c r="GF18" s="325" t="s">
        <v>522</v>
      </c>
      <c r="GG18" s="325" t="s">
        <v>537</v>
      </c>
      <c r="GH18" s="325" t="s">
        <v>895</v>
      </c>
      <c r="GI18" s="328">
        <f t="shared" si="0"/>
        <v>5</v>
      </c>
      <c r="GJ18" s="329" t="s">
        <v>896</v>
      </c>
    </row>
    <row r="19" spans="1:192" s="329" customFormat="1" hidden="1">
      <c r="A19" s="325" t="s">
        <v>897</v>
      </c>
      <c r="B19" s="325" t="s">
        <v>517</v>
      </c>
      <c r="C19" s="325" t="s">
        <v>527</v>
      </c>
      <c r="D19" s="325" t="s">
        <v>636</v>
      </c>
      <c r="E19" s="325" t="s">
        <v>541</v>
      </c>
      <c r="F19" s="325" t="s">
        <v>520</v>
      </c>
      <c r="G19" s="325"/>
      <c r="H19" s="326"/>
      <c r="I19" s="326"/>
      <c r="J19" s="326"/>
      <c r="K19" s="326"/>
      <c r="L19" s="326"/>
      <c r="M19" s="326"/>
      <c r="N19" s="326"/>
      <c r="O19" s="326"/>
      <c r="P19" s="326"/>
      <c r="Q19" s="326"/>
      <c r="R19" s="326"/>
      <c r="S19" s="326"/>
      <c r="T19" s="326"/>
      <c r="U19" s="326"/>
      <c r="V19" s="326"/>
      <c r="W19" s="326"/>
      <c r="X19" s="326"/>
      <c r="Y19" s="326"/>
      <c r="Z19" s="326"/>
      <c r="AA19" s="326"/>
      <c r="AB19" s="326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  <c r="AQ19" s="326"/>
      <c r="AR19" s="326"/>
      <c r="AS19" s="326"/>
      <c r="AT19" s="326"/>
      <c r="AU19" s="326"/>
      <c r="AV19" s="326"/>
      <c r="AW19" s="326"/>
      <c r="AX19" s="326"/>
      <c r="AY19" s="326"/>
      <c r="AZ19" s="326"/>
      <c r="BA19" s="326"/>
      <c r="BB19" s="326"/>
      <c r="BC19" s="326"/>
      <c r="BD19" s="326"/>
      <c r="BE19" s="326"/>
      <c r="BF19" s="326"/>
      <c r="BG19" s="326"/>
      <c r="BH19" s="326"/>
      <c r="BI19" s="326"/>
      <c r="BJ19" s="326"/>
      <c r="BK19" s="326"/>
      <c r="BL19" s="326"/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326"/>
      <c r="CA19" s="326"/>
      <c r="CB19" s="326"/>
      <c r="CC19" s="326"/>
      <c r="CD19" s="326"/>
      <c r="CE19" s="326"/>
      <c r="CF19" s="326"/>
      <c r="CG19" s="326"/>
      <c r="CH19" s="326"/>
      <c r="CI19" s="326"/>
      <c r="CJ19" s="326"/>
      <c r="CK19" s="326"/>
      <c r="CL19" s="326"/>
      <c r="CM19" s="326"/>
      <c r="CN19" s="326"/>
      <c r="CO19" s="326"/>
      <c r="CP19" s="326"/>
      <c r="CQ19" s="326"/>
      <c r="CR19" s="326"/>
      <c r="CS19" s="326"/>
      <c r="CT19" s="326"/>
      <c r="CU19" s="326"/>
      <c r="CV19" s="326"/>
      <c r="CW19" s="326"/>
      <c r="CX19" s="326"/>
      <c r="CY19" s="326"/>
      <c r="CZ19" s="326"/>
      <c r="DA19" s="326"/>
      <c r="DB19" s="326"/>
      <c r="DC19" s="326"/>
      <c r="DD19" s="326"/>
      <c r="DE19" s="326"/>
      <c r="DF19" s="326"/>
      <c r="DG19" s="326"/>
      <c r="DH19" s="326"/>
      <c r="DI19" s="326"/>
      <c r="DJ19" s="326"/>
      <c r="DK19" s="326"/>
      <c r="DL19" s="326"/>
      <c r="DM19" s="326"/>
      <c r="DN19" s="326"/>
      <c r="DO19" s="326"/>
      <c r="DP19" s="326"/>
      <c r="DQ19" s="326"/>
      <c r="DR19" s="326"/>
      <c r="DS19" s="326"/>
      <c r="DT19" s="326"/>
      <c r="DU19" s="326"/>
      <c r="DV19" s="326"/>
      <c r="DW19" s="326"/>
      <c r="DX19" s="326"/>
      <c r="DY19" s="326"/>
      <c r="DZ19" s="326"/>
      <c r="EA19" s="326"/>
      <c r="EB19" s="326"/>
      <c r="EC19" s="326"/>
      <c r="ED19" s="326"/>
      <c r="EE19" s="326"/>
      <c r="EF19" s="326"/>
      <c r="EG19" s="326"/>
      <c r="EH19" s="326"/>
      <c r="EI19" s="326"/>
      <c r="EJ19" s="326"/>
      <c r="EK19" s="326"/>
      <c r="EL19" s="326"/>
      <c r="EM19" s="326"/>
      <c r="EN19" s="326"/>
      <c r="EO19" s="326"/>
      <c r="EP19" s="326"/>
      <c r="EQ19" s="326"/>
      <c r="ER19" s="326"/>
      <c r="ES19" s="326"/>
      <c r="ET19" s="326"/>
      <c r="EU19" s="326"/>
      <c r="EV19" s="326"/>
      <c r="EW19" s="326"/>
      <c r="EX19" s="326"/>
      <c r="EY19" s="326"/>
      <c r="EZ19" s="326"/>
      <c r="FA19" s="326"/>
      <c r="FB19" s="326"/>
      <c r="FC19" s="326"/>
      <c r="FD19" s="326"/>
      <c r="FE19" s="326"/>
      <c r="FF19" s="326"/>
      <c r="FG19" s="326"/>
      <c r="FH19" s="326"/>
      <c r="FI19" s="326"/>
      <c r="FJ19" s="326"/>
      <c r="FK19" s="326"/>
      <c r="FL19" s="326"/>
      <c r="FM19" s="326"/>
      <c r="FN19" s="326"/>
      <c r="FO19" s="326"/>
      <c r="FP19" s="326"/>
      <c r="FQ19" s="326"/>
      <c r="FR19" s="326"/>
      <c r="FS19" s="326"/>
      <c r="FT19" s="326"/>
      <c r="FU19" s="326"/>
      <c r="FV19" s="326"/>
      <c r="FW19" s="326"/>
      <c r="FX19" s="326"/>
      <c r="FY19" s="326"/>
      <c r="FZ19" s="326"/>
      <c r="GA19" s="326"/>
      <c r="GB19" s="326"/>
      <c r="GC19" s="326"/>
      <c r="GD19" s="327"/>
      <c r="GE19" s="325" t="s">
        <v>887</v>
      </c>
      <c r="GF19" s="325" t="s">
        <v>522</v>
      </c>
      <c r="GG19" s="325" t="s">
        <v>850</v>
      </c>
      <c r="GH19" s="325" t="s">
        <v>542</v>
      </c>
      <c r="GI19" s="328">
        <f t="shared" si="0"/>
        <v>0</v>
      </c>
      <c r="GJ19" s="329" t="s">
        <v>888</v>
      </c>
    </row>
    <row r="20" spans="1:192" s="329" customFormat="1" hidden="1">
      <c r="A20" s="325" t="s">
        <v>897</v>
      </c>
      <c r="B20" s="325" t="s">
        <v>517</v>
      </c>
      <c r="C20" s="325" t="s">
        <v>527</v>
      </c>
      <c r="D20" s="325" t="s">
        <v>633</v>
      </c>
      <c r="E20" s="325" t="s">
        <v>541</v>
      </c>
      <c r="F20" s="325" t="s">
        <v>520</v>
      </c>
      <c r="G20" s="325"/>
      <c r="H20" s="326"/>
      <c r="I20" s="326"/>
      <c r="J20" s="326"/>
      <c r="K20" s="326"/>
      <c r="L20" s="326"/>
      <c r="M20" s="326"/>
      <c r="N20" s="326"/>
      <c r="O20" s="326"/>
      <c r="P20" s="326"/>
      <c r="Q20" s="326"/>
      <c r="R20" s="326"/>
      <c r="S20" s="326"/>
      <c r="T20" s="326"/>
      <c r="U20" s="326"/>
      <c r="V20" s="326"/>
      <c r="W20" s="326"/>
      <c r="X20" s="326"/>
      <c r="Y20" s="326"/>
      <c r="Z20" s="326"/>
      <c r="AA20" s="326"/>
      <c r="AB20" s="326"/>
      <c r="AC20" s="326"/>
      <c r="AD20" s="326"/>
      <c r="AE20" s="326"/>
      <c r="AF20" s="326"/>
      <c r="AG20" s="326"/>
      <c r="AH20" s="326"/>
      <c r="AI20" s="326"/>
      <c r="AJ20" s="326"/>
      <c r="AK20" s="326"/>
      <c r="AL20" s="326"/>
      <c r="AM20" s="326"/>
      <c r="AN20" s="326"/>
      <c r="AO20" s="326"/>
      <c r="AP20" s="326"/>
      <c r="AQ20" s="326"/>
      <c r="AR20" s="326"/>
      <c r="AS20" s="326"/>
      <c r="AT20" s="326"/>
      <c r="AU20" s="326"/>
      <c r="AV20" s="326"/>
      <c r="AW20" s="326"/>
      <c r="AX20" s="326"/>
      <c r="AY20" s="326"/>
      <c r="AZ20" s="326"/>
      <c r="BA20" s="326"/>
      <c r="BB20" s="326"/>
      <c r="BC20" s="326"/>
      <c r="BD20" s="326"/>
      <c r="BE20" s="326"/>
      <c r="BF20" s="326"/>
      <c r="BG20" s="326"/>
      <c r="BH20" s="326"/>
      <c r="BI20" s="326"/>
      <c r="BJ20" s="326"/>
      <c r="BK20" s="326"/>
      <c r="BL20" s="326"/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326"/>
      <c r="CB20" s="326"/>
      <c r="CC20" s="326"/>
      <c r="CD20" s="326"/>
      <c r="CE20" s="326"/>
      <c r="CF20" s="326"/>
      <c r="CG20" s="326"/>
      <c r="CH20" s="326"/>
      <c r="CI20" s="326"/>
      <c r="CJ20" s="326"/>
      <c r="CK20" s="326"/>
      <c r="CL20" s="326"/>
      <c r="CM20" s="326"/>
      <c r="CN20" s="326"/>
      <c r="CO20" s="326"/>
      <c r="CP20" s="326"/>
      <c r="CQ20" s="326"/>
      <c r="CR20" s="326"/>
      <c r="CS20" s="326"/>
      <c r="CT20" s="326"/>
      <c r="CU20" s="326"/>
      <c r="CV20" s="326"/>
      <c r="CW20" s="326"/>
      <c r="CX20" s="326"/>
      <c r="CY20" s="326"/>
      <c r="CZ20" s="326"/>
      <c r="DA20" s="326"/>
      <c r="DB20" s="326"/>
      <c r="DC20" s="326"/>
      <c r="DD20" s="326"/>
      <c r="DE20" s="326"/>
      <c r="DF20" s="326"/>
      <c r="DG20" s="326"/>
      <c r="DH20" s="326"/>
      <c r="DI20" s="326"/>
      <c r="DJ20" s="326"/>
      <c r="DK20" s="326"/>
      <c r="DL20" s="326"/>
      <c r="DM20" s="326"/>
      <c r="DN20" s="326"/>
      <c r="DO20" s="326"/>
      <c r="DP20" s="326"/>
      <c r="DQ20" s="326"/>
      <c r="DR20" s="326"/>
      <c r="DS20" s="326"/>
      <c r="DT20" s="326"/>
      <c r="DU20" s="326"/>
      <c r="DV20" s="326"/>
      <c r="DW20" s="326"/>
      <c r="DX20" s="326"/>
      <c r="DY20" s="326"/>
      <c r="DZ20" s="326"/>
      <c r="EA20" s="326"/>
      <c r="EB20" s="326"/>
      <c r="EC20" s="326"/>
      <c r="ED20" s="326"/>
      <c r="EE20" s="326"/>
      <c r="EF20" s="326"/>
      <c r="EG20" s="326"/>
      <c r="EH20" s="326"/>
      <c r="EI20" s="326"/>
      <c r="EJ20" s="326"/>
      <c r="EK20" s="326"/>
      <c r="EL20" s="330">
        <f>50-50</f>
        <v>0</v>
      </c>
      <c r="EM20" s="326"/>
      <c r="EN20" s="326"/>
      <c r="EO20" s="326"/>
      <c r="EP20" s="330">
        <f>50-50</f>
        <v>0</v>
      </c>
      <c r="EQ20" s="326"/>
      <c r="ER20" s="330">
        <f>100-100</f>
        <v>0</v>
      </c>
      <c r="ES20" s="326"/>
      <c r="ET20" s="326"/>
      <c r="EU20" s="326"/>
      <c r="EV20" s="330">
        <f>20-20</f>
        <v>0</v>
      </c>
      <c r="EW20" s="330">
        <f>20-20</f>
        <v>0</v>
      </c>
      <c r="EX20" s="326"/>
      <c r="EY20" s="330">
        <f>50-50</f>
        <v>0</v>
      </c>
      <c r="EZ20" s="326"/>
      <c r="FA20" s="326"/>
      <c r="FB20" s="326"/>
      <c r="FC20" s="326"/>
      <c r="FD20" s="326"/>
      <c r="FE20" s="326"/>
      <c r="FF20" s="326"/>
      <c r="FG20" s="326"/>
      <c r="FH20" s="326"/>
      <c r="FI20" s="330">
        <f>150-150</f>
        <v>0</v>
      </c>
      <c r="FJ20" s="326"/>
      <c r="FK20" s="326"/>
      <c r="FL20" s="326"/>
      <c r="FM20" s="326"/>
      <c r="FN20" s="326"/>
      <c r="FO20" s="326"/>
      <c r="FP20" s="326"/>
      <c r="FQ20" s="326"/>
      <c r="FR20" s="326"/>
      <c r="FS20" s="326"/>
      <c r="FT20" s="326"/>
      <c r="FU20" s="326"/>
      <c r="FV20" s="326"/>
      <c r="FW20" s="326"/>
      <c r="FX20" s="326"/>
      <c r="FY20" s="326"/>
      <c r="FZ20" s="326"/>
      <c r="GA20" s="326"/>
      <c r="GB20" s="326"/>
      <c r="GC20" s="326"/>
      <c r="GD20" s="327" t="s">
        <v>850</v>
      </c>
      <c r="GE20" s="325" t="s">
        <v>887</v>
      </c>
      <c r="GF20" s="325" t="s">
        <v>522</v>
      </c>
      <c r="GG20" s="325" t="s">
        <v>850</v>
      </c>
      <c r="GH20" s="325" t="s">
        <v>542</v>
      </c>
      <c r="GI20" s="328">
        <f t="shared" si="0"/>
        <v>0</v>
      </c>
      <c r="GJ20" s="329" t="s">
        <v>888</v>
      </c>
    </row>
    <row r="21" spans="1:192" s="329" customFormat="1" hidden="1">
      <c r="A21" s="325" t="s">
        <v>897</v>
      </c>
      <c r="B21" s="325" t="s">
        <v>517</v>
      </c>
      <c r="C21" s="325" t="s">
        <v>527</v>
      </c>
      <c r="D21" s="325" t="s">
        <v>3</v>
      </c>
      <c r="E21" s="325" t="s">
        <v>541</v>
      </c>
      <c r="F21" s="325" t="s">
        <v>520</v>
      </c>
      <c r="G21" s="325"/>
      <c r="H21" s="326"/>
      <c r="I21" s="326"/>
      <c r="J21" s="326"/>
      <c r="K21" s="326"/>
      <c r="L21" s="326"/>
      <c r="M21" s="326"/>
      <c r="N21" s="326"/>
      <c r="O21" s="326"/>
      <c r="P21" s="326"/>
      <c r="Q21" s="326"/>
      <c r="R21" s="326"/>
      <c r="S21" s="326"/>
      <c r="T21" s="326"/>
      <c r="U21" s="326"/>
      <c r="V21" s="326"/>
      <c r="W21" s="326"/>
      <c r="X21" s="326"/>
      <c r="Y21" s="326"/>
      <c r="Z21" s="326"/>
      <c r="AA21" s="326"/>
      <c r="AB21" s="326"/>
      <c r="AC21" s="326"/>
      <c r="AD21" s="326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6"/>
      <c r="AP21" s="326"/>
      <c r="AQ21" s="326"/>
      <c r="AR21" s="326"/>
      <c r="AS21" s="326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6"/>
      <c r="BE21" s="326"/>
      <c r="BF21" s="326"/>
      <c r="BG21" s="326"/>
      <c r="BH21" s="326"/>
      <c r="BI21" s="326"/>
      <c r="BJ21" s="326"/>
      <c r="BK21" s="326"/>
      <c r="BL21" s="326"/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326"/>
      <c r="CA21" s="326"/>
      <c r="CB21" s="326"/>
      <c r="CC21" s="326"/>
      <c r="CD21" s="326"/>
      <c r="CE21" s="326"/>
      <c r="CF21" s="326"/>
      <c r="CG21" s="326"/>
      <c r="CH21" s="326"/>
      <c r="CI21" s="326"/>
      <c r="CJ21" s="326"/>
      <c r="CK21" s="326"/>
      <c r="CL21" s="326"/>
      <c r="CM21" s="326"/>
      <c r="CN21" s="326"/>
      <c r="CO21" s="326"/>
      <c r="CP21" s="326"/>
      <c r="CQ21" s="326"/>
      <c r="CR21" s="326"/>
      <c r="CS21" s="326"/>
      <c r="CT21" s="326"/>
      <c r="CU21" s="326"/>
      <c r="CV21" s="326"/>
      <c r="CW21" s="326"/>
      <c r="CX21" s="326"/>
      <c r="CY21" s="326"/>
      <c r="CZ21" s="326"/>
      <c r="DA21" s="326"/>
      <c r="DB21" s="326"/>
      <c r="DC21" s="326"/>
      <c r="DD21" s="326"/>
      <c r="DE21" s="326"/>
      <c r="DF21" s="326"/>
      <c r="DG21" s="326"/>
      <c r="DH21" s="326"/>
      <c r="DI21" s="326"/>
      <c r="DJ21" s="326"/>
      <c r="DK21" s="326"/>
      <c r="DL21" s="326"/>
      <c r="DM21" s="326"/>
      <c r="DN21" s="326"/>
      <c r="DO21" s="326"/>
      <c r="DP21" s="326"/>
      <c r="DQ21" s="326"/>
      <c r="DR21" s="326"/>
      <c r="DS21" s="326"/>
      <c r="DT21" s="326"/>
      <c r="DU21" s="326"/>
      <c r="DV21" s="326"/>
      <c r="DW21" s="326"/>
      <c r="DX21" s="326"/>
      <c r="DY21" s="326"/>
      <c r="DZ21" s="326"/>
      <c r="EA21" s="326"/>
      <c r="EB21" s="326"/>
      <c r="EC21" s="326"/>
      <c r="ED21" s="326"/>
      <c r="EE21" s="326"/>
      <c r="EF21" s="326"/>
      <c r="EG21" s="326"/>
      <c r="EH21" s="326"/>
      <c r="EI21" s="326"/>
      <c r="EJ21" s="326"/>
      <c r="EK21" s="326"/>
      <c r="EL21" s="326"/>
      <c r="EM21" s="326"/>
      <c r="EN21" s="326"/>
      <c r="EO21" s="326"/>
      <c r="EP21" s="326"/>
      <c r="EQ21" s="326"/>
      <c r="ER21" s="326"/>
      <c r="ES21" s="326"/>
      <c r="ET21" s="326"/>
      <c r="EU21" s="326"/>
      <c r="EV21" s="326"/>
      <c r="EW21" s="326"/>
      <c r="EX21" s="326"/>
      <c r="EY21" s="326"/>
      <c r="EZ21" s="326"/>
      <c r="FA21" s="326"/>
      <c r="FB21" s="326"/>
      <c r="FC21" s="326"/>
      <c r="FD21" s="326"/>
      <c r="FE21" s="326"/>
      <c r="FF21" s="326"/>
      <c r="FG21" s="326"/>
      <c r="FH21" s="326"/>
      <c r="FI21" s="326"/>
      <c r="FJ21" s="326"/>
      <c r="FK21" s="326"/>
      <c r="FL21" s="326"/>
      <c r="FM21" s="326"/>
      <c r="FN21" s="326"/>
      <c r="FO21" s="326"/>
      <c r="FP21" s="326"/>
      <c r="FQ21" s="326"/>
      <c r="FR21" s="326"/>
      <c r="FS21" s="326"/>
      <c r="FT21" s="326"/>
      <c r="FU21" s="326"/>
      <c r="FV21" s="326"/>
      <c r="FW21" s="326"/>
      <c r="FX21" s="326"/>
      <c r="FY21" s="326"/>
      <c r="FZ21" s="326"/>
      <c r="GA21" s="326"/>
      <c r="GB21" s="326"/>
      <c r="GC21" s="326"/>
      <c r="GD21" s="327"/>
      <c r="GE21" s="325" t="s">
        <v>887</v>
      </c>
      <c r="GF21" s="325" t="s">
        <v>522</v>
      </c>
      <c r="GG21" s="325" t="s">
        <v>850</v>
      </c>
      <c r="GH21" s="325" t="s">
        <v>542</v>
      </c>
      <c r="GI21" s="328">
        <f t="shared" si="0"/>
        <v>0</v>
      </c>
      <c r="GJ21" s="329" t="s">
        <v>888</v>
      </c>
    </row>
    <row r="22" spans="1:192" s="329" customFormat="1" hidden="1">
      <c r="A22" s="325" t="s">
        <v>898</v>
      </c>
      <c r="B22" s="325" t="s">
        <v>517</v>
      </c>
      <c r="C22" s="325" t="s">
        <v>527</v>
      </c>
      <c r="D22" s="325" t="s">
        <v>636</v>
      </c>
      <c r="E22" s="325" t="s">
        <v>543</v>
      </c>
      <c r="F22" s="325" t="s">
        <v>520</v>
      </c>
      <c r="G22" s="325" t="s">
        <v>899</v>
      </c>
      <c r="H22" s="326"/>
      <c r="I22" s="326"/>
      <c r="J22" s="326"/>
      <c r="K22" s="326"/>
      <c r="L22" s="326"/>
      <c r="M22" s="326"/>
      <c r="N22" s="326"/>
      <c r="O22" s="326"/>
      <c r="P22" s="326"/>
      <c r="Q22" s="326"/>
      <c r="R22" s="326"/>
      <c r="S22" s="326"/>
      <c r="T22" s="326"/>
      <c r="U22" s="326"/>
      <c r="V22" s="326"/>
      <c r="W22" s="326"/>
      <c r="X22" s="326"/>
      <c r="Y22" s="326"/>
      <c r="Z22" s="326"/>
      <c r="AA22" s="326"/>
      <c r="AB22" s="326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326"/>
      <c r="AY22" s="326"/>
      <c r="AZ22" s="326"/>
      <c r="BA22" s="326"/>
      <c r="BB22" s="326"/>
      <c r="BC22" s="326"/>
      <c r="BD22" s="326"/>
      <c r="BE22" s="326"/>
      <c r="BF22" s="326"/>
      <c r="BG22" s="326"/>
      <c r="BH22" s="326"/>
      <c r="BI22" s="326"/>
      <c r="BJ22" s="326"/>
      <c r="BK22" s="326"/>
      <c r="BL22" s="326"/>
      <c r="BM22" s="326"/>
      <c r="BN22" s="326"/>
      <c r="BO22" s="326"/>
      <c r="BP22" s="326"/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326"/>
      <c r="CB22" s="326"/>
      <c r="CC22" s="326"/>
      <c r="CD22" s="326"/>
      <c r="CE22" s="326"/>
      <c r="CF22" s="326"/>
      <c r="CG22" s="326"/>
      <c r="CH22" s="326"/>
      <c r="CI22" s="326"/>
      <c r="CJ22" s="326"/>
      <c r="CK22" s="326"/>
      <c r="CL22" s="326"/>
      <c r="CM22" s="326"/>
      <c r="CN22" s="326"/>
      <c r="CO22" s="326"/>
      <c r="CP22" s="326"/>
      <c r="CQ22" s="326"/>
      <c r="CR22" s="326"/>
      <c r="CS22" s="326"/>
      <c r="CT22" s="326"/>
      <c r="CU22" s="326"/>
      <c r="CV22" s="326"/>
      <c r="CW22" s="326"/>
      <c r="CX22" s="326"/>
      <c r="CY22" s="326"/>
      <c r="CZ22" s="326"/>
      <c r="DA22" s="326"/>
      <c r="DB22" s="326"/>
      <c r="DC22" s="326"/>
      <c r="DD22" s="326"/>
      <c r="DE22" s="326"/>
      <c r="DF22" s="326"/>
      <c r="DG22" s="326"/>
      <c r="DH22" s="326"/>
      <c r="DI22" s="326"/>
      <c r="DJ22" s="326"/>
      <c r="DK22" s="326"/>
      <c r="DL22" s="326"/>
      <c r="DM22" s="326"/>
      <c r="DN22" s="326"/>
      <c r="DO22" s="326"/>
      <c r="DP22" s="326"/>
      <c r="DQ22" s="326"/>
      <c r="DR22" s="326"/>
      <c r="DS22" s="326"/>
      <c r="DT22" s="326"/>
      <c r="DU22" s="326"/>
      <c r="DV22" s="326"/>
      <c r="DW22" s="326"/>
      <c r="DX22" s="326"/>
      <c r="DY22" s="326"/>
      <c r="DZ22" s="326"/>
      <c r="EA22" s="326"/>
      <c r="EB22" s="326"/>
      <c r="EC22" s="326"/>
      <c r="ED22" s="326"/>
      <c r="EE22" s="326"/>
      <c r="EF22" s="326"/>
      <c r="EG22" s="326"/>
      <c r="EH22" s="326"/>
      <c r="EI22" s="326"/>
      <c r="EJ22" s="326"/>
      <c r="EK22" s="326"/>
      <c r="EL22" s="326"/>
      <c r="EM22" s="326"/>
      <c r="EN22" s="326"/>
      <c r="EO22" s="326"/>
      <c r="EP22" s="326"/>
      <c r="EQ22" s="326"/>
      <c r="ER22" s="326"/>
      <c r="ES22" s="326"/>
      <c r="ET22" s="326"/>
      <c r="EU22" s="326"/>
      <c r="EV22" s="326"/>
      <c r="EW22" s="326"/>
      <c r="EX22" s="326"/>
      <c r="EY22" s="326"/>
      <c r="EZ22" s="326"/>
      <c r="FA22" s="326"/>
      <c r="FB22" s="326"/>
      <c r="FC22" s="326"/>
      <c r="FD22" s="326"/>
      <c r="FE22" s="326"/>
      <c r="FF22" s="326"/>
      <c r="FG22" s="326"/>
      <c r="FH22" s="326"/>
      <c r="FI22" s="326"/>
      <c r="FJ22" s="326"/>
      <c r="FK22" s="326"/>
      <c r="FL22" s="326"/>
      <c r="FM22" s="326"/>
      <c r="FN22" s="326"/>
      <c r="FO22" s="326"/>
      <c r="FP22" s="326"/>
      <c r="FQ22" s="326"/>
      <c r="FR22" s="326"/>
      <c r="FS22" s="326"/>
      <c r="FT22" s="326"/>
      <c r="FU22" s="326"/>
      <c r="FV22" s="326"/>
      <c r="FW22" s="326"/>
      <c r="FX22" s="326"/>
      <c r="FY22" s="326"/>
      <c r="FZ22" s="326"/>
      <c r="GA22" s="326"/>
      <c r="GB22" s="326"/>
      <c r="GC22" s="326"/>
      <c r="GD22" s="327"/>
      <c r="GE22" s="325" t="s">
        <v>887</v>
      </c>
      <c r="GF22" s="325" t="s">
        <v>522</v>
      </c>
      <c r="GG22" s="325" t="s">
        <v>850</v>
      </c>
      <c r="GH22" s="325" t="s">
        <v>533</v>
      </c>
      <c r="GI22" s="328">
        <f t="shared" si="0"/>
        <v>0</v>
      </c>
      <c r="GJ22" s="329" t="s">
        <v>800</v>
      </c>
    </row>
    <row r="23" spans="1:192" s="329" customFormat="1" hidden="1">
      <c r="A23" s="325" t="s">
        <v>898</v>
      </c>
      <c r="B23" s="325" t="s">
        <v>517</v>
      </c>
      <c r="C23" s="325" t="s">
        <v>527</v>
      </c>
      <c r="D23" s="325" t="s">
        <v>633</v>
      </c>
      <c r="E23" s="325" t="s">
        <v>543</v>
      </c>
      <c r="F23" s="325" t="s">
        <v>520</v>
      </c>
      <c r="G23" s="325" t="s">
        <v>899</v>
      </c>
      <c r="H23" s="326"/>
      <c r="I23" s="326"/>
      <c r="J23" s="326"/>
      <c r="K23" s="326"/>
      <c r="L23" s="326"/>
      <c r="M23" s="326"/>
      <c r="N23" s="326"/>
      <c r="O23" s="326"/>
      <c r="P23" s="326"/>
      <c r="Q23" s="326"/>
      <c r="R23" s="326"/>
      <c r="S23" s="326"/>
      <c r="T23" s="326"/>
      <c r="U23" s="326"/>
      <c r="V23" s="326"/>
      <c r="W23" s="326"/>
      <c r="X23" s="326"/>
      <c r="Y23" s="326"/>
      <c r="Z23" s="326"/>
      <c r="AA23" s="326"/>
      <c r="AB23" s="326"/>
      <c r="AC23" s="326"/>
      <c r="AD23" s="326"/>
      <c r="AE23" s="326"/>
      <c r="AF23" s="330">
        <f>20-20</f>
        <v>0</v>
      </c>
      <c r="AG23" s="330">
        <f>20-20</f>
        <v>0</v>
      </c>
      <c r="AH23" s="330">
        <f>20-20</f>
        <v>0</v>
      </c>
      <c r="AI23" s="330">
        <f>20-20</f>
        <v>0</v>
      </c>
      <c r="AJ23" s="330">
        <f>20-20</f>
        <v>0</v>
      </c>
      <c r="AK23" s="326"/>
      <c r="AL23" s="326"/>
      <c r="AM23" s="326"/>
      <c r="AN23" s="326"/>
      <c r="AO23" s="326"/>
      <c r="AP23" s="326"/>
      <c r="AQ23" s="326"/>
      <c r="AR23" s="326"/>
      <c r="AS23" s="326"/>
      <c r="AT23" s="326"/>
      <c r="AU23" s="326"/>
      <c r="AV23" s="326"/>
      <c r="AW23" s="326"/>
      <c r="AX23" s="330">
        <f>100-100</f>
        <v>0</v>
      </c>
      <c r="AY23" s="326"/>
      <c r="AZ23" s="330">
        <f>100-100</f>
        <v>0</v>
      </c>
      <c r="BA23" s="330">
        <f>100-100</f>
        <v>0</v>
      </c>
      <c r="BB23" s="326"/>
      <c r="BC23" s="330">
        <f>200-200</f>
        <v>0</v>
      </c>
      <c r="BD23" s="330">
        <f>100-100</f>
        <v>0</v>
      </c>
      <c r="BE23" s="330">
        <f>200-200</f>
        <v>0</v>
      </c>
      <c r="BF23" s="330">
        <f>200-200</f>
        <v>0</v>
      </c>
      <c r="BG23" s="326"/>
      <c r="BH23" s="326"/>
      <c r="BI23" s="326"/>
      <c r="BJ23" s="326"/>
      <c r="BK23" s="326"/>
      <c r="BL23" s="330">
        <f>200-200</f>
        <v>0</v>
      </c>
      <c r="BM23" s="326"/>
      <c r="BN23" s="330">
        <f t="shared" ref="BN23:BS23" si="3">200-200</f>
        <v>0</v>
      </c>
      <c r="BO23" s="330">
        <f t="shared" si="3"/>
        <v>0</v>
      </c>
      <c r="BP23" s="330">
        <f t="shared" si="3"/>
        <v>0</v>
      </c>
      <c r="BQ23" s="330">
        <f t="shared" si="3"/>
        <v>0</v>
      </c>
      <c r="BR23" s="330">
        <f t="shared" si="3"/>
        <v>0</v>
      </c>
      <c r="BS23" s="330">
        <f t="shared" si="3"/>
        <v>0</v>
      </c>
      <c r="BT23" s="326"/>
      <c r="BU23" s="326"/>
      <c r="BV23" s="326"/>
      <c r="BW23" s="326"/>
      <c r="BX23" s="326"/>
      <c r="BY23" s="330">
        <f>200-200</f>
        <v>0</v>
      </c>
      <c r="BZ23" s="326"/>
      <c r="CA23" s="326"/>
      <c r="CB23" s="330">
        <f>200-200</f>
        <v>0</v>
      </c>
      <c r="CC23" s="330">
        <f>200-200</f>
        <v>0</v>
      </c>
      <c r="CD23" s="326"/>
      <c r="CE23" s="326"/>
      <c r="CF23" s="330">
        <f>200-200</f>
        <v>0</v>
      </c>
      <c r="CG23" s="330">
        <f>200-200</f>
        <v>0</v>
      </c>
      <c r="CH23" s="330">
        <f>200-200</f>
        <v>0</v>
      </c>
      <c r="CI23" s="330">
        <f>200-200</f>
        <v>0</v>
      </c>
      <c r="CJ23" s="326"/>
      <c r="CK23" s="330">
        <f>200-200</f>
        <v>0</v>
      </c>
      <c r="CL23" s="326"/>
      <c r="CM23" s="326"/>
      <c r="CN23" s="326"/>
      <c r="CO23" s="326"/>
      <c r="CP23" s="326"/>
      <c r="CQ23" s="330">
        <f>300-300</f>
        <v>0</v>
      </c>
      <c r="CR23" s="330">
        <f>300-300</f>
        <v>0</v>
      </c>
      <c r="CS23" s="330">
        <f>300-300</f>
        <v>0</v>
      </c>
      <c r="CT23" s="330">
        <f>300-300</f>
        <v>0</v>
      </c>
      <c r="CU23" s="330">
        <f>300-300</f>
        <v>0</v>
      </c>
      <c r="CV23" s="326"/>
      <c r="CW23" s="326"/>
      <c r="CX23" s="330">
        <f>300-300</f>
        <v>0</v>
      </c>
      <c r="CY23" s="330">
        <f>300-300</f>
        <v>0</v>
      </c>
      <c r="CZ23" s="330">
        <f>300-300</f>
        <v>0</v>
      </c>
      <c r="DA23" s="330">
        <f>300-300</f>
        <v>0</v>
      </c>
      <c r="DB23" s="330">
        <f>300-300</f>
        <v>0</v>
      </c>
      <c r="DC23" s="326"/>
      <c r="DD23" s="330">
        <f>300-300</f>
        <v>0</v>
      </c>
      <c r="DE23" s="330">
        <f>300-300</f>
        <v>0</v>
      </c>
      <c r="DF23" s="326"/>
      <c r="DG23" s="330">
        <f>300-300</f>
        <v>0</v>
      </c>
      <c r="DH23" s="326"/>
      <c r="DI23" s="330">
        <f>500-500</f>
        <v>0</v>
      </c>
      <c r="DJ23" s="330">
        <f>500-500</f>
        <v>0</v>
      </c>
      <c r="DK23" s="330">
        <f>500-500</f>
        <v>0</v>
      </c>
      <c r="DL23" s="330">
        <f>500-500</f>
        <v>0</v>
      </c>
      <c r="DM23" s="330">
        <f>500-500</f>
        <v>0</v>
      </c>
      <c r="DN23" s="326"/>
      <c r="DO23" s="326"/>
      <c r="DP23" s="326"/>
      <c r="DQ23" s="326"/>
      <c r="DR23" s="326"/>
      <c r="DS23" s="326"/>
      <c r="DT23" s="326"/>
      <c r="DU23" s="326"/>
      <c r="DV23" s="326"/>
      <c r="DW23" s="326"/>
      <c r="DX23" s="326"/>
      <c r="DY23" s="326"/>
      <c r="DZ23" s="326"/>
      <c r="EA23" s="326"/>
      <c r="EB23" s="326"/>
      <c r="EC23" s="326"/>
      <c r="ED23" s="330">
        <f>200-200</f>
        <v>0</v>
      </c>
      <c r="EE23" s="330">
        <f>200-200</f>
        <v>0</v>
      </c>
      <c r="EF23" s="330">
        <f>200-200</f>
        <v>0</v>
      </c>
      <c r="EG23" s="326"/>
      <c r="EH23" s="326"/>
      <c r="EI23" s="330">
        <f>200-200</f>
        <v>0</v>
      </c>
      <c r="EJ23" s="326"/>
      <c r="EK23" s="330">
        <f>200-200</f>
        <v>0</v>
      </c>
      <c r="EL23" s="330">
        <f>500-500</f>
        <v>0</v>
      </c>
      <c r="EM23" s="330">
        <f>500-500</f>
        <v>0</v>
      </c>
      <c r="EN23" s="330">
        <f>500-500</f>
        <v>0</v>
      </c>
      <c r="EO23" s="326"/>
      <c r="EP23" s="330">
        <f t="shared" ref="EP23:EW23" si="4">500-500</f>
        <v>0</v>
      </c>
      <c r="EQ23" s="326"/>
      <c r="ER23" s="330">
        <f t="shared" si="4"/>
        <v>0</v>
      </c>
      <c r="ES23" s="330">
        <f t="shared" si="4"/>
        <v>0</v>
      </c>
      <c r="ET23" s="330">
        <f t="shared" si="4"/>
        <v>0</v>
      </c>
      <c r="EU23" s="330">
        <f t="shared" si="4"/>
        <v>0</v>
      </c>
      <c r="EV23" s="330">
        <f t="shared" si="4"/>
        <v>0</v>
      </c>
      <c r="EW23" s="330">
        <f t="shared" si="4"/>
        <v>0</v>
      </c>
      <c r="EX23" s="326"/>
      <c r="EY23" s="330">
        <f>500-500</f>
        <v>0</v>
      </c>
      <c r="EZ23" s="326"/>
      <c r="FA23" s="330">
        <f>500-500</f>
        <v>0</v>
      </c>
      <c r="FB23" s="330">
        <f>500-500</f>
        <v>0</v>
      </c>
      <c r="FC23" s="326"/>
      <c r="FD23" s="330">
        <f>500-500</f>
        <v>0</v>
      </c>
      <c r="FE23" s="330">
        <f>500-500</f>
        <v>0</v>
      </c>
      <c r="FF23" s="326"/>
      <c r="FG23" s="330">
        <f>200-200</f>
        <v>0</v>
      </c>
      <c r="FH23" s="330">
        <f>200-200</f>
        <v>0</v>
      </c>
      <c r="FI23" s="330">
        <f>200-200</f>
        <v>0</v>
      </c>
      <c r="FJ23" s="330">
        <f>200-200</f>
        <v>0</v>
      </c>
      <c r="FK23" s="326"/>
      <c r="FL23" s="326"/>
      <c r="FM23" s="326"/>
      <c r="FN23" s="330">
        <f>80-80</f>
        <v>0</v>
      </c>
      <c r="FO23" s="326"/>
      <c r="FP23" s="326"/>
      <c r="FQ23" s="326"/>
      <c r="FR23" s="326"/>
      <c r="FS23" s="326"/>
      <c r="FT23" s="326"/>
      <c r="FU23" s="326"/>
      <c r="FV23" s="326"/>
      <c r="FW23" s="326"/>
      <c r="FX23" s="326"/>
      <c r="FY23" s="326"/>
      <c r="FZ23" s="326"/>
      <c r="GA23" s="326"/>
      <c r="GB23" s="326"/>
      <c r="GC23" s="326"/>
      <c r="GD23" s="327" t="s">
        <v>850</v>
      </c>
      <c r="GE23" s="325" t="s">
        <v>887</v>
      </c>
      <c r="GF23" s="325" t="s">
        <v>522</v>
      </c>
      <c r="GG23" s="325" t="s">
        <v>850</v>
      </c>
      <c r="GH23" s="325" t="s">
        <v>533</v>
      </c>
      <c r="GI23" s="328">
        <f t="shared" si="0"/>
        <v>0</v>
      </c>
      <c r="GJ23" s="329" t="s">
        <v>800</v>
      </c>
    </row>
    <row r="24" spans="1:192" s="329" customFormat="1" hidden="1">
      <c r="A24" s="325" t="s">
        <v>898</v>
      </c>
      <c r="B24" s="325" t="s">
        <v>517</v>
      </c>
      <c r="C24" s="325" t="s">
        <v>527</v>
      </c>
      <c r="D24" s="325" t="s">
        <v>3</v>
      </c>
      <c r="E24" s="325" t="s">
        <v>543</v>
      </c>
      <c r="F24" s="325" t="s">
        <v>520</v>
      </c>
      <c r="G24" s="325" t="s">
        <v>900</v>
      </c>
      <c r="H24" s="326"/>
      <c r="I24" s="326"/>
      <c r="J24" s="326"/>
      <c r="K24" s="326"/>
      <c r="L24" s="326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6"/>
      <c r="X24" s="326"/>
      <c r="Y24" s="326"/>
      <c r="Z24" s="326"/>
      <c r="AA24" s="326"/>
      <c r="AB24" s="326"/>
      <c r="AC24" s="326"/>
      <c r="AD24" s="326"/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/>
      <c r="BE24" s="326"/>
      <c r="BF24" s="326"/>
      <c r="BG24" s="326"/>
      <c r="BH24" s="326"/>
      <c r="BI24" s="326"/>
      <c r="BJ24" s="326"/>
      <c r="BK24" s="326"/>
      <c r="BL24" s="326"/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326"/>
      <c r="CB24" s="326"/>
      <c r="CC24" s="326"/>
      <c r="CD24" s="326"/>
      <c r="CE24" s="326"/>
      <c r="CF24" s="326"/>
      <c r="CG24" s="326"/>
      <c r="CH24" s="326"/>
      <c r="CI24" s="326"/>
      <c r="CJ24" s="326"/>
      <c r="CK24" s="326"/>
      <c r="CL24" s="326"/>
      <c r="CM24" s="326"/>
      <c r="CN24" s="326"/>
      <c r="CO24" s="326"/>
      <c r="CP24" s="326"/>
      <c r="CQ24" s="326"/>
      <c r="CR24" s="326"/>
      <c r="CS24" s="326"/>
      <c r="CT24" s="326"/>
      <c r="CU24" s="326"/>
      <c r="CV24" s="326"/>
      <c r="CW24" s="326"/>
      <c r="CX24" s="326"/>
      <c r="CY24" s="326"/>
      <c r="CZ24" s="326"/>
      <c r="DA24" s="326"/>
      <c r="DB24" s="326"/>
      <c r="DC24" s="326"/>
      <c r="DD24" s="326"/>
      <c r="DE24" s="326"/>
      <c r="DF24" s="326"/>
      <c r="DG24" s="326"/>
      <c r="DH24" s="326"/>
      <c r="DI24" s="326"/>
      <c r="DJ24" s="326"/>
      <c r="DK24" s="326"/>
      <c r="DL24" s="326"/>
      <c r="DM24" s="326"/>
      <c r="DN24" s="326"/>
      <c r="DO24" s="326"/>
      <c r="DP24" s="326"/>
      <c r="DQ24" s="326"/>
      <c r="DR24" s="326"/>
      <c r="DS24" s="326"/>
      <c r="DT24" s="326"/>
      <c r="DU24" s="326"/>
      <c r="DV24" s="326"/>
      <c r="DW24" s="326"/>
      <c r="DX24" s="326"/>
      <c r="DY24" s="326"/>
      <c r="DZ24" s="326"/>
      <c r="EA24" s="326"/>
      <c r="EB24" s="326"/>
      <c r="EC24" s="326"/>
      <c r="ED24" s="326"/>
      <c r="EE24" s="326"/>
      <c r="EF24" s="326"/>
      <c r="EG24" s="326"/>
      <c r="EH24" s="326"/>
      <c r="EI24" s="326"/>
      <c r="EJ24" s="326"/>
      <c r="EK24" s="326"/>
      <c r="EL24" s="326"/>
      <c r="EM24" s="326"/>
      <c r="EN24" s="326"/>
      <c r="EO24" s="326"/>
      <c r="EP24" s="326"/>
      <c r="EQ24" s="326"/>
      <c r="ER24" s="326"/>
      <c r="ES24" s="326"/>
      <c r="ET24" s="326"/>
      <c r="EU24" s="326"/>
      <c r="EV24" s="326"/>
      <c r="EW24" s="326"/>
      <c r="EX24" s="326"/>
      <c r="EY24" s="326"/>
      <c r="EZ24" s="326"/>
      <c r="FA24" s="326"/>
      <c r="FB24" s="326"/>
      <c r="FC24" s="326"/>
      <c r="FD24" s="326"/>
      <c r="FE24" s="326"/>
      <c r="FF24" s="326"/>
      <c r="FG24" s="326"/>
      <c r="FH24" s="326"/>
      <c r="FI24" s="326"/>
      <c r="FJ24" s="326"/>
      <c r="FK24" s="326"/>
      <c r="FL24" s="326"/>
      <c r="FM24" s="326"/>
      <c r="FN24" s="332">
        <f>80</f>
        <v>80</v>
      </c>
      <c r="FO24" s="326"/>
      <c r="FP24" s="326"/>
      <c r="FQ24" s="326"/>
      <c r="FR24" s="326"/>
      <c r="FS24" s="326"/>
      <c r="FT24" s="326"/>
      <c r="FU24" s="326"/>
      <c r="FV24" s="326"/>
      <c r="FW24" s="326"/>
      <c r="FX24" s="326"/>
      <c r="FY24" s="326"/>
      <c r="FZ24" s="326"/>
      <c r="GA24" s="326"/>
      <c r="GB24" s="326"/>
      <c r="GC24" s="326"/>
      <c r="GD24" s="327"/>
      <c r="GE24" s="325" t="s">
        <v>887</v>
      </c>
      <c r="GF24" s="325" t="s">
        <v>522</v>
      </c>
      <c r="GG24" s="325" t="s">
        <v>850</v>
      </c>
      <c r="GH24" s="325" t="s">
        <v>533</v>
      </c>
      <c r="GI24" s="328">
        <f t="shared" si="0"/>
        <v>80</v>
      </c>
      <c r="GJ24" s="329" t="s">
        <v>800</v>
      </c>
    </row>
    <row r="25" spans="1:192" s="329" customFormat="1" hidden="1">
      <c r="A25" s="325" t="s">
        <v>526</v>
      </c>
      <c r="B25" s="325" t="s">
        <v>517</v>
      </c>
      <c r="C25" s="325" t="s">
        <v>544</v>
      </c>
      <c r="D25" s="325" t="s">
        <v>636</v>
      </c>
      <c r="E25" s="325" t="s">
        <v>545</v>
      </c>
      <c r="F25" s="325" t="s">
        <v>520</v>
      </c>
      <c r="G25" s="325" t="s">
        <v>901</v>
      </c>
      <c r="H25" s="326"/>
      <c r="I25" s="326"/>
      <c r="J25" s="326"/>
      <c r="K25" s="326"/>
      <c r="L25" s="326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326"/>
      <c r="X25" s="326"/>
      <c r="Y25" s="326"/>
      <c r="Z25" s="326"/>
      <c r="AA25" s="326"/>
      <c r="AB25" s="326"/>
      <c r="AC25" s="326"/>
      <c r="AD25" s="326"/>
      <c r="AE25" s="326"/>
      <c r="AF25" s="326"/>
      <c r="AG25" s="326"/>
      <c r="AH25" s="326"/>
      <c r="AI25" s="326"/>
      <c r="AJ25" s="326"/>
      <c r="AK25" s="326"/>
      <c r="AL25" s="326"/>
      <c r="AM25" s="326"/>
      <c r="AN25" s="326"/>
      <c r="AO25" s="326"/>
      <c r="AP25" s="326"/>
      <c r="AQ25" s="326"/>
      <c r="AR25" s="326"/>
      <c r="AS25" s="326"/>
      <c r="AT25" s="326"/>
      <c r="AU25" s="326"/>
      <c r="AV25" s="326"/>
      <c r="AW25" s="326"/>
      <c r="AX25" s="326"/>
      <c r="AY25" s="326"/>
      <c r="AZ25" s="326"/>
      <c r="BA25" s="326"/>
      <c r="BB25" s="326"/>
      <c r="BC25" s="326"/>
      <c r="BD25" s="326"/>
      <c r="BE25" s="326"/>
      <c r="BF25" s="326"/>
      <c r="BG25" s="326"/>
      <c r="BH25" s="326"/>
      <c r="BI25" s="326"/>
      <c r="BJ25" s="326"/>
      <c r="BK25" s="326"/>
      <c r="BL25" s="326"/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326"/>
      <c r="CA25" s="326"/>
      <c r="CB25" s="326"/>
      <c r="CC25" s="326"/>
      <c r="CD25" s="326"/>
      <c r="CE25" s="326"/>
      <c r="CF25" s="326"/>
      <c r="CG25" s="326"/>
      <c r="CH25" s="326"/>
      <c r="CI25" s="326"/>
      <c r="CJ25" s="326"/>
      <c r="CK25" s="326"/>
      <c r="CL25" s="326"/>
      <c r="CM25" s="326"/>
      <c r="CN25" s="326"/>
      <c r="CO25" s="326"/>
      <c r="CP25" s="326"/>
      <c r="CQ25" s="326"/>
      <c r="CR25" s="326"/>
      <c r="CS25" s="326"/>
      <c r="CT25" s="326"/>
      <c r="CU25" s="326"/>
      <c r="CV25" s="326"/>
      <c r="CW25" s="326"/>
      <c r="CX25" s="326"/>
      <c r="CY25" s="326"/>
      <c r="CZ25" s="326"/>
      <c r="DA25" s="326"/>
      <c r="DB25" s="326"/>
      <c r="DC25" s="326"/>
      <c r="DD25" s="326"/>
      <c r="DE25" s="326"/>
      <c r="DF25" s="326"/>
      <c r="DG25" s="326"/>
      <c r="DH25" s="326"/>
      <c r="DI25" s="326"/>
      <c r="DJ25" s="326"/>
      <c r="DK25" s="326"/>
      <c r="DL25" s="326"/>
      <c r="DM25" s="326"/>
      <c r="DN25" s="326"/>
      <c r="DO25" s="326"/>
      <c r="DP25" s="326"/>
      <c r="DQ25" s="326"/>
      <c r="DR25" s="326"/>
      <c r="DS25" s="326"/>
      <c r="DT25" s="326"/>
      <c r="DU25" s="326"/>
      <c r="DV25" s="326"/>
      <c r="DW25" s="326"/>
      <c r="DX25" s="326"/>
      <c r="DY25" s="326"/>
      <c r="DZ25" s="326"/>
      <c r="EA25" s="326"/>
      <c r="EB25" s="326"/>
      <c r="EC25" s="326"/>
      <c r="ED25" s="326"/>
      <c r="EE25" s="326"/>
      <c r="EF25" s="326"/>
      <c r="EG25" s="326"/>
      <c r="EH25" s="326"/>
      <c r="EI25" s="331">
        <f>50</f>
        <v>50</v>
      </c>
      <c r="EJ25" s="326"/>
      <c r="EK25" s="326"/>
      <c r="EL25" s="326"/>
      <c r="EM25" s="326"/>
      <c r="EN25" s="326"/>
      <c r="EO25" s="326"/>
      <c r="EP25" s="326"/>
      <c r="EQ25" s="326"/>
      <c r="ER25" s="326"/>
      <c r="ES25" s="326"/>
      <c r="ET25" s="326"/>
      <c r="EU25" s="326"/>
      <c r="EV25" s="326"/>
      <c r="EW25" s="326"/>
      <c r="EX25" s="326"/>
      <c r="EY25" s="326"/>
      <c r="EZ25" s="326"/>
      <c r="FA25" s="326"/>
      <c r="FB25" s="326"/>
      <c r="FC25" s="326"/>
      <c r="FD25" s="326"/>
      <c r="FE25" s="326"/>
      <c r="FF25" s="326"/>
      <c r="FG25" s="326"/>
      <c r="FH25" s="326"/>
      <c r="FI25" s="326"/>
      <c r="FJ25" s="326"/>
      <c r="FK25" s="326"/>
      <c r="FL25" s="326"/>
      <c r="FM25" s="326"/>
      <c r="FN25" s="326"/>
      <c r="FO25" s="326"/>
      <c r="FP25" s="326"/>
      <c r="FQ25" s="326"/>
      <c r="FR25" s="326"/>
      <c r="FS25" s="326"/>
      <c r="FT25" s="326"/>
      <c r="FU25" s="326"/>
      <c r="FV25" s="326"/>
      <c r="FW25" s="326"/>
      <c r="FX25" s="326"/>
      <c r="FY25" s="326"/>
      <c r="FZ25" s="326"/>
      <c r="GA25" s="326"/>
      <c r="GB25" s="326"/>
      <c r="GC25" s="326"/>
      <c r="GD25" s="327"/>
      <c r="GE25" s="325" t="s">
        <v>887</v>
      </c>
      <c r="GF25" s="325" t="s">
        <v>522</v>
      </c>
      <c r="GG25" s="325" t="s">
        <v>850</v>
      </c>
      <c r="GH25" s="325" t="s">
        <v>546</v>
      </c>
      <c r="GI25" s="328">
        <f t="shared" si="0"/>
        <v>50</v>
      </c>
      <c r="GJ25" s="329" t="s">
        <v>902</v>
      </c>
    </row>
    <row r="26" spans="1:192" s="329" customFormat="1" hidden="1">
      <c r="A26" s="325" t="s">
        <v>526</v>
      </c>
      <c r="B26" s="325" t="s">
        <v>517</v>
      </c>
      <c r="C26" s="325" t="s">
        <v>544</v>
      </c>
      <c r="D26" s="325" t="s">
        <v>633</v>
      </c>
      <c r="E26" s="325" t="s">
        <v>545</v>
      </c>
      <c r="F26" s="325" t="s">
        <v>520</v>
      </c>
      <c r="G26" s="325" t="s">
        <v>901</v>
      </c>
      <c r="H26" s="326"/>
      <c r="I26" s="326"/>
      <c r="J26" s="330">
        <f>50-50</f>
        <v>0</v>
      </c>
      <c r="K26" s="330">
        <f>100-100</f>
        <v>0</v>
      </c>
      <c r="L26" s="326"/>
      <c r="M26" s="326"/>
      <c r="N26" s="331">
        <f>100-100+8</f>
        <v>8</v>
      </c>
      <c r="O26" s="330">
        <f>300-300</f>
        <v>0</v>
      </c>
      <c r="P26" s="326"/>
      <c r="Q26" s="326"/>
      <c r="R26" s="326"/>
      <c r="S26" s="330">
        <f>40-40</f>
        <v>0</v>
      </c>
      <c r="T26" s="330">
        <f>80-80</f>
        <v>0</v>
      </c>
      <c r="U26" s="326"/>
      <c r="V26" s="326"/>
      <c r="W26" s="326"/>
      <c r="X26" s="330">
        <f>40-40</f>
        <v>0</v>
      </c>
      <c r="Y26" s="330">
        <f>50-50</f>
        <v>0</v>
      </c>
      <c r="Z26" s="330">
        <f>100-100</f>
        <v>0</v>
      </c>
      <c r="AA26" s="330">
        <f>200-200</f>
        <v>0</v>
      </c>
      <c r="AB26" s="330">
        <f>150-150</f>
        <v>0</v>
      </c>
      <c r="AC26" s="330">
        <f>200-200</f>
        <v>0</v>
      </c>
      <c r="AD26" s="330">
        <f>300-300</f>
        <v>0</v>
      </c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  <c r="AQ26" s="326"/>
      <c r="AR26" s="326"/>
      <c r="AS26" s="326"/>
      <c r="AT26" s="326"/>
      <c r="AU26" s="326"/>
      <c r="AV26" s="326"/>
      <c r="AW26" s="326"/>
      <c r="AX26" s="330">
        <f>36-36</f>
        <v>0</v>
      </c>
      <c r="AY26" s="330">
        <f>20-20</f>
        <v>0</v>
      </c>
      <c r="AZ26" s="330">
        <f>50-50</f>
        <v>0</v>
      </c>
      <c r="BA26" s="330">
        <f>100-100</f>
        <v>0</v>
      </c>
      <c r="BB26" s="326"/>
      <c r="BC26" s="330">
        <f>200-200</f>
        <v>0</v>
      </c>
      <c r="BD26" s="330">
        <f>100-100</f>
        <v>0</v>
      </c>
      <c r="BE26" s="330">
        <f>200-200</f>
        <v>0</v>
      </c>
      <c r="BF26" s="330">
        <f>100-100</f>
        <v>0</v>
      </c>
      <c r="BG26" s="330">
        <f>300-300</f>
        <v>0</v>
      </c>
      <c r="BH26" s="326"/>
      <c r="BI26" s="326"/>
      <c r="BJ26" s="326"/>
      <c r="BK26" s="326"/>
      <c r="BL26" s="330">
        <f>40-40</f>
        <v>0</v>
      </c>
      <c r="BM26" s="330">
        <f>20-20</f>
        <v>0</v>
      </c>
      <c r="BN26" s="330">
        <f>40-40</f>
        <v>0</v>
      </c>
      <c r="BO26" s="330">
        <f>100-100</f>
        <v>0</v>
      </c>
      <c r="BP26" s="330">
        <f>200-200</f>
        <v>0</v>
      </c>
      <c r="BQ26" s="330">
        <f>100-100</f>
        <v>0</v>
      </c>
      <c r="BR26" s="330">
        <f>200-200</f>
        <v>0</v>
      </c>
      <c r="BS26" s="330">
        <f>200-200</f>
        <v>0</v>
      </c>
      <c r="BT26" s="326"/>
      <c r="BU26" s="326"/>
      <c r="BV26" s="326"/>
      <c r="BW26" s="326"/>
      <c r="BX26" s="326"/>
      <c r="BY26" s="330">
        <f>40-40</f>
        <v>0</v>
      </c>
      <c r="BZ26" s="326"/>
      <c r="CA26" s="330">
        <f>30-30</f>
        <v>0</v>
      </c>
      <c r="CB26" s="330">
        <f>100-100</f>
        <v>0</v>
      </c>
      <c r="CC26" s="330">
        <f>200-200</f>
        <v>0</v>
      </c>
      <c r="CD26" s="326"/>
      <c r="CE26" s="326"/>
      <c r="CF26" s="330">
        <f>500-500</f>
        <v>0</v>
      </c>
      <c r="CG26" s="330">
        <f>400-400</f>
        <v>0</v>
      </c>
      <c r="CH26" s="330">
        <f>500-500</f>
        <v>0</v>
      </c>
      <c r="CI26" s="330">
        <f>200-200</f>
        <v>0</v>
      </c>
      <c r="CJ26" s="326"/>
      <c r="CK26" s="330">
        <f>200-200</f>
        <v>0</v>
      </c>
      <c r="CL26" s="330">
        <f>150-150</f>
        <v>0</v>
      </c>
      <c r="CM26" s="330">
        <f>200-200</f>
        <v>0</v>
      </c>
      <c r="CN26" s="330">
        <f>200-200</f>
        <v>0</v>
      </c>
      <c r="CO26" s="330">
        <f>200-200</f>
        <v>0</v>
      </c>
      <c r="CP26" s="330">
        <f>200-200</f>
        <v>0</v>
      </c>
      <c r="CQ26" s="330">
        <f>200-200</f>
        <v>0</v>
      </c>
      <c r="CR26" s="330">
        <f>1000-1000</f>
        <v>0</v>
      </c>
      <c r="CS26" s="330">
        <f>300-300</f>
        <v>0</v>
      </c>
      <c r="CT26" s="330">
        <f>1000-1000</f>
        <v>0</v>
      </c>
      <c r="CU26" s="330">
        <f>200-200</f>
        <v>0</v>
      </c>
      <c r="CV26" s="326"/>
      <c r="CW26" s="326"/>
      <c r="CX26" s="330">
        <f>100-100</f>
        <v>0</v>
      </c>
      <c r="CY26" s="330">
        <f>150-150</f>
        <v>0</v>
      </c>
      <c r="CZ26" s="330">
        <f>250-250</f>
        <v>0</v>
      </c>
      <c r="DA26" s="330">
        <f>150-150</f>
        <v>0</v>
      </c>
      <c r="DB26" s="330">
        <f>500-500</f>
        <v>0</v>
      </c>
      <c r="DC26" s="326"/>
      <c r="DD26" s="326"/>
      <c r="DE26" s="326"/>
      <c r="DF26" s="326"/>
      <c r="DG26" s="326"/>
      <c r="DH26" s="326"/>
      <c r="DI26" s="330">
        <f>100-100</f>
        <v>0</v>
      </c>
      <c r="DJ26" s="330">
        <f>200-200</f>
        <v>0</v>
      </c>
      <c r="DK26" s="330">
        <f>100-100</f>
        <v>0</v>
      </c>
      <c r="DL26" s="330">
        <f>500-500</f>
        <v>0</v>
      </c>
      <c r="DM26" s="330">
        <f>500-500</f>
        <v>0</v>
      </c>
      <c r="DN26" s="326"/>
      <c r="DO26" s="326"/>
      <c r="DP26" s="326"/>
      <c r="DQ26" s="326"/>
      <c r="DR26" s="326"/>
      <c r="DS26" s="326"/>
      <c r="DT26" s="326"/>
      <c r="DU26" s="326"/>
      <c r="DV26" s="326"/>
      <c r="DW26" s="326"/>
      <c r="DX26" s="326"/>
      <c r="DY26" s="326"/>
      <c r="DZ26" s="326"/>
      <c r="EA26" s="326"/>
      <c r="EB26" s="326"/>
      <c r="EC26" s="326"/>
      <c r="ED26" s="330">
        <f>50-50</f>
        <v>0</v>
      </c>
      <c r="EE26" s="326"/>
      <c r="EF26" s="326"/>
      <c r="EG26" s="326"/>
      <c r="EH26" s="326"/>
      <c r="EI26" s="330">
        <f>50-50</f>
        <v>0</v>
      </c>
      <c r="EJ26" s="326"/>
      <c r="EK26" s="326"/>
      <c r="EL26" s="326"/>
      <c r="EM26" s="326"/>
      <c r="EN26" s="326"/>
      <c r="EO26" s="326"/>
      <c r="EP26" s="326"/>
      <c r="EQ26" s="326"/>
      <c r="ER26" s="330">
        <f>500-500</f>
        <v>0</v>
      </c>
      <c r="ES26" s="330">
        <f>100-100</f>
        <v>0</v>
      </c>
      <c r="ET26" s="326"/>
      <c r="EU26" s="326"/>
      <c r="EV26" s="326"/>
      <c r="EW26" s="326"/>
      <c r="EX26" s="326"/>
      <c r="EY26" s="326"/>
      <c r="EZ26" s="326"/>
      <c r="FA26" s="326"/>
      <c r="FB26" s="326"/>
      <c r="FC26" s="326"/>
      <c r="FD26" s="326"/>
      <c r="FE26" s="326"/>
      <c r="FF26" s="326"/>
      <c r="FG26" s="326"/>
      <c r="FH26" s="331">
        <f>80</f>
        <v>80</v>
      </c>
      <c r="FI26" s="326"/>
      <c r="FJ26" s="326"/>
      <c r="FK26" s="326"/>
      <c r="FL26" s="326"/>
      <c r="FM26" s="326"/>
      <c r="FN26" s="326"/>
      <c r="FO26" s="326"/>
      <c r="FP26" s="326"/>
      <c r="FQ26" s="326"/>
      <c r="FR26" s="326"/>
      <c r="FS26" s="326"/>
      <c r="FT26" s="326"/>
      <c r="FU26" s="326"/>
      <c r="FV26" s="326"/>
      <c r="FW26" s="326"/>
      <c r="FX26" s="326"/>
      <c r="FY26" s="326"/>
      <c r="FZ26" s="326"/>
      <c r="GA26" s="326"/>
      <c r="GB26" s="326"/>
      <c r="GC26" s="326"/>
      <c r="GD26" s="327" t="s">
        <v>850</v>
      </c>
      <c r="GE26" s="325" t="s">
        <v>887</v>
      </c>
      <c r="GF26" s="325" t="s">
        <v>522</v>
      </c>
      <c r="GG26" s="325" t="s">
        <v>850</v>
      </c>
      <c r="GH26" s="325" t="s">
        <v>546</v>
      </c>
      <c r="GI26" s="328">
        <f t="shared" si="0"/>
        <v>88</v>
      </c>
      <c r="GJ26" s="329" t="s">
        <v>902</v>
      </c>
    </row>
    <row r="27" spans="1:192" s="329" customFormat="1" hidden="1">
      <c r="A27" s="325" t="s">
        <v>526</v>
      </c>
      <c r="B27" s="325" t="s">
        <v>517</v>
      </c>
      <c r="C27" s="325" t="s">
        <v>544</v>
      </c>
      <c r="D27" s="325" t="s">
        <v>3</v>
      </c>
      <c r="E27" s="325" t="s">
        <v>545</v>
      </c>
      <c r="F27" s="325" t="s">
        <v>520</v>
      </c>
      <c r="G27" s="325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26"/>
      <c r="AL27" s="326"/>
      <c r="AM27" s="326"/>
      <c r="AN27" s="326"/>
      <c r="AO27" s="326"/>
      <c r="AP27" s="326"/>
      <c r="AQ27" s="326"/>
      <c r="AR27" s="326"/>
      <c r="AS27" s="326"/>
      <c r="AT27" s="326"/>
      <c r="AU27" s="326"/>
      <c r="AV27" s="326"/>
      <c r="AW27" s="326"/>
      <c r="AX27" s="326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/>
      <c r="BJ27" s="326"/>
      <c r="BK27" s="326"/>
      <c r="BL27" s="326"/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326"/>
      <c r="CA27" s="326"/>
      <c r="CB27" s="326"/>
      <c r="CC27" s="326"/>
      <c r="CD27" s="326"/>
      <c r="CE27" s="326"/>
      <c r="CF27" s="326"/>
      <c r="CG27" s="326"/>
      <c r="CH27" s="326"/>
      <c r="CI27" s="326"/>
      <c r="CJ27" s="326"/>
      <c r="CK27" s="326"/>
      <c r="CL27" s="326"/>
      <c r="CM27" s="326"/>
      <c r="CN27" s="326"/>
      <c r="CO27" s="326"/>
      <c r="CP27" s="326"/>
      <c r="CQ27" s="326"/>
      <c r="CR27" s="326"/>
      <c r="CS27" s="326"/>
      <c r="CT27" s="326"/>
      <c r="CU27" s="326"/>
      <c r="CV27" s="326"/>
      <c r="CW27" s="326"/>
      <c r="CX27" s="326"/>
      <c r="CY27" s="326"/>
      <c r="CZ27" s="326"/>
      <c r="DA27" s="326"/>
      <c r="DB27" s="326"/>
      <c r="DC27" s="326"/>
      <c r="DD27" s="326"/>
      <c r="DE27" s="326"/>
      <c r="DF27" s="326"/>
      <c r="DG27" s="326"/>
      <c r="DH27" s="326"/>
      <c r="DI27" s="326"/>
      <c r="DJ27" s="326"/>
      <c r="DK27" s="326"/>
      <c r="DL27" s="326"/>
      <c r="DM27" s="326"/>
      <c r="DN27" s="326"/>
      <c r="DO27" s="326"/>
      <c r="DP27" s="326"/>
      <c r="DQ27" s="326"/>
      <c r="DR27" s="326"/>
      <c r="DS27" s="326"/>
      <c r="DT27" s="326"/>
      <c r="DU27" s="326"/>
      <c r="DV27" s="326"/>
      <c r="DW27" s="326"/>
      <c r="DX27" s="326"/>
      <c r="DY27" s="326"/>
      <c r="DZ27" s="326"/>
      <c r="EA27" s="326"/>
      <c r="EB27" s="326"/>
      <c r="EC27" s="326"/>
      <c r="ED27" s="326"/>
      <c r="EE27" s="326"/>
      <c r="EF27" s="326"/>
      <c r="EG27" s="326"/>
      <c r="EH27" s="326"/>
      <c r="EI27" s="326"/>
      <c r="EJ27" s="326"/>
      <c r="EK27" s="326"/>
      <c r="EL27" s="326"/>
      <c r="EM27" s="326"/>
      <c r="EN27" s="326"/>
      <c r="EO27" s="326"/>
      <c r="EP27" s="326"/>
      <c r="EQ27" s="326"/>
      <c r="ER27" s="326"/>
      <c r="ES27" s="326"/>
      <c r="ET27" s="326"/>
      <c r="EU27" s="326"/>
      <c r="EV27" s="326"/>
      <c r="EW27" s="326"/>
      <c r="EX27" s="326"/>
      <c r="EY27" s="326"/>
      <c r="EZ27" s="326"/>
      <c r="FA27" s="326"/>
      <c r="FB27" s="326"/>
      <c r="FC27" s="326"/>
      <c r="FD27" s="326"/>
      <c r="FE27" s="326"/>
      <c r="FF27" s="326"/>
      <c r="FG27" s="326"/>
      <c r="FH27" s="326"/>
      <c r="FI27" s="326"/>
      <c r="FJ27" s="326"/>
      <c r="FK27" s="326"/>
      <c r="FL27" s="326"/>
      <c r="FM27" s="326"/>
      <c r="FN27" s="326"/>
      <c r="FO27" s="326"/>
      <c r="FP27" s="326"/>
      <c r="FQ27" s="326"/>
      <c r="FR27" s="326"/>
      <c r="FS27" s="326"/>
      <c r="FT27" s="326"/>
      <c r="FU27" s="326"/>
      <c r="FV27" s="326"/>
      <c r="FW27" s="326"/>
      <c r="FX27" s="326"/>
      <c r="FY27" s="326"/>
      <c r="FZ27" s="326"/>
      <c r="GA27" s="326"/>
      <c r="GB27" s="326"/>
      <c r="GC27" s="326"/>
      <c r="GD27" s="327"/>
      <c r="GE27" s="325" t="s">
        <v>887</v>
      </c>
      <c r="GF27" s="325" t="s">
        <v>522</v>
      </c>
      <c r="GG27" s="325" t="s">
        <v>850</v>
      </c>
      <c r="GH27" s="325" t="s">
        <v>546</v>
      </c>
      <c r="GI27" s="328">
        <f t="shared" si="0"/>
        <v>0</v>
      </c>
      <c r="GJ27" s="329" t="s">
        <v>902</v>
      </c>
    </row>
    <row r="28" spans="1:192" s="329" customFormat="1" hidden="1">
      <c r="A28" s="325" t="s">
        <v>517</v>
      </c>
      <c r="B28" s="325" t="s">
        <v>517</v>
      </c>
      <c r="C28" s="325" t="s">
        <v>548</v>
      </c>
      <c r="D28" s="325" t="s">
        <v>636</v>
      </c>
      <c r="E28" s="325" t="s">
        <v>549</v>
      </c>
      <c r="F28" s="325" t="s">
        <v>520</v>
      </c>
      <c r="G28" s="325"/>
      <c r="H28" s="326"/>
      <c r="I28" s="326"/>
      <c r="J28" s="326"/>
      <c r="K28" s="326"/>
      <c r="L28" s="326"/>
      <c r="M28" s="326"/>
      <c r="N28" s="326"/>
      <c r="O28" s="326"/>
      <c r="P28" s="326"/>
      <c r="Q28" s="326"/>
      <c r="R28" s="326"/>
      <c r="S28" s="326"/>
      <c r="T28" s="326"/>
      <c r="U28" s="326"/>
      <c r="V28" s="326"/>
      <c r="W28" s="326"/>
      <c r="X28" s="326"/>
      <c r="Y28" s="326"/>
      <c r="Z28" s="326"/>
      <c r="AA28" s="326"/>
      <c r="AB28" s="326"/>
      <c r="AC28" s="326"/>
      <c r="AD28" s="326"/>
      <c r="AE28" s="326"/>
      <c r="AF28" s="326"/>
      <c r="AG28" s="326"/>
      <c r="AH28" s="326"/>
      <c r="AI28" s="326"/>
      <c r="AJ28" s="326"/>
      <c r="AK28" s="326"/>
      <c r="AL28" s="326"/>
      <c r="AM28" s="326"/>
      <c r="AN28" s="326"/>
      <c r="AO28" s="326"/>
      <c r="AP28" s="326"/>
      <c r="AQ28" s="326"/>
      <c r="AR28" s="326"/>
      <c r="AS28" s="326"/>
      <c r="AT28" s="326"/>
      <c r="AU28" s="326"/>
      <c r="AV28" s="326"/>
      <c r="AW28" s="326"/>
      <c r="AX28" s="326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6"/>
      <c r="BK28" s="326"/>
      <c r="BL28" s="326"/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326"/>
      <c r="CB28" s="326"/>
      <c r="CC28" s="326"/>
      <c r="CD28" s="326"/>
      <c r="CE28" s="326"/>
      <c r="CF28" s="326"/>
      <c r="CG28" s="326"/>
      <c r="CH28" s="326"/>
      <c r="CI28" s="326"/>
      <c r="CJ28" s="326"/>
      <c r="CK28" s="326"/>
      <c r="CL28" s="326"/>
      <c r="CM28" s="326"/>
      <c r="CN28" s="326"/>
      <c r="CO28" s="326"/>
      <c r="CP28" s="326"/>
      <c r="CQ28" s="326"/>
      <c r="CR28" s="326"/>
      <c r="CS28" s="326"/>
      <c r="CT28" s="326"/>
      <c r="CU28" s="326"/>
      <c r="CV28" s="326"/>
      <c r="CW28" s="326"/>
      <c r="CX28" s="326"/>
      <c r="CY28" s="326"/>
      <c r="CZ28" s="326"/>
      <c r="DA28" s="326"/>
      <c r="DB28" s="326"/>
      <c r="DC28" s="326"/>
      <c r="DD28" s="326"/>
      <c r="DE28" s="326"/>
      <c r="DF28" s="326"/>
      <c r="DG28" s="326"/>
      <c r="DH28" s="326"/>
      <c r="DI28" s="326"/>
      <c r="DJ28" s="326"/>
      <c r="DK28" s="326"/>
      <c r="DL28" s="326"/>
      <c r="DM28" s="326"/>
      <c r="DN28" s="326"/>
      <c r="DO28" s="326"/>
      <c r="DP28" s="326"/>
      <c r="DQ28" s="326"/>
      <c r="DR28" s="326"/>
      <c r="DS28" s="326"/>
      <c r="DT28" s="326"/>
      <c r="DU28" s="326"/>
      <c r="DV28" s="326"/>
      <c r="DW28" s="326"/>
      <c r="DX28" s="326"/>
      <c r="DY28" s="326"/>
      <c r="DZ28" s="326"/>
      <c r="EA28" s="326"/>
      <c r="EB28" s="326"/>
      <c r="EC28" s="326"/>
      <c r="ED28" s="326"/>
      <c r="EE28" s="326"/>
      <c r="EF28" s="326"/>
      <c r="EG28" s="326"/>
      <c r="EH28" s="326"/>
      <c r="EI28" s="326"/>
      <c r="EJ28" s="326"/>
      <c r="EK28" s="326"/>
      <c r="EL28" s="326"/>
      <c r="EM28" s="326"/>
      <c r="EN28" s="326"/>
      <c r="EO28" s="326"/>
      <c r="EP28" s="326"/>
      <c r="EQ28" s="326"/>
      <c r="ER28" s="326"/>
      <c r="ES28" s="326"/>
      <c r="ET28" s="326"/>
      <c r="EU28" s="326"/>
      <c r="EV28" s="326"/>
      <c r="EW28" s="326"/>
      <c r="EX28" s="326"/>
      <c r="EY28" s="326"/>
      <c r="EZ28" s="326"/>
      <c r="FA28" s="326"/>
      <c r="FB28" s="326"/>
      <c r="FC28" s="326"/>
      <c r="FD28" s="326"/>
      <c r="FE28" s="326"/>
      <c r="FF28" s="326"/>
      <c r="FG28" s="326"/>
      <c r="FH28" s="326"/>
      <c r="FI28" s="326"/>
      <c r="FJ28" s="326"/>
      <c r="FK28" s="326"/>
      <c r="FL28" s="326"/>
      <c r="FM28" s="326"/>
      <c r="FN28" s="326"/>
      <c r="FO28" s="326"/>
      <c r="FP28" s="326"/>
      <c r="FQ28" s="326"/>
      <c r="FR28" s="326"/>
      <c r="FS28" s="326"/>
      <c r="FT28" s="326"/>
      <c r="FU28" s="326"/>
      <c r="FV28" s="326"/>
      <c r="FW28" s="326"/>
      <c r="FX28" s="326"/>
      <c r="FY28" s="326"/>
      <c r="FZ28" s="326"/>
      <c r="GA28" s="326"/>
      <c r="GB28" s="326"/>
      <c r="GC28" s="326"/>
      <c r="GD28" s="327"/>
      <c r="GE28" s="325" t="s">
        <v>887</v>
      </c>
      <c r="GF28" s="325" t="s">
        <v>522</v>
      </c>
      <c r="GG28" s="325" t="s">
        <v>850</v>
      </c>
      <c r="GH28" s="325" t="s">
        <v>551</v>
      </c>
      <c r="GI28" s="328">
        <f t="shared" si="0"/>
        <v>0</v>
      </c>
      <c r="GJ28" s="329" t="s">
        <v>902</v>
      </c>
    </row>
    <row r="29" spans="1:192" s="329" customFormat="1" hidden="1">
      <c r="A29" s="325" t="s">
        <v>517</v>
      </c>
      <c r="B29" s="325" t="s">
        <v>517</v>
      </c>
      <c r="C29" s="325" t="s">
        <v>548</v>
      </c>
      <c r="D29" s="325" t="s">
        <v>633</v>
      </c>
      <c r="E29" s="325" t="s">
        <v>549</v>
      </c>
      <c r="F29" s="325" t="s">
        <v>520</v>
      </c>
      <c r="G29" s="325"/>
      <c r="H29" s="326"/>
      <c r="I29" s="326"/>
      <c r="J29" s="326"/>
      <c r="K29" s="326"/>
      <c r="L29" s="326"/>
      <c r="M29" s="326"/>
      <c r="N29" s="326"/>
      <c r="O29" s="326"/>
      <c r="P29" s="326"/>
      <c r="Q29" s="326"/>
      <c r="R29" s="326"/>
      <c r="S29" s="326"/>
      <c r="T29" s="326"/>
      <c r="U29" s="326"/>
      <c r="V29" s="326"/>
      <c r="W29" s="326"/>
      <c r="X29" s="326"/>
      <c r="Y29" s="326"/>
      <c r="Z29" s="326"/>
      <c r="AA29" s="326"/>
      <c r="AB29" s="326"/>
      <c r="AC29" s="326"/>
      <c r="AD29" s="326"/>
      <c r="AE29" s="326"/>
      <c r="AF29" s="326"/>
      <c r="AG29" s="326"/>
      <c r="AH29" s="326"/>
      <c r="AI29" s="326"/>
      <c r="AJ29" s="326"/>
      <c r="AK29" s="326"/>
      <c r="AL29" s="326"/>
      <c r="AM29" s="326"/>
      <c r="AN29" s="326"/>
      <c r="AO29" s="326"/>
      <c r="AP29" s="326"/>
      <c r="AQ29" s="326"/>
      <c r="AR29" s="326"/>
      <c r="AS29" s="330">
        <f>50-50</f>
        <v>0</v>
      </c>
      <c r="AT29" s="326"/>
      <c r="AU29" s="326"/>
      <c r="AV29" s="326"/>
      <c r="AW29" s="326"/>
      <c r="AX29" s="326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6"/>
      <c r="BK29" s="326"/>
      <c r="BL29" s="326"/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326"/>
      <c r="CB29" s="326"/>
      <c r="CC29" s="326"/>
      <c r="CD29" s="326"/>
      <c r="CE29" s="326"/>
      <c r="CF29" s="326"/>
      <c r="CG29" s="326"/>
      <c r="CH29" s="326"/>
      <c r="CI29" s="326"/>
      <c r="CJ29" s="326"/>
      <c r="CK29" s="326"/>
      <c r="CL29" s="326"/>
      <c r="CM29" s="326"/>
      <c r="CN29" s="326"/>
      <c r="CO29" s="326"/>
      <c r="CP29" s="326"/>
      <c r="CQ29" s="326"/>
      <c r="CR29" s="326"/>
      <c r="CS29" s="326"/>
      <c r="CT29" s="326"/>
      <c r="CU29" s="326"/>
      <c r="CV29" s="326"/>
      <c r="CW29" s="326"/>
      <c r="CX29" s="326"/>
      <c r="CY29" s="326"/>
      <c r="CZ29" s="326"/>
      <c r="DA29" s="326"/>
      <c r="DB29" s="326"/>
      <c r="DC29" s="326"/>
      <c r="DD29" s="326"/>
      <c r="DE29" s="326"/>
      <c r="DF29" s="326"/>
      <c r="DG29" s="326"/>
      <c r="DH29" s="326"/>
      <c r="DI29" s="326"/>
      <c r="DJ29" s="326"/>
      <c r="DK29" s="326"/>
      <c r="DL29" s="326"/>
      <c r="DM29" s="326"/>
      <c r="DN29" s="326"/>
      <c r="DO29" s="326"/>
      <c r="DP29" s="326"/>
      <c r="DQ29" s="326"/>
      <c r="DR29" s="326"/>
      <c r="DS29" s="326"/>
      <c r="DT29" s="326"/>
      <c r="DU29" s="326"/>
      <c r="DV29" s="326"/>
      <c r="DW29" s="326"/>
      <c r="DX29" s="326"/>
      <c r="DY29" s="326"/>
      <c r="DZ29" s="326"/>
      <c r="EA29" s="326"/>
      <c r="EB29" s="326"/>
      <c r="EC29" s="326"/>
      <c r="ED29" s="326"/>
      <c r="EE29" s="326"/>
      <c r="EF29" s="326"/>
      <c r="EG29" s="326"/>
      <c r="EH29" s="326"/>
      <c r="EI29" s="326"/>
      <c r="EJ29" s="326"/>
      <c r="EK29" s="326"/>
      <c r="EL29" s="326"/>
      <c r="EM29" s="326"/>
      <c r="EN29" s="326"/>
      <c r="EO29" s="326"/>
      <c r="EP29" s="326"/>
      <c r="EQ29" s="326"/>
      <c r="ER29" s="326"/>
      <c r="ES29" s="326"/>
      <c r="ET29" s="326"/>
      <c r="EU29" s="326"/>
      <c r="EV29" s="326"/>
      <c r="EW29" s="326"/>
      <c r="EX29" s="326"/>
      <c r="EY29" s="326"/>
      <c r="EZ29" s="326"/>
      <c r="FA29" s="326"/>
      <c r="FB29" s="326"/>
      <c r="FC29" s="326"/>
      <c r="FD29" s="326"/>
      <c r="FE29" s="326"/>
      <c r="FF29" s="326"/>
      <c r="FG29" s="326"/>
      <c r="FH29" s="326"/>
      <c r="FI29" s="326"/>
      <c r="FJ29" s="326"/>
      <c r="FK29" s="326"/>
      <c r="FL29" s="326"/>
      <c r="FM29" s="326"/>
      <c r="FN29" s="326"/>
      <c r="FO29" s="326"/>
      <c r="FP29" s="326"/>
      <c r="FQ29" s="326"/>
      <c r="FR29" s="326"/>
      <c r="FS29" s="326"/>
      <c r="FT29" s="326"/>
      <c r="FU29" s="326"/>
      <c r="FV29" s="326"/>
      <c r="FW29" s="326"/>
      <c r="FX29" s="326"/>
      <c r="FY29" s="326"/>
      <c r="FZ29" s="326"/>
      <c r="GA29" s="326"/>
      <c r="GB29" s="326"/>
      <c r="GC29" s="326"/>
      <c r="GD29" s="327" t="s">
        <v>850</v>
      </c>
      <c r="GE29" s="325" t="s">
        <v>887</v>
      </c>
      <c r="GF29" s="325" t="s">
        <v>522</v>
      </c>
      <c r="GG29" s="325" t="s">
        <v>850</v>
      </c>
      <c r="GH29" s="325" t="s">
        <v>551</v>
      </c>
      <c r="GI29" s="328">
        <f t="shared" si="0"/>
        <v>0</v>
      </c>
      <c r="GJ29" s="329" t="s">
        <v>902</v>
      </c>
    </row>
    <row r="30" spans="1:192" s="329" customFormat="1" hidden="1">
      <c r="A30" s="325" t="s">
        <v>517</v>
      </c>
      <c r="B30" s="325" t="s">
        <v>517</v>
      </c>
      <c r="C30" s="325" t="s">
        <v>548</v>
      </c>
      <c r="D30" s="325" t="s">
        <v>3</v>
      </c>
      <c r="E30" s="325" t="s">
        <v>549</v>
      </c>
      <c r="F30" s="325" t="s">
        <v>520</v>
      </c>
      <c r="G30" s="325" t="s">
        <v>550</v>
      </c>
      <c r="H30" s="326"/>
      <c r="I30" s="326"/>
      <c r="J30" s="326"/>
      <c r="K30" s="326"/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26"/>
      <c r="AI30" s="326"/>
      <c r="AJ30" s="326"/>
      <c r="AK30" s="326"/>
      <c r="AL30" s="326"/>
      <c r="AM30" s="326"/>
      <c r="AN30" s="326"/>
      <c r="AO30" s="326"/>
      <c r="AP30" s="326"/>
      <c r="AQ30" s="326"/>
      <c r="AR30" s="326"/>
      <c r="AS30" s="326"/>
      <c r="AT30" s="326"/>
      <c r="AU30" s="326"/>
      <c r="AV30" s="326"/>
      <c r="AW30" s="326"/>
      <c r="AX30" s="326"/>
      <c r="AY30" s="326"/>
      <c r="AZ30" s="326"/>
      <c r="BA30" s="326"/>
      <c r="BB30" s="326"/>
      <c r="BC30" s="326"/>
      <c r="BD30" s="326"/>
      <c r="BE30" s="326"/>
      <c r="BF30" s="326"/>
      <c r="BG30" s="326"/>
      <c r="BH30" s="326"/>
      <c r="BI30" s="326"/>
      <c r="BJ30" s="326"/>
      <c r="BK30" s="326"/>
      <c r="BL30" s="326"/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326"/>
      <c r="CB30" s="326"/>
      <c r="CC30" s="326"/>
      <c r="CD30" s="326"/>
      <c r="CE30" s="326"/>
      <c r="CF30" s="326"/>
      <c r="CG30" s="326"/>
      <c r="CH30" s="326"/>
      <c r="CI30" s="326"/>
      <c r="CJ30" s="326"/>
      <c r="CK30" s="326"/>
      <c r="CL30" s="326"/>
      <c r="CM30" s="326"/>
      <c r="CN30" s="326"/>
      <c r="CO30" s="326"/>
      <c r="CP30" s="326"/>
      <c r="CQ30" s="326"/>
      <c r="CR30" s="326"/>
      <c r="CS30" s="326"/>
      <c r="CT30" s="326"/>
      <c r="CU30" s="326"/>
      <c r="CV30" s="326"/>
      <c r="CW30" s="326"/>
      <c r="CX30" s="326"/>
      <c r="CY30" s="326"/>
      <c r="CZ30" s="326"/>
      <c r="DA30" s="326"/>
      <c r="DB30" s="326"/>
      <c r="DC30" s="326"/>
      <c r="DD30" s="326"/>
      <c r="DE30" s="326"/>
      <c r="DF30" s="326"/>
      <c r="DG30" s="326"/>
      <c r="DH30" s="326"/>
      <c r="DI30" s="326"/>
      <c r="DJ30" s="326"/>
      <c r="DK30" s="326"/>
      <c r="DL30" s="326"/>
      <c r="DM30" s="326"/>
      <c r="DN30" s="326"/>
      <c r="DO30" s="326"/>
      <c r="DP30" s="326"/>
      <c r="DQ30" s="326"/>
      <c r="DR30" s="326"/>
      <c r="DS30" s="326"/>
      <c r="DT30" s="326"/>
      <c r="DU30" s="326"/>
      <c r="DV30" s="326"/>
      <c r="DW30" s="326"/>
      <c r="DX30" s="326"/>
      <c r="DY30" s="326"/>
      <c r="DZ30" s="326"/>
      <c r="EA30" s="326"/>
      <c r="EB30" s="326"/>
      <c r="EC30" s="326"/>
      <c r="ED30" s="326"/>
      <c r="EE30" s="326"/>
      <c r="EF30" s="326"/>
      <c r="EG30" s="326"/>
      <c r="EH30" s="326"/>
      <c r="EI30" s="326"/>
      <c r="EJ30" s="326"/>
      <c r="EK30" s="326"/>
      <c r="EL30" s="326"/>
      <c r="EM30" s="326"/>
      <c r="EN30" s="326"/>
      <c r="EO30" s="326"/>
      <c r="EP30" s="326"/>
      <c r="EQ30" s="326"/>
      <c r="ER30" s="326"/>
      <c r="ES30" s="326"/>
      <c r="ET30" s="326"/>
      <c r="EU30" s="326"/>
      <c r="EV30" s="326"/>
      <c r="EW30" s="326"/>
      <c r="EX30" s="326"/>
      <c r="EY30" s="326"/>
      <c r="EZ30" s="326"/>
      <c r="FA30" s="326"/>
      <c r="FB30" s="326"/>
      <c r="FC30" s="326"/>
      <c r="FD30" s="326"/>
      <c r="FE30" s="326"/>
      <c r="FF30" s="326"/>
      <c r="FG30" s="326"/>
      <c r="FH30" s="326"/>
      <c r="FI30" s="326"/>
      <c r="FJ30" s="326"/>
      <c r="FK30" s="326"/>
      <c r="FL30" s="326"/>
      <c r="FM30" s="326"/>
      <c r="FN30" s="326"/>
      <c r="FO30" s="326"/>
      <c r="FP30" s="326"/>
      <c r="FQ30" s="326"/>
      <c r="FR30" s="326"/>
      <c r="FS30" s="326"/>
      <c r="FT30" s="326"/>
      <c r="FU30" s="326"/>
      <c r="FV30" s="326"/>
      <c r="FW30" s="326"/>
      <c r="FX30" s="326"/>
      <c r="FY30" s="326"/>
      <c r="FZ30" s="326"/>
      <c r="GA30" s="326"/>
      <c r="GB30" s="326"/>
      <c r="GC30" s="326"/>
      <c r="GD30" s="327"/>
      <c r="GE30" s="325" t="s">
        <v>887</v>
      </c>
      <c r="GF30" s="325" t="s">
        <v>522</v>
      </c>
      <c r="GG30" s="325" t="s">
        <v>850</v>
      </c>
      <c r="GH30" s="325" t="s">
        <v>551</v>
      </c>
      <c r="GI30" s="328">
        <f t="shared" si="0"/>
        <v>0</v>
      </c>
      <c r="GJ30" s="329" t="s">
        <v>902</v>
      </c>
    </row>
    <row r="31" spans="1:192" s="329" customFormat="1">
      <c r="A31" s="325" t="s">
        <v>903</v>
      </c>
      <c r="B31" s="325" t="s">
        <v>517</v>
      </c>
      <c r="C31" s="325" t="s">
        <v>555</v>
      </c>
      <c r="D31" s="325" t="s">
        <v>636</v>
      </c>
      <c r="E31" s="325" t="s">
        <v>556</v>
      </c>
      <c r="F31" s="325" t="s">
        <v>520</v>
      </c>
      <c r="G31" s="325" t="s">
        <v>904</v>
      </c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26"/>
      <c r="AL31" s="326"/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/>
      <c r="BE31" s="326"/>
      <c r="BF31" s="326"/>
      <c r="BG31" s="326"/>
      <c r="BH31" s="326"/>
      <c r="BI31" s="326"/>
      <c r="BJ31" s="326"/>
      <c r="BK31" s="326"/>
      <c r="BL31" s="326"/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326"/>
      <c r="CB31" s="326"/>
      <c r="CC31" s="326"/>
      <c r="CD31" s="326"/>
      <c r="CE31" s="326"/>
      <c r="CF31" s="326"/>
      <c r="CG31" s="326"/>
      <c r="CH31" s="326"/>
      <c r="CI31" s="326"/>
      <c r="CJ31" s="326"/>
      <c r="CK31" s="326"/>
      <c r="CL31" s="326"/>
      <c r="CM31" s="326"/>
      <c r="CN31" s="326"/>
      <c r="CO31" s="326"/>
      <c r="CP31" s="326"/>
      <c r="CQ31" s="326"/>
      <c r="CR31" s="326"/>
      <c r="CS31" s="326"/>
      <c r="CT31" s="326"/>
      <c r="CU31" s="326"/>
      <c r="CV31" s="326"/>
      <c r="CW31" s="326"/>
      <c r="CX31" s="326"/>
      <c r="CY31" s="326"/>
      <c r="CZ31" s="326"/>
      <c r="DA31" s="326"/>
      <c r="DB31" s="332">
        <v>20</v>
      </c>
      <c r="DC31" s="326"/>
      <c r="DD31" s="326"/>
      <c r="DE31" s="326"/>
      <c r="DF31" s="326"/>
      <c r="DG31" s="326"/>
      <c r="DH31" s="326"/>
      <c r="DI31" s="326"/>
      <c r="DJ31" s="326"/>
      <c r="DK31" s="326"/>
      <c r="DL31" s="326"/>
      <c r="DM31" s="326"/>
      <c r="DN31" s="326"/>
      <c r="DO31" s="326"/>
      <c r="DP31" s="326"/>
      <c r="DQ31" s="326"/>
      <c r="DR31" s="326"/>
      <c r="DS31" s="326"/>
      <c r="DT31" s="326"/>
      <c r="DU31" s="326"/>
      <c r="DV31" s="326"/>
      <c r="DW31" s="326"/>
      <c r="DX31" s="326"/>
      <c r="DY31" s="326"/>
      <c r="DZ31" s="326"/>
      <c r="EA31" s="326"/>
      <c r="EB31" s="326"/>
      <c r="EC31" s="326"/>
      <c r="ED31" s="326"/>
      <c r="EE31" s="326"/>
      <c r="EF31" s="326"/>
      <c r="EG31" s="326"/>
      <c r="EH31" s="326"/>
      <c r="EI31" s="326"/>
      <c r="EJ31" s="326"/>
      <c r="EK31" s="326"/>
      <c r="EL31" s="326"/>
      <c r="EM31" s="326"/>
      <c r="EN31" s="326"/>
      <c r="EO31" s="326"/>
      <c r="EP31" s="326"/>
      <c r="EQ31" s="326"/>
      <c r="ER31" s="326"/>
      <c r="ES31" s="326"/>
      <c r="ET31" s="326"/>
      <c r="EU31" s="326"/>
      <c r="EV31" s="326"/>
      <c r="EW31" s="332">
        <v>20</v>
      </c>
      <c r="EX31" s="326"/>
      <c r="EY31" s="326"/>
      <c r="EZ31" s="326"/>
      <c r="FA31" s="326"/>
      <c r="FB31" s="326"/>
      <c r="FC31" s="326"/>
      <c r="FD31" s="326"/>
      <c r="FE31" s="326"/>
      <c r="FF31" s="326"/>
      <c r="FG31" s="326"/>
      <c r="FH31" s="326"/>
      <c r="FI31" s="326"/>
      <c r="FJ31" s="326"/>
      <c r="FK31" s="326"/>
      <c r="FL31" s="326"/>
      <c r="FM31" s="326"/>
      <c r="FN31" s="326"/>
      <c r="FO31" s="326"/>
      <c r="FP31" s="326"/>
      <c r="FQ31" s="326"/>
      <c r="FR31" s="326"/>
      <c r="FS31" s="326"/>
      <c r="FT31" s="326"/>
      <c r="FU31" s="326"/>
      <c r="FV31" s="326"/>
      <c r="FW31" s="326"/>
      <c r="FX31" s="326"/>
      <c r="FY31" s="326"/>
      <c r="FZ31" s="326"/>
      <c r="GA31" s="326"/>
      <c r="GB31" s="326"/>
      <c r="GC31" s="326"/>
      <c r="GD31" s="327"/>
      <c r="GE31" s="325" t="s">
        <v>887</v>
      </c>
      <c r="GF31" s="325" t="s">
        <v>522</v>
      </c>
      <c r="GG31" s="325" t="s">
        <v>850</v>
      </c>
      <c r="GH31" s="325" t="s">
        <v>559</v>
      </c>
      <c r="GI31" s="328">
        <f t="shared" si="0"/>
        <v>40</v>
      </c>
      <c r="GJ31" s="329" t="s">
        <v>905</v>
      </c>
    </row>
    <row r="32" spans="1:192" s="329" customFormat="1">
      <c r="A32" s="325" t="s">
        <v>903</v>
      </c>
      <c r="B32" s="325" t="s">
        <v>517</v>
      </c>
      <c r="C32" s="325" t="s">
        <v>555</v>
      </c>
      <c r="D32" s="325" t="s">
        <v>633</v>
      </c>
      <c r="E32" s="325" t="s">
        <v>556</v>
      </c>
      <c r="F32" s="325" t="s">
        <v>520</v>
      </c>
      <c r="G32" s="325" t="s">
        <v>904</v>
      </c>
      <c r="H32" s="326"/>
      <c r="I32" s="326"/>
      <c r="J32" s="326"/>
      <c r="K32" s="326"/>
      <c r="L32" s="330">
        <f>15-15</f>
        <v>0</v>
      </c>
      <c r="M32" s="330">
        <f>15-15</f>
        <v>0</v>
      </c>
      <c r="N32" s="330">
        <f>15-15</f>
        <v>0</v>
      </c>
      <c r="O32" s="326"/>
      <c r="P32" s="326"/>
      <c r="Q32" s="330">
        <f>5-5</f>
        <v>0</v>
      </c>
      <c r="R32" s="326"/>
      <c r="S32" s="330">
        <f>5-5</f>
        <v>0</v>
      </c>
      <c r="T32" s="330">
        <f>20-20</f>
        <v>0</v>
      </c>
      <c r="U32" s="326"/>
      <c r="V32" s="326"/>
      <c r="W32" s="330">
        <f>20-20</f>
        <v>0</v>
      </c>
      <c r="X32" s="330">
        <f>30-30</f>
        <v>0</v>
      </c>
      <c r="Y32" s="330">
        <f>50-50+5</f>
        <v>5</v>
      </c>
      <c r="Z32" s="326"/>
      <c r="AA32" s="330">
        <f>20-20</f>
        <v>0</v>
      </c>
      <c r="AB32" s="330">
        <f>50-50+5</f>
        <v>5</v>
      </c>
      <c r="AC32" s="330">
        <f>50-50+5</f>
        <v>5</v>
      </c>
      <c r="AD32" s="330">
        <f>50-50+5</f>
        <v>5</v>
      </c>
      <c r="AE32" s="326"/>
      <c r="AF32" s="326"/>
      <c r="AG32" s="326"/>
      <c r="AH32" s="326"/>
      <c r="AI32" s="326"/>
      <c r="AJ32" s="326"/>
      <c r="AK32" s="326"/>
      <c r="AL32" s="326"/>
      <c r="AM32" s="326"/>
      <c r="AN32" s="326"/>
      <c r="AO32" s="326"/>
      <c r="AP32" s="326"/>
      <c r="AQ32" s="326"/>
      <c r="AR32" s="326"/>
      <c r="AS32" s="326"/>
      <c r="AT32" s="326"/>
      <c r="AU32" s="326"/>
      <c r="AV32" s="326"/>
      <c r="AW32" s="326"/>
      <c r="AX32" s="326"/>
      <c r="AY32" s="326"/>
      <c r="AZ32" s="326"/>
      <c r="BA32" s="330">
        <f>10-10+1</f>
        <v>1</v>
      </c>
      <c r="BB32" s="326"/>
      <c r="BC32" s="330">
        <f>20-20+10</f>
        <v>10</v>
      </c>
      <c r="BD32" s="330">
        <f>5-5</f>
        <v>0</v>
      </c>
      <c r="BE32" s="330">
        <f>20-20</f>
        <v>0</v>
      </c>
      <c r="BF32" s="326"/>
      <c r="BG32" s="326"/>
      <c r="BH32" s="326"/>
      <c r="BI32" s="326"/>
      <c r="BJ32" s="326"/>
      <c r="BK32" s="326"/>
      <c r="BL32" s="326"/>
      <c r="BM32" s="326"/>
      <c r="BN32" s="326"/>
      <c r="BO32" s="330">
        <f>20-20</f>
        <v>0</v>
      </c>
      <c r="BP32" s="330">
        <f>20-20+2</f>
        <v>2</v>
      </c>
      <c r="BQ32" s="326"/>
      <c r="BR32" s="330">
        <f>20-20</f>
        <v>0</v>
      </c>
      <c r="BS32" s="326"/>
      <c r="BT32" s="326"/>
      <c r="BU32" s="326"/>
      <c r="BV32" s="326"/>
      <c r="BW32" s="326"/>
      <c r="BX32" s="326"/>
      <c r="BY32" s="330">
        <f>10-10+4</f>
        <v>4</v>
      </c>
      <c r="BZ32" s="326"/>
      <c r="CA32" s="326"/>
      <c r="CB32" s="330">
        <f>20-20+2</f>
        <v>2</v>
      </c>
      <c r="CC32" s="330">
        <f>20-20+2</f>
        <v>2</v>
      </c>
      <c r="CD32" s="326"/>
      <c r="CE32" s="326"/>
      <c r="CF32" s="330">
        <f>50-50+5</f>
        <v>5</v>
      </c>
      <c r="CG32" s="330">
        <f>20-20</f>
        <v>0</v>
      </c>
      <c r="CH32" s="330">
        <f>50-50</f>
        <v>0</v>
      </c>
      <c r="CI32" s="330">
        <f>50-50</f>
        <v>0</v>
      </c>
      <c r="CJ32" s="326"/>
      <c r="CK32" s="330">
        <f>10-10</f>
        <v>0</v>
      </c>
      <c r="CL32" s="326"/>
      <c r="CM32" s="330">
        <f>30-30+2</f>
        <v>2</v>
      </c>
      <c r="CN32" s="330">
        <f>10-10</f>
        <v>0</v>
      </c>
      <c r="CO32" s="330">
        <f>20-20</f>
        <v>0</v>
      </c>
      <c r="CP32" s="326"/>
      <c r="CQ32" s="330">
        <f>100-100+5</f>
        <v>5</v>
      </c>
      <c r="CR32" s="330">
        <f>50-50+10</f>
        <v>10</v>
      </c>
      <c r="CS32" s="330">
        <f>100-100+5</f>
        <v>5</v>
      </c>
      <c r="CT32" s="330">
        <f>100-100</f>
        <v>0</v>
      </c>
      <c r="CU32" s="330">
        <f>100-100</f>
        <v>0</v>
      </c>
      <c r="CV32" s="326"/>
      <c r="CW32" s="330">
        <f>40-40</f>
        <v>0</v>
      </c>
      <c r="CX32" s="330">
        <f>30-30+10</f>
        <v>10</v>
      </c>
      <c r="CY32" s="330">
        <f>20-20+10</f>
        <v>10</v>
      </c>
      <c r="CZ32" s="330">
        <f>100-100+10</f>
        <v>10</v>
      </c>
      <c r="DA32" s="330">
        <f>40-40+10</f>
        <v>10</v>
      </c>
      <c r="DB32" s="330">
        <f>30-30</f>
        <v>0</v>
      </c>
      <c r="DC32" s="326"/>
      <c r="DD32" s="330">
        <f>100-100</f>
        <v>0</v>
      </c>
      <c r="DE32" s="330">
        <f>30-30</f>
        <v>0</v>
      </c>
      <c r="DF32" s="326"/>
      <c r="DG32" s="330">
        <f>30-30+10</f>
        <v>10</v>
      </c>
      <c r="DH32" s="326"/>
      <c r="DI32" s="330">
        <f>20-20</f>
        <v>0</v>
      </c>
      <c r="DJ32" s="330">
        <f>60-60+10</f>
        <v>10</v>
      </c>
      <c r="DK32" s="330">
        <f>30-30</f>
        <v>0</v>
      </c>
      <c r="DL32" s="330">
        <f>100-100+10</f>
        <v>10</v>
      </c>
      <c r="DM32" s="330">
        <f>20-20+10</f>
        <v>10</v>
      </c>
      <c r="DN32" s="326"/>
      <c r="DO32" s="326"/>
      <c r="DP32" s="330">
        <f>50-50</f>
        <v>0</v>
      </c>
      <c r="DQ32" s="326"/>
      <c r="DR32" s="326"/>
      <c r="DS32" s="326"/>
      <c r="DT32" s="326"/>
      <c r="DU32" s="326"/>
      <c r="DV32" s="326"/>
      <c r="DW32" s="326"/>
      <c r="DX32" s="326"/>
      <c r="DY32" s="326"/>
      <c r="DZ32" s="326"/>
      <c r="EA32" s="326"/>
      <c r="EB32" s="326"/>
      <c r="EC32" s="326"/>
      <c r="ED32" s="330">
        <f>60-60</f>
        <v>0</v>
      </c>
      <c r="EE32" s="326"/>
      <c r="EF32" s="330">
        <f>60-60</f>
        <v>0</v>
      </c>
      <c r="EG32" s="326"/>
      <c r="EH32" s="326"/>
      <c r="EI32" s="326"/>
      <c r="EJ32" s="326"/>
      <c r="EK32" s="326"/>
      <c r="EL32" s="330">
        <f>60-60</f>
        <v>0</v>
      </c>
      <c r="EM32" s="330">
        <f>60-60</f>
        <v>0</v>
      </c>
      <c r="EN32" s="330">
        <f>60-60</f>
        <v>0</v>
      </c>
      <c r="EO32" s="326"/>
      <c r="EP32" s="330">
        <f>20-20+20</f>
        <v>20</v>
      </c>
      <c r="EQ32" s="326"/>
      <c r="ER32" s="330">
        <f>20-20+20</f>
        <v>20</v>
      </c>
      <c r="ES32" s="330">
        <f t="shared" ref="ES32:EW32" si="5">20-20</f>
        <v>0</v>
      </c>
      <c r="ET32" s="330">
        <f t="shared" si="5"/>
        <v>0</v>
      </c>
      <c r="EU32" s="330">
        <f t="shared" si="5"/>
        <v>0</v>
      </c>
      <c r="EV32" s="330">
        <f t="shared" si="5"/>
        <v>0</v>
      </c>
      <c r="EW32" s="330">
        <f t="shared" si="5"/>
        <v>0</v>
      </c>
      <c r="EX32" s="326"/>
      <c r="EY32" s="326"/>
      <c r="EZ32" s="326"/>
      <c r="FA32" s="326"/>
      <c r="FB32" s="326"/>
      <c r="FC32" s="326"/>
      <c r="FD32" s="326"/>
      <c r="FE32" s="326"/>
      <c r="FF32" s="326"/>
      <c r="FG32" s="326"/>
      <c r="FH32" s="326"/>
      <c r="FI32" s="326"/>
      <c r="FJ32" s="326"/>
      <c r="FK32" s="326"/>
      <c r="FL32" s="326"/>
      <c r="FM32" s="326"/>
      <c r="FN32" s="326"/>
      <c r="FO32" s="326"/>
      <c r="FP32" s="326"/>
      <c r="FQ32" s="326"/>
      <c r="FR32" s="326"/>
      <c r="FS32" s="326"/>
      <c r="FT32" s="326"/>
      <c r="FU32" s="326"/>
      <c r="FV32" s="326"/>
      <c r="FW32" s="326"/>
      <c r="FX32" s="326"/>
      <c r="FY32" s="326"/>
      <c r="FZ32" s="326"/>
      <c r="GA32" s="326"/>
      <c r="GB32" s="326"/>
      <c r="GC32" s="326"/>
      <c r="GD32" s="327" t="s">
        <v>850</v>
      </c>
      <c r="GE32" s="325" t="s">
        <v>887</v>
      </c>
      <c r="GF32" s="325" t="s">
        <v>522</v>
      </c>
      <c r="GG32" s="325" t="s">
        <v>850</v>
      </c>
      <c r="GH32" s="325" t="s">
        <v>559</v>
      </c>
      <c r="GI32" s="328">
        <f t="shared" si="0"/>
        <v>188</v>
      </c>
      <c r="GJ32" s="329" t="s">
        <v>905</v>
      </c>
    </row>
    <row r="33" spans="1:192" s="329" customFormat="1" ht="10.5">
      <c r="A33" s="325" t="s">
        <v>903</v>
      </c>
      <c r="B33" s="325" t="s">
        <v>517</v>
      </c>
      <c r="C33" s="325" t="s">
        <v>555</v>
      </c>
      <c r="D33" s="325" t="s">
        <v>3</v>
      </c>
      <c r="E33" s="325" t="s">
        <v>556</v>
      </c>
      <c r="F33" s="325" t="s">
        <v>520</v>
      </c>
      <c r="G33" s="325"/>
      <c r="H33" s="326"/>
      <c r="I33" s="326"/>
      <c r="J33" s="326"/>
      <c r="K33" s="326"/>
      <c r="L33" s="326"/>
      <c r="M33" s="326"/>
      <c r="N33" s="326"/>
      <c r="O33" s="326"/>
      <c r="P33" s="326"/>
      <c r="Q33" s="326"/>
      <c r="R33" s="326"/>
      <c r="S33" s="326"/>
      <c r="T33" s="326"/>
      <c r="U33" s="326"/>
      <c r="V33" s="326"/>
      <c r="W33" s="326"/>
      <c r="X33" s="326"/>
      <c r="Y33" s="326"/>
      <c r="Z33" s="326"/>
      <c r="AA33" s="326"/>
      <c r="AB33" s="326"/>
      <c r="AC33" s="326"/>
      <c r="AD33" s="326"/>
      <c r="AE33" s="326"/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26"/>
      <c r="AZ33" s="326"/>
      <c r="BA33" s="326"/>
      <c r="BB33" s="326"/>
      <c r="BC33" s="326"/>
      <c r="BD33" s="326"/>
      <c r="BE33" s="326"/>
      <c r="BF33" s="326"/>
      <c r="BG33" s="326"/>
      <c r="BH33" s="326"/>
      <c r="BI33" s="326"/>
      <c r="BJ33" s="326"/>
      <c r="BK33" s="326"/>
      <c r="BL33" s="326"/>
      <c r="BM33" s="326"/>
      <c r="BN33" s="326"/>
      <c r="BO33" s="354">
        <v>1</v>
      </c>
      <c r="BP33" s="326"/>
      <c r="BQ33" s="326"/>
      <c r="BR33" s="326"/>
      <c r="BS33" s="326"/>
      <c r="BT33" s="326"/>
      <c r="BU33" s="326"/>
      <c r="BV33" s="326"/>
      <c r="BW33" s="326"/>
      <c r="BX33" s="326"/>
      <c r="BY33" s="326"/>
      <c r="BZ33" s="326"/>
      <c r="CA33" s="326"/>
      <c r="CB33" s="326"/>
      <c r="CC33" s="326"/>
      <c r="CD33" s="326"/>
      <c r="CE33" s="326"/>
      <c r="CF33" s="326"/>
      <c r="CG33" s="354">
        <v>5</v>
      </c>
      <c r="CH33" s="326"/>
      <c r="CI33" s="326"/>
      <c r="CJ33" s="326"/>
      <c r="CK33" s="326"/>
      <c r="CL33" s="326"/>
      <c r="CM33" s="326"/>
      <c r="CN33" s="326"/>
      <c r="CO33" s="326"/>
      <c r="CP33" s="326"/>
      <c r="CQ33" s="326"/>
      <c r="CR33" s="326"/>
      <c r="CS33" s="326"/>
      <c r="CT33" s="326"/>
      <c r="CU33" s="326"/>
      <c r="CV33" s="326"/>
      <c r="CW33" s="326"/>
      <c r="CX33" s="326"/>
      <c r="CY33" s="326"/>
      <c r="CZ33" s="326"/>
      <c r="DA33" s="326"/>
      <c r="DB33" s="326"/>
      <c r="DC33" s="326"/>
      <c r="DD33" s="326"/>
      <c r="DE33" s="326"/>
      <c r="DF33" s="326"/>
      <c r="DG33" s="326"/>
      <c r="DH33" s="326"/>
      <c r="DI33" s="326"/>
      <c r="DJ33" s="326"/>
      <c r="DK33" s="326"/>
      <c r="DL33" s="326"/>
      <c r="DM33" s="326"/>
      <c r="DN33" s="326"/>
      <c r="DO33" s="326"/>
      <c r="DP33" s="326"/>
      <c r="DQ33" s="326"/>
      <c r="DR33" s="326"/>
      <c r="DS33" s="326"/>
      <c r="DT33" s="326"/>
      <c r="DU33" s="326"/>
      <c r="DV33" s="326"/>
      <c r="DW33" s="326"/>
      <c r="DX33" s="326"/>
      <c r="DY33" s="326"/>
      <c r="DZ33" s="326"/>
      <c r="EA33" s="326"/>
      <c r="EB33" s="326"/>
      <c r="EC33" s="326"/>
      <c r="ED33" s="326"/>
      <c r="EE33" s="326"/>
      <c r="EF33" s="326"/>
      <c r="EG33" s="326"/>
      <c r="EH33" s="326"/>
      <c r="EI33" s="326"/>
      <c r="EJ33" s="326"/>
      <c r="EK33" s="326"/>
      <c r="EL33" s="326"/>
      <c r="EM33" s="326"/>
      <c r="EN33" s="326"/>
      <c r="EO33" s="326"/>
      <c r="EP33" s="326"/>
      <c r="EQ33" s="326"/>
      <c r="ER33" s="326"/>
      <c r="ES33" s="326"/>
      <c r="ET33" s="326"/>
      <c r="EU33" s="326"/>
      <c r="EV33" s="326"/>
      <c r="EW33" s="326"/>
      <c r="EX33" s="326"/>
      <c r="EY33" s="326"/>
      <c r="EZ33" s="326"/>
      <c r="FA33" s="326"/>
      <c r="FB33" s="326"/>
      <c r="FC33" s="326"/>
      <c r="FD33" s="326"/>
      <c r="FE33" s="326"/>
      <c r="FF33" s="326"/>
      <c r="FG33" s="326"/>
      <c r="FH33" s="326"/>
      <c r="FI33" s="326"/>
      <c r="FJ33" s="326"/>
      <c r="FK33" s="326"/>
      <c r="FL33" s="326"/>
      <c r="FM33" s="326"/>
      <c r="FN33" s="326"/>
      <c r="FO33" s="326"/>
      <c r="FP33" s="326"/>
      <c r="FQ33" s="326"/>
      <c r="FR33" s="326"/>
      <c r="FS33" s="326"/>
      <c r="FT33" s="326"/>
      <c r="FU33" s="326"/>
      <c r="FV33" s="326"/>
      <c r="FW33" s="326"/>
      <c r="FX33" s="326"/>
      <c r="FY33" s="326"/>
      <c r="FZ33" s="326"/>
      <c r="GA33" s="326"/>
      <c r="GB33" s="326"/>
      <c r="GC33" s="326"/>
      <c r="GD33" s="327"/>
      <c r="GE33" s="325" t="s">
        <v>887</v>
      </c>
      <c r="GF33" s="325" t="s">
        <v>522</v>
      </c>
      <c r="GG33" s="325" t="s">
        <v>850</v>
      </c>
      <c r="GH33" s="325" t="s">
        <v>559</v>
      </c>
      <c r="GI33" s="328">
        <f t="shared" si="0"/>
        <v>6</v>
      </c>
      <c r="GJ33" s="329" t="s">
        <v>905</v>
      </c>
    </row>
    <row r="34" spans="1:192" s="329" customFormat="1">
      <c r="A34" s="325" t="s">
        <v>526</v>
      </c>
      <c r="B34" s="325" t="s">
        <v>517</v>
      </c>
      <c r="C34" s="325" t="s">
        <v>555</v>
      </c>
      <c r="D34" s="325" t="s">
        <v>636</v>
      </c>
      <c r="E34" s="325" t="s">
        <v>561</v>
      </c>
      <c r="F34" s="325" t="s">
        <v>520</v>
      </c>
      <c r="G34" s="325"/>
      <c r="H34" s="326"/>
      <c r="I34" s="326"/>
      <c r="J34" s="326"/>
      <c r="K34" s="326"/>
      <c r="L34" s="326"/>
      <c r="M34" s="326"/>
      <c r="N34" s="326"/>
      <c r="O34" s="326"/>
      <c r="P34" s="326"/>
      <c r="Q34" s="326"/>
      <c r="R34" s="326"/>
      <c r="S34" s="326"/>
      <c r="T34" s="326"/>
      <c r="U34" s="326"/>
      <c r="V34" s="326"/>
      <c r="W34" s="326"/>
      <c r="X34" s="326"/>
      <c r="Y34" s="326"/>
      <c r="Z34" s="326"/>
      <c r="AA34" s="326"/>
      <c r="AB34" s="326"/>
      <c r="AC34" s="326"/>
      <c r="AD34" s="326"/>
      <c r="AE34" s="326"/>
      <c r="AF34" s="326"/>
      <c r="AG34" s="326"/>
      <c r="AH34" s="326"/>
      <c r="AI34" s="326"/>
      <c r="AJ34" s="326"/>
      <c r="AK34" s="326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/>
      <c r="BJ34" s="326"/>
      <c r="BK34" s="326"/>
      <c r="BL34" s="326"/>
      <c r="BM34" s="326"/>
      <c r="BN34" s="326"/>
      <c r="BO34" s="326"/>
      <c r="BP34" s="326"/>
      <c r="BQ34" s="326"/>
      <c r="BR34" s="326"/>
      <c r="BS34" s="326"/>
      <c r="BT34" s="326"/>
      <c r="BU34" s="326"/>
      <c r="BV34" s="326"/>
      <c r="BW34" s="326"/>
      <c r="BX34" s="326"/>
      <c r="BY34" s="326"/>
      <c r="BZ34" s="326"/>
      <c r="CA34" s="326"/>
      <c r="CB34" s="326"/>
      <c r="CC34" s="326"/>
      <c r="CD34" s="326"/>
      <c r="CE34" s="326"/>
      <c r="CF34" s="326"/>
      <c r="CG34" s="326"/>
      <c r="CH34" s="326"/>
      <c r="CI34" s="326"/>
      <c r="CJ34" s="326"/>
      <c r="CK34" s="326"/>
      <c r="CL34" s="326"/>
      <c r="CM34" s="326"/>
      <c r="CN34" s="326"/>
      <c r="CO34" s="326"/>
      <c r="CP34" s="326"/>
      <c r="CQ34" s="326"/>
      <c r="CR34" s="326"/>
      <c r="CS34" s="326"/>
      <c r="CT34" s="326"/>
      <c r="CU34" s="326"/>
      <c r="CV34" s="326"/>
      <c r="CW34" s="326"/>
      <c r="CX34" s="326"/>
      <c r="CY34" s="326"/>
      <c r="CZ34" s="326"/>
      <c r="DA34" s="326"/>
      <c r="DB34" s="332">
        <v>10</v>
      </c>
      <c r="DC34" s="326"/>
      <c r="DD34" s="326"/>
      <c r="DE34" s="326"/>
      <c r="DF34" s="326"/>
      <c r="DG34" s="326"/>
      <c r="DH34" s="326"/>
      <c r="DI34" s="326"/>
      <c r="DJ34" s="326"/>
      <c r="DK34" s="326"/>
      <c r="DL34" s="326"/>
      <c r="DM34" s="326"/>
      <c r="DN34" s="326"/>
      <c r="DO34" s="326"/>
      <c r="DP34" s="326"/>
      <c r="DQ34" s="326"/>
      <c r="DR34" s="326"/>
      <c r="DS34" s="326"/>
      <c r="DT34" s="326"/>
      <c r="DU34" s="326"/>
      <c r="DV34" s="326"/>
      <c r="DW34" s="326"/>
      <c r="DX34" s="326"/>
      <c r="DY34" s="326"/>
      <c r="DZ34" s="326"/>
      <c r="EA34" s="326"/>
      <c r="EB34" s="326"/>
      <c r="EC34" s="326"/>
      <c r="ED34" s="326"/>
      <c r="EE34" s="326"/>
      <c r="EF34" s="326"/>
      <c r="EG34" s="326"/>
      <c r="EH34" s="326"/>
      <c r="EI34" s="332">
        <v>20</v>
      </c>
      <c r="EJ34" s="326"/>
      <c r="EK34" s="326"/>
      <c r="EL34" s="326"/>
      <c r="EM34" s="326"/>
      <c r="EN34" s="326"/>
      <c r="EO34" s="326"/>
      <c r="EP34" s="326"/>
      <c r="EQ34" s="326"/>
      <c r="ER34" s="326"/>
      <c r="ES34" s="326"/>
      <c r="ET34" s="326"/>
      <c r="EU34" s="326"/>
      <c r="EV34" s="326"/>
      <c r="EW34" s="332">
        <v>10</v>
      </c>
      <c r="EX34" s="326"/>
      <c r="EY34" s="326"/>
      <c r="EZ34" s="326"/>
      <c r="FA34" s="326"/>
      <c r="FB34" s="326"/>
      <c r="FC34" s="326"/>
      <c r="FD34" s="326"/>
      <c r="FE34" s="326"/>
      <c r="FF34" s="326"/>
      <c r="FG34" s="326"/>
      <c r="FH34" s="326"/>
      <c r="FI34" s="326"/>
      <c r="FJ34" s="326"/>
      <c r="FK34" s="326"/>
      <c r="FL34" s="326"/>
      <c r="FM34" s="326"/>
      <c r="FN34" s="326"/>
      <c r="FO34" s="326"/>
      <c r="FP34" s="326"/>
      <c r="FQ34" s="326"/>
      <c r="FR34" s="326"/>
      <c r="FS34" s="326"/>
      <c r="FT34" s="326"/>
      <c r="FU34" s="326"/>
      <c r="FV34" s="326"/>
      <c r="FW34" s="326"/>
      <c r="FX34" s="326"/>
      <c r="FY34" s="326"/>
      <c r="FZ34" s="326"/>
      <c r="GA34" s="326"/>
      <c r="GB34" s="326"/>
      <c r="GC34" s="326"/>
      <c r="GD34" s="327"/>
      <c r="GE34" s="325" t="s">
        <v>887</v>
      </c>
      <c r="GF34" s="325" t="s">
        <v>522</v>
      </c>
      <c r="GG34" s="325" t="s">
        <v>850</v>
      </c>
      <c r="GH34" s="325" t="s">
        <v>562</v>
      </c>
      <c r="GI34" s="328">
        <f t="shared" si="0"/>
        <v>40</v>
      </c>
      <c r="GJ34" s="329" t="s">
        <v>906</v>
      </c>
    </row>
    <row r="35" spans="1:192" s="329" customFormat="1">
      <c r="A35" s="325" t="s">
        <v>526</v>
      </c>
      <c r="B35" s="325" t="s">
        <v>517</v>
      </c>
      <c r="C35" s="325" t="s">
        <v>555</v>
      </c>
      <c r="D35" s="325" t="s">
        <v>633</v>
      </c>
      <c r="E35" s="325" t="s">
        <v>561</v>
      </c>
      <c r="F35" s="325" t="s">
        <v>520</v>
      </c>
      <c r="G35" s="325"/>
      <c r="H35" s="326"/>
      <c r="I35" s="326"/>
      <c r="J35" s="326"/>
      <c r="K35" s="326"/>
      <c r="L35" s="326"/>
      <c r="M35" s="326"/>
      <c r="N35" s="326"/>
      <c r="O35" s="330">
        <f>5-5</f>
        <v>0</v>
      </c>
      <c r="P35" s="326"/>
      <c r="Q35" s="326"/>
      <c r="R35" s="326"/>
      <c r="S35" s="326"/>
      <c r="T35" s="326"/>
      <c r="U35" s="326"/>
      <c r="V35" s="326"/>
      <c r="W35" s="326"/>
      <c r="X35" s="326"/>
      <c r="Y35" s="330">
        <f>10-10+5</f>
        <v>5</v>
      </c>
      <c r="Z35" s="326"/>
      <c r="AA35" s="326"/>
      <c r="AB35" s="326"/>
      <c r="AC35" s="330">
        <f>40-40+5</f>
        <v>5</v>
      </c>
      <c r="AD35" s="330">
        <f>40-40+3</f>
        <v>3</v>
      </c>
      <c r="AE35" s="326"/>
      <c r="AF35" s="326"/>
      <c r="AG35" s="330">
        <f>40-40</f>
        <v>0</v>
      </c>
      <c r="AH35" s="326"/>
      <c r="AI35" s="326"/>
      <c r="AJ35" s="326"/>
      <c r="AK35" s="326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30">
        <f>10-10</f>
        <v>0</v>
      </c>
      <c r="BB35" s="326"/>
      <c r="BC35" s="330">
        <f>10-10+10</f>
        <v>10</v>
      </c>
      <c r="BD35" s="330">
        <f>10-10</f>
        <v>0</v>
      </c>
      <c r="BE35" s="330">
        <f>10-10</f>
        <v>0</v>
      </c>
      <c r="BF35" s="330">
        <f>10-10</f>
        <v>0</v>
      </c>
      <c r="BG35" s="326"/>
      <c r="BH35" s="326"/>
      <c r="BI35" s="326"/>
      <c r="BJ35" s="326"/>
      <c r="BK35" s="326"/>
      <c r="BL35" s="326"/>
      <c r="BM35" s="326"/>
      <c r="BN35" s="326"/>
      <c r="BO35" s="330">
        <f>10-10</f>
        <v>0</v>
      </c>
      <c r="BP35" s="330">
        <f>20-20+2</f>
        <v>2</v>
      </c>
      <c r="BQ35" s="330">
        <f>20-20+2</f>
        <v>2</v>
      </c>
      <c r="BR35" s="330">
        <f>20-20</f>
        <v>0</v>
      </c>
      <c r="BS35" s="330">
        <f>10-10+1</f>
        <v>1</v>
      </c>
      <c r="BT35" s="326"/>
      <c r="BU35" s="326"/>
      <c r="BV35" s="326"/>
      <c r="BW35" s="326"/>
      <c r="BX35" s="326"/>
      <c r="BY35" s="326"/>
      <c r="BZ35" s="326"/>
      <c r="CA35" s="326"/>
      <c r="CB35" s="326"/>
      <c r="CC35" s="326"/>
      <c r="CD35" s="326"/>
      <c r="CE35" s="326"/>
      <c r="CF35" s="330">
        <f>20-20+2</f>
        <v>2</v>
      </c>
      <c r="CG35" s="330">
        <f>10-10</f>
        <v>0</v>
      </c>
      <c r="CH35" s="330">
        <f>10-10</f>
        <v>0</v>
      </c>
      <c r="CI35" s="326"/>
      <c r="CJ35" s="326"/>
      <c r="CK35" s="326"/>
      <c r="CL35" s="326"/>
      <c r="CM35" s="330">
        <f>30-30+1</f>
        <v>1</v>
      </c>
      <c r="CN35" s="330">
        <f>10-10</f>
        <v>0</v>
      </c>
      <c r="CO35" s="330">
        <f>30-30</f>
        <v>0</v>
      </c>
      <c r="CP35" s="326"/>
      <c r="CQ35" s="326"/>
      <c r="CR35" s="330">
        <f>10-10+5</f>
        <v>5</v>
      </c>
      <c r="CS35" s="330">
        <f>10-10+2</f>
        <v>2</v>
      </c>
      <c r="CT35" s="330">
        <f>10-10</f>
        <v>0</v>
      </c>
      <c r="CU35" s="330">
        <f>10-10</f>
        <v>0</v>
      </c>
      <c r="CV35" s="326"/>
      <c r="CW35" s="326"/>
      <c r="CX35" s="326"/>
      <c r="CY35" s="326"/>
      <c r="CZ35" s="330">
        <f>30-30+5</f>
        <v>5</v>
      </c>
      <c r="DA35" s="330">
        <f>10-10+5</f>
        <v>5</v>
      </c>
      <c r="DB35" s="330">
        <f>30-30</f>
        <v>0</v>
      </c>
      <c r="DC35" s="326"/>
      <c r="DD35" s="330">
        <f>10-10</f>
        <v>0</v>
      </c>
      <c r="DE35" s="326"/>
      <c r="DF35" s="330">
        <f>10-10</f>
        <v>0</v>
      </c>
      <c r="DG35" s="330">
        <f>20-20+10</f>
        <v>10</v>
      </c>
      <c r="DH35" s="326"/>
      <c r="DI35" s="326"/>
      <c r="DJ35" s="330">
        <f>20-20+5</f>
        <v>5</v>
      </c>
      <c r="DK35" s="330">
        <f>10-10</f>
        <v>0</v>
      </c>
      <c r="DL35" s="330">
        <f>20-20+3</f>
        <v>3</v>
      </c>
      <c r="DM35" s="330">
        <f>20-20+5</f>
        <v>5</v>
      </c>
      <c r="DN35" s="326"/>
      <c r="DO35" s="326"/>
      <c r="DP35" s="330">
        <f>20-20</f>
        <v>0</v>
      </c>
      <c r="DQ35" s="326"/>
      <c r="DR35" s="330">
        <f>20-20</f>
        <v>0</v>
      </c>
      <c r="DS35" s="326"/>
      <c r="DT35" s="326"/>
      <c r="DU35" s="326"/>
      <c r="DV35" s="326"/>
      <c r="DW35" s="326"/>
      <c r="DX35" s="326"/>
      <c r="DY35" s="330">
        <f>40-40+40</f>
        <v>40</v>
      </c>
      <c r="DZ35" s="326"/>
      <c r="EA35" s="326"/>
      <c r="EB35" s="330">
        <f>40-40+10</f>
        <v>10</v>
      </c>
      <c r="EC35" s="326"/>
      <c r="ED35" s="330">
        <f>100-100</f>
        <v>0</v>
      </c>
      <c r="EE35" s="326"/>
      <c r="EF35" s="330">
        <f>100-100</f>
        <v>0</v>
      </c>
      <c r="EG35" s="326"/>
      <c r="EH35" s="326"/>
      <c r="EI35" s="330">
        <f>30-30</f>
        <v>0</v>
      </c>
      <c r="EJ35" s="326"/>
      <c r="EK35" s="330">
        <f>30-30+10</f>
        <v>10</v>
      </c>
      <c r="EL35" s="330">
        <f>30-30</f>
        <v>0</v>
      </c>
      <c r="EM35" s="330">
        <f>100-100</f>
        <v>0</v>
      </c>
      <c r="EN35" s="330">
        <f>100-100</f>
        <v>0</v>
      </c>
      <c r="EO35" s="326"/>
      <c r="EP35" s="326"/>
      <c r="EQ35" s="326"/>
      <c r="ER35" s="330">
        <f>100-100+100</f>
        <v>100</v>
      </c>
      <c r="ES35" s="330">
        <f>50-50</f>
        <v>0</v>
      </c>
      <c r="ET35" s="326"/>
      <c r="EU35" s="330">
        <f>50-50</f>
        <v>0</v>
      </c>
      <c r="EV35" s="330">
        <f>50-50</f>
        <v>0</v>
      </c>
      <c r="EW35" s="330">
        <f>100-100</f>
        <v>0</v>
      </c>
      <c r="EX35" s="326"/>
      <c r="EY35" s="330">
        <f>100-100</f>
        <v>0</v>
      </c>
      <c r="EZ35" s="326"/>
      <c r="FA35" s="330">
        <f>50-50</f>
        <v>0</v>
      </c>
      <c r="FB35" s="326"/>
      <c r="FC35" s="326"/>
      <c r="FD35" s="330">
        <f>50-50</f>
        <v>0</v>
      </c>
      <c r="FE35" s="326"/>
      <c r="FF35" s="326"/>
      <c r="FG35" s="330">
        <f>100-100</f>
        <v>0</v>
      </c>
      <c r="FH35" s="330">
        <f>300-300+10</f>
        <v>10</v>
      </c>
      <c r="FI35" s="330">
        <f>100-100+10</f>
        <v>10</v>
      </c>
      <c r="FJ35" s="326"/>
      <c r="FK35" s="326"/>
      <c r="FL35" s="326"/>
      <c r="FM35" s="326"/>
      <c r="FN35" s="326"/>
      <c r="FO35" s="326"/>
      <c r="FP35" s="326"/>
      <c r="FQ35" s="326"/>
      <c r="FR35" s="326"/>
      <c r="FS35" s="326"/>
      <c r="FT35" s="326"/>
      <c r="FU35" s="326"/>
      <c r="FV35" s="326"/>
      <c r="FW35" s="326"/>
      <c r="FX35" s="326"/>
      <c r="FY35" s="326"/>
      <c r="FZ35" s="326"/>
      <c r="GA35" s="326"/>
      <c r="GB35" s="326"/>
      <c r="GC35" s="326"/>
      <c r="GD35" s="327" t="s">
        <v>850</v>
      </c>
      <c r="GE35" s="325" t="s">
        <v>887</v>
      </c>
      <c r="GF35" s="325" t="s">
        <v>522</v>
      </c>
      <c r="GG35" s="325" t="s">
        <v>850</v>
      </c>
      <c r="GH35" s="325" t="s">
        <v>562</v>
      </c>
      <c r="GI35" s="328">
        <f t="shared" si="0"/>
        <v>251</v>
      </c>
      <c r="GJ35" s="329" t="s">
        <v>906</v>
      </c>
    </row>
    <row r="36" spans="1:192" s="329" customFormat="1">
      <c r="A36" s="325" t="s">
        <v>526</v>
      </c>
      <c r="B36" s="325" t="s">
        <v>517</v>
      </c>
      <c r="C36" s="325" t="s">
        <v>555</v>
      </c>
      <c r="D36" s="325" t="s">
        <v>3</v>
      </c>
      <c r="E36" s="325" t="s">
        <v>561</v>
      </c>
      <c r="F36" s="325" t="s">
        <v>520</v>
      </c>
      <c r="G36" s="325"/>
      <c r="H36" s="326"/>
      <c r="I36" s="326"/>
      <c r="J36" s="326"/>
      <c r="K36" s="326"/>
      <c r="L36" s="326"/>
      <c r="M36" s="326"/>
      <c r="N36" s="326"/>
      <c r="O36" s="326"/>
      <c r="P36" s="326"/>
      <c r="Q36" s="326"/>
      <c r="R36" s="326"/>
      <c r="S36" s="326"/>
      <c r="T36" s="326"/>
      <c r="U36" s="326"/>
      <c r="V36" s="326"/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26"/>
      <c r="AI36" s="326"/>
      <c r="AJ36" s="326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326"/>
      <c r="AW36" s="326"/>
      <c r="AX36" s="326"/>
      <c r="AY36" s="326"/>
      <c r="AZ36" s="326"/>
      <c r="BA36" s="326"/>
      <c r="BB36" s="326"/>
      <c r="BC36" s="326"/>
      <c r="BD36" s="326"/>
      <c r="BE36" s="326"/>
      <c r="BF36" s="326"/>
      <c r="BG36" s="326"/>
      <c r="BH36" s="326"/>
      <c r="BI36" s="326"/>
      <c r="BJ36" s="326"/>
      <c r="BK36" s="326"/>
      <c r="BL36" s="326"/>
      <c r="BM36" s="326"/>
      <c r="BN36" s="326"/>
      <c r="BO36" s="326"/>
      <c r="BP36" s="326"/>
      <c r="BQ36" s="326"/>
      <c r="BR36" s="326"/>
      <c r="BS36" s="326"/>
      <c r="BT36" s="326"/>
      <c r="BU36" s="326"/>
      <c r="BV36" s="326"/>
      <c r="BW36" s="326"/>
      <c r="BX36" s="326"/>
      <c r="BY36" s="326"/>
      <c r="BZ36" s="326"/>
      <c r="CA36" s="326"/>
      <c r="CB36" s="326"/>
      <c r="CC36" s="326"/>
      <c r="CD36" s="326"/>
      <c r="CE36" s="326"/>
      <c r="CF36" s="326"/>
      <c r="CG36" s="326"/>
      <c r="CH36" s="326"/>
      <c r="CI36" s="326"/>
      <c r="CJ36" s="326"/>
      <c r="CK36" s="326"/>
      <c r="CL36" s="326"/>
      <c r="CM36" s="326"/>
      <c r="CN36" s="326"/>
      <c r="CO36" s="326"/>
      <c r="CP36" s="326"/>
      <c r="CQ36" s="326"/>
      <c r="CR36" s="326"/>
      <c r="CS36" s="326"/>
      <c r="CT36" s="326"/>
      <c r="CU36" s="326"/>
      <c r="CV36" s="326"/>
      <c r="CW36" s="326"/>
      <c r="CX36" s="326"/>
      <c r="CY36" s="326"/>
      <c r="CZ36" s="326"/>
      <c r="DA36" s="326"/>
      <c r="DB36" s="326"/>
      <c r="DC36" s="326"/>
      <c r="DD36" s="326"/>
      <c r="DE36" s="326"/>
      <c r="DF36" s="326"/>
      <c r="DG36" s="326"/>
      <c r="DH36" s="326"/>
      <c r="DI36" s="326"/>
      <c r="DJ36" s="326"/>
      <c r="DK36" s="326"/>
      <c r="DL36" s="326"/>
      <c r="DM36" s="326"/>
      <c r="DN36" s="326"/>
      <c r="DO36" s="326"/>
      <c r="DP36" s="326"/>
      <c r="DQ36" s="326"/>
      <c r="DR36" s="326"/>
      <c r="DS36" s="326"/>
      <c r="DT36" s="326"/>
      <c r="DU36" s="326"/>
      <c r="DV36" s="326"/>
      <c r="DW36" s="326"/>
      <c r="DX36" s="326"/>
      <c r="DY36" s="326"/>
      <c r="DZ36" s="326"/>
      <c r="EA36" s="326"/>
      <c r="EB36" s="326"/>
      <c r="EC36" s="326"/>
      <c r="ED36" s="326"/>
      <c r="EE36" s="326"/>
      <c r="EF36" s="326"/>
      <c r="EG36" s="326"/>
      <c r="EH36" s="326"/>
      <c r="EI36" s="326"/>
      <c r="EJ36" s="326"/>
      <c r="EK36" s="326"/>
      <c r="EL36" s="326"/>
      <c r="EM36" s="326"/>
      <c r="EN36" s="326"/>
      <c r="EO36" s="326"/>
      <c r="EP36" s="326"/>
      <c r="EQ36" s="326"/>
      <c r="ER36" s="326"/>
      <c r="ES36" s="326"/>
      <c r="ET36" s="326"/>
      <c r="EU36" s="326"/>
      <c r="EV36" s="326"/>
      <c r="EW36" s="326"/>
      <c r="EX36" s="326"/>
      <c r="EY36" s="326"/>
      <c r="EZ36" s="326"/>
      <c r="FA36" s="326"/>
      <c r="FB36" s="326"/>
      <c r="FC36" s="326"/>
      <c r="FD36" s="326"/>
      <c r="FE36" s="326"/>
      <c r="FF36" s="326"/>
      <c r="FG36" s="326"/>
      <c r="FH36" s="326"/>
      <c r="FI36" s="326"/>
      <c r="FJ36" s="326"/>
      <c r="FK36" s="326"/>
      <c r="FL36" s="326"/>
      <c r="FM36" s="326"/>
      <c r="FN36" s="326"/>
      <c r="FO36" s="326"/>
      <c r="FP36" s="326"/>
      <c r="FQ36" s="326"/>
      <c r="FR36" s="326"/>
      <c r="FS36" s="326"/>
      <c r="FT36" s="326"/>
      <c r="FU36" s="326"/>
      <c r="FV36" s="326"/>
      <c r="FW36" s="326"/>
      <c r="FX36" s="326"/>
      <c r="FY36" s="326"/>
      <c r="FZ36" s="326"/>
      <c r="GA36" s="326"/>
      <c r="GB36" s="326"/>
      <c r="GC36" s="326"/>
      <c r="GD36" s="327"/>
      <c r="GE36" s="325" t="s">
        <v>887</v>
      </c>
      <c r="GF36" s="325" t="s">
        <v>522</v>
      </c>
      <c r="GG36" s="325" t="s">
        <v>850</v>
      </c>
      <c r="GH36" s="325" t="s">
        <v>562</v>
      </c>
      <c r="GI36" s="328">
        <f t="shared" si="0"/>
        <v>0</v>
      </c>
      <c r="GJ36" s="329" t="s">
        <v>906</v>
      </c>
    </row>
    <row r="37" spans="1:192" s="329" customFormat="1">
      <c r="A37" s="325" t="s">
        <v>907</v>
      </c>
      <c r="B37" s="325" t="s">
        <v>517</v>
      </c>
      <c r="C37" s="325" t="s">
        <v>555</v>
      </c>
      <c r="D37" s="325" t="s">
        <v>636</v>
      </c>
      <c r="E37" s="325" t="s">
        <v>564</v>
      </c>
      <c r="F37" s="325" t="s">
        <v>520</v>
      </c>
      <c r="G37" s="325"/>
      <c r="H37" s="326"/>
      <c r="I37" s="326"/>
      <c r="J37" s="326"/>
      <c r="K37" s="326"/>
      <c r="L37" s="326"/>
      <c r="M37" s="326"/>
      <c r="N37" s="326"/>
      <c r="O37" s="326"/>
      <c r="P37" s="326"/>
      <c r="Q37" s="326"/>
      <c r="R37" s="326"/>
      <c r="S37" s="326"/>
      <c r="T37" s="326"/>
      <c r="U37" s="326"/>
      <c r="V37" s="326"/>
      <c r="W37" s="326"/>
      <c r="X37" s="326"/>
      <c r="Y37" s="326"/>
      <c r="Z37" s="326"/>
      <c r="AA37" s="326"/>
      <c r="AB37" s="326"/>
      <c r="AC37" s="326"/>
      <c r="AD37" s="326"/>
      <c r="AE37" s="326"/>
      <c r="AF37" s="326"/>
      <c r="AG37" s="326"/>
      <c r="AH37" s="326"/>
      <c r="AI37" s="326"/>
      <c r="AJ37" s="326"/>
      <c r="AK37" s="326"/>
      <c r="AL37" s="326"/>
      <c r="AM37" s="326"/>
      <c r="AN37" s="326"/>
      <c r="AO37" s="326"/>
      <c r="AP37" s="326"/>
      <c r="AQ37" s="326"/>
      <c r="AR37" s="326"/>
      <c r="AS37" s="326"/>
      <c r="AT37" s="326"/>
      <c r="AU37" s="326"/>
      <c r="AV37" s="326"/>
      <c r="AW37" s="326"/>
      <c r="AX37" s="326"/>
      <c r="AY37" s="326"/>
      <c r="AZ37" s="326"/>
      <c r="BA37" s="326"/>
      <c r="BB37" s="326"/>
      <c r="BC37" s="326"/>
      <c r="BD37" s="326"/>
      <c r="BE37" s="326"/>
      <c r="BF37" s="326"/>
      <c r="BG37" s="326"/>
      <c r="BH37" s="326"/>
      <c r="BI37" s="326"/>
      <c r="BJ37" s="326"/>
      <c r="BK37" s="326"/>
      <c r="BL37" s="326"/>
      <c r="BM37" s="326"/>
      <c r="BN37" s="326"/>
      <c r="BO37" s="326"/>
      <c r="BP37" s="326"/>
      <c r="BQ37" s="326"/>
      <c r="BR37" s="326"/>
      <c r="BS37" s="326"/>
      <c r="BT37" s="326"/>
      <c r="BU37" s="326"/>
      <c r="BV37" s="326"/>
      <c r="BW37" s="326"/>
      <c r="BX37" s="326"/>
      <c r="BY37" s="326"/>
      <c r="BZ37" s="326"/>
      <c r="CA37" s="326"/>
      <c r="CB37" s="326"/>
      <c r="CC37" s="326"/>
      <c r="CD37" s="326"/>
      <c r="CE37" s="326"/>
      <c r="CF37" s="326"/>
      <c r="CG37" s="326"/>
      <c r="CH37" s="326"/>
      <c r="CI37" s="326"/>
      <c r="CJ37" s="326"/>
      <c r="CK37" s="326"/>
      <c r="CL37" s="326"/>
      <c r="CM37" s="326"/>
      <c r="CN37" s="326"/>
      <c r="CO37" s="326"/>
      <c r="CP37" s="326"/>
      <c r="CQ37" s="326"/>
      <c r="CR37" s="326"/>
      <c r="CS37" s="326"/>
      <c r="CT37" s="326"/>
      <c r="CU37" s="326"/>
      <c r="CV37" s="326"/>
      <c r="CW37" s="326"/>
      <c r="CX37" s="326"/>
      <c r="CY37" s="326"/>
      <c r="CZ37" s="326"/>
      <c r="DA37" s="326"/>
      <c r="DB37" s="332">
        <v>5</v>
      </c>
      <c r="DC37" s="326"/>
      <c r="DD37" s="326"/>
      <c r="DE37" s="326"/>
      <c r="DF37" s="326"/>
      <c r="DG37" s="326"/>
      <c r="DH37" s="326"/>
      <c r="DI37" s="326"/>
      <c r="DJ37" s="326"/>
      <c r="DK37" s="326"/>
      <c r="DL37" s="326"/>
      <c r="DM37" s="326"/>
      <c r="DN37" s="326"/>
      <c r="DO37" s="326"/>
      <c r="DP37" s="326"/>
      <c r="DQ37" s="326"/>
      <c r="DR37" s="326"/>
      <c r="DS37" s="326"/>
      <c r="DT37" s="326"/>
      <c r="DU37" s="326"/>
      <c r="DV37" s="326"/>
      <c r="DW37" s="326"/>
      <c r="DX37" s="326"/>
      <c r="DY37" s="326"/>
      <c r="DZ37" s="326"/>
      <c r="EA37" s="326"/>
      <c r="EB37" s="326"/>
      <c r="EC37" s="326"/>
      <c r="ED37" s="326"/>
      <c r="EE37" s="326"/>
      <c r="EF37" s="326"/>
      <c r="EG37" s="326"/>
      <c r="EH37" s="326"/>
      <c r="EI37" s="332">
        <v>20</v>
      </c>
      <c r="EJ37" s="326"/>
      <c r="EK37" s="326"/>
      <c r="EL37" s="326"/>
      <c r="EM37" s="326"/>
      <c r="EN37" s="326"/>
      <c r="EO37" s="326"/>
      <c r="EP37" s="326"/>
      <c r="EQ37" s="326"/>
      <c r="ER37" s="326"/>
      <c r="ES37" s="326"/>
      <c r="ET37" s="326"/>
      <c r="EU37" s="326"/>
      <c r="EV37" s="326"/>
      <c r="EW37" s="326"/>
      <c r="EX37" s="326"/>
      <c r="EY37" s="326"/>
      <c r="EZ37" s="326"/>
      <c r="FA37" s="326"/>
      <c r="FB37" s="326"/>
      <c r="FC37" s="326"/>
      <c r="FD37" s="326"/>
      <c r="FE37" s="326"/>
      <c r="FF37" s="326"/>
      <c r="FG37" s="326"/>
      <c r="FH37" s="326"/>
      <c r="FI37" s="326"/>
      <c r="FJ37" s="326"/>
      <c r="FK37" s="326"/>
      <c r="FL37" s="326"/>
      <c r="FM37" s="326"/>
      <c r="FN37" s="326"/>
      <c r="FO37" s="326"/>
      <c r="FP37" s="326"/>
      <c r="FQ37" s="326"/>
      <c r="FR37" s="326"/>
      <c r="FS37" s="326"/>
      <c r="FT37" s="326"/>
      <c r="FU37" s="326"/>
      <c r="FV37" s="326"/>
      <c r="FW37" s="326"/>
      <c r="FX37" s="326"/>
      <c r="FY37" s="326"/>
      <c r="FZ37" s="326"/>
      <c r="GA37" s="326"/>
      <c r="GB37" s="326"/>
      <c r="GC37" s="326"/>
      <c r="GD37" s="327"/>
      <c r="GE37" s="325" t="s">
        <v>887</v>
      </c>
      <c r="GF37" s="325" t="s">
        <v>522</v>
      </c>
      <c r="GG37" s="325" t="s">
        <v>850</v>
      </c>
      <c r="GH37" s="325" t="s">
        <v>908</v>
      </c>
      <c r="GI37" s="328">
        <f t="shared" si="0"/>
        <v>25</v>
      </c>
      <c r="GJ37" s="329" t="s">
        <v>906</v>
      </c>
    </row>
    <row r="38" spans="1:192" s="329" customFormat="1">
      <c r="A38" s="325" t="s">
        <v>907</v>
      </c>
      <c r="B38" s="325" t="s">
        <v>517</v>
      </c>
      <c r="C38" s="325" t="s">
        <v>555</v>
      </c>
      <c r="D38" s="325" t="s">
        <v>633</v>
      </c>
      <c r="E38" s="325" t="s">
        <v>564</v>
      </c>
      <c r="F38" s="325" t="s">
        <v>520</v>
      </c>
      <c r="G38" s="325"/>
      <c r="H38" s="326"/>
      <c r="I38" s="326"/>
      <c r="J38" s="326"/>
      <c r="K38" s="326"/>
      <c r="L38" s="326"/>
      <c r="M38" s="326"/>
      <c r="N38" s="326"/>
      <c r="O38" s="326"/>
      <c r="P38" s="326"/>
      <c r="Q38" s="326"/>
      <c r="R38" s="326"/>
      <c r="S38" s="326"/>
      <c r="T38" s="326"/>
      <c r="U38" s="326"/>
      <c r="V38" s="326"/>
      <c r="W38" s="326"/>
      <c r="X38" s="326"/>
      <c r="Y38" s="326"/>
      <c r="Z38" s="326"/>
      <c r="AA38" s="326"/>
      <c r="AB38" s="326"/>
      <c r="AC38" s="330">
        <f>20-20+3</f>
        <v>3</v>
      </c>
      <c r="AD38" s="330">
        <f>30-30+3</f>
        <v>3</v>
      </c>
      <c r="AE38" s="326"/>
      <c r="AF38" s="330">
        <f>10-10</f>
        <v>0</v>
      </c>
      <c r="AG38" s="330">
        <f>10-10</f>
        <v>0</v>
      </c>
      <c r="AH38" s="330">
        <f>10-10</f>
        <v>0</v>
      </c>
      <c r="AI38" s="330">
        <f>10-10</f>
        <v>0</v>
      </c>
      <c r="AJ38" s="330">
        <f>10-10</f>
        <v>0</v>
      </c>
      <c r="AK38" s="326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30">
        <f>20-20+3</f>
        <v>3</v>
      </c>
      <c r="BA38" s="330">
        <f>20-20</f>
        <v>0</v>
      </c>
      <c r="BB38" s="326"/>
      <c r="BC38" s="330">
        <f>20-20+5</f>
        <v>5</v>
      </c>
      <c r="BD38" s="330">
        <f>20-20</f>
        <v>0</v>
      </c>
      <c r="BE38" s="330">
        <f>50-50</f>
        <v>0</v>
      </c>
      <c r="BF38" s="330">
        <f>50-50</f>
        <v>0</v>
      </c>
      <c r="BG38" s="326"/>
      <c r="BH38" s="326"/>
      <c r="BI38" s="326"/>
      <c r="BJ38" s="326"/>
      <c r="BK38" s="326"/>
      <c r="BL38" s="326"/>
      <c r="BM38" s="326"/>
      <c r="BN38" s="330">
        <f t="shared" ref="BN38:BR38" si="6">20-20</f>
        <v>0</v>
      </c>
      <c r="BO38" s="330">
        <f t="shared" si="6"/>
        <v>0</v>
      </c>
      <c r="BP38" s="330">
        <f>20-20+2</f>
        <v>2</v>
      </c>
      <c r="BQ38" s="330">
        <f>20-20+2</f>
        <v>2</v>
      </c>
      <c r="BR38" s="330">
        <f t="shared" si="6"/>
        <v>0</v>
      </c>
      <c r="BS38" s="330">
        <f>20-20+1</f>
        <v>1</v>
      </c>
      <c r="BT38" s="326"/>
      <c r="BU38" s="326"/>
      <c r="BV38" s="326"/>
      <c r="BW38" s="326"/>
      <c r="BX38" s="326"/>
      <c r="BY38" s="326"/>
      <c r="BZ38" s="326"/>
      <c r="CA38" s="326"/>
      <c r="CB38" s="330">
        <f>20-20+1</f>
        <v>1</v>
      </c>
      <c r="CC38" s="330">
        <f>20-20+1</f>
        <v>1</v>
      </c>
      <c r="CD38" s="326"/>
      <c r="CE38" s="326"/>
      <c r="CF38" s="330">
        <f>20-20+2</f>
        <v>2</v>
      </c>
      <c r="CG38" s="330">
        <f>20-20</f>
        <v>0</v>
      </c>
      <c r="CH38" s="330">
        <f>20-20</f>
        <v>0</v>
      </c>
      <c r="CI38" s="330">
        <f>20-20</f>
        <v>0</v>
      </c>
      <c r="CJ38" s="326"/>
      <c r="CK38" s="326"/>
      <c r="CL38" s="330">
        <f>20-20+1</f>
        <v>1</v>
      </c>
      <c r="CM38" s="330">
        <f>20-20+1</f>
        <v>1</v>
      </c>
      <c r="CN38" s="330">
        <f>20-20</f>
        <v>0</v>
      </c>
      <c r="CO38" s="330">
        <f>20-20</f>
        <v>0</v>
      </c>
      <c r="CP38" s="326"/>
      <c r="CQ38" s="330">
        <f>20-20+1</f>
        <v>1</v>
      </c>
      <c r="CR38" s="330">
        <f>20-20+2</f>
        <v>2</v>
      </c>
      <c r="CS38" s="330">
        <f>20-20+1</f>
        <v>1</v>
      </c>
      <c r="CT38" s="330">
        <f>20-20</f>
        <v>0</v>
      </c>
      <c r="CU38" s="330">
        <f>20-20</f>
        <v>0</v>
      </c>
      <c r="CV38" s="326"/>
      <c r="CW38" s="326"/>
      <c r="CX38" s="330">
        <f>20-20+5</f>
        <v>5</v>
      </c>
      <c r="CY38" s="326"/>
      <c r="CZ38" s="330">
        <f>20-20+2</f>
        <v>2</v>
      </c>
      <c r="DA38" s="330">
        <f>20-20+3</f>
        <v>3</v>
      </c>
      <c r="DB38" s="330">
        <f>50-50</f>
        <v>0</v>
      </c>
      <c r="DC38" s="326"/>
      <c r="DD38" s="330">
        <f>20-20</f>
        <v>0</v>
      </c>
      <c r="DE38" s="326"/>
      <c r="DF38" s="326"/>
      <c r="DG38" s="330">
        <f>50-50</f>
        <v>0</v>
      </c>
      <c r="DH38" s="326"/>
      <c r="DI38" s="330">
        <f>20-20</f>
        <v>0</v>
      </c>
      <c r="DJ38" s="330">
        <f>20-20+3</f>
        <v>3</v>
      </c>
      <c r="DK38" s="330">
        <f>20-20</f>
        <v>0</v>
      </c>
      <c r="DL38" s="330">
        <f>50-50+2</f>
        <v>2</v>
      </c>
      <c r="DM38" s="330">
        <f>50-50</f>
        <v>0</v>
      </c>
      <c r="DN38" s="326"/>
      <c r="DO38" s="326"/>
      <c r="DP38" s="330">
        <f>20-20</f>
        <v>0</v>
      </c>
      <c r="DQ38" s="326"/>
      <c r="DR38" s="330">
        <f>20-20</f>
        <v>0</v>
      </c>
      <c r="DS38" s="326"/>
      <c r="DT38" s="326"/>
      <c r="DU38" s="326"/>
      <c r="DV38" s="326"/>
      <c r="DW38" s="326"/>
      <c r="DX38" s="326"/>
      <c r="DY38" s="330">
        <f>50-50+20</f>
        <v>20</v>
      </c>
      <c r="DZ38" s="326"/>
      <c r="EA38" s="330">
        <f>50-50</f>
        <v>0</v>
      </c>
      <c r="EB38" s="330">
        <f>50-50</f>
        <v>0</v>
      </c>
      <c r="EC38" s="326"/>
      <c r="ED38" s="330">
        <f>50-50</f>
        <v>0</v>
      </c>
      <c r="EE38" s="330">
        <f>50-50</f>
        <v>0</v>
      </c>
      <c r="EF38" s="330">
        <f>50-50</f>
        <v>0</v>
      </c>
      <c r="EG38" s="326"/>
      <c r="EH38" s="326"/>
      <c r="EI38" s="330">
        <f>50-50</f>
        <v>0</v>
      </c>
      <c r="EJ38" s="326"/>
      <c r="EK38" s="326"/>
      <c r="EL38" s="330">
        <f t="shared" ref="EL38:EU38" si="7">100-100</f>
        <v>0</v>
      </c>
      <c r="EM38" s="330">
        <f t="shared" si="7"/>
        <v>0</v>
      </c>
      <c r="EN38" s="330">
        <f t="shared" si="7"/>
        <v>0</v>
      </c>
      <c r="EO38" s="330">
        <f t="shared" si="7"/>
        <v>0</v>
      </c>
      <c r="EP38" s="330">
        <f>100-100+20</f>
        <v>20</v>
      </c>
      <c r="EQ38" s="326"/>
      <c r="ER38" s="330">
        <f>100-100+100</f>
        <v>100</v>
      </c>
      <c r="ES38" s="330">
        <f t="shared" si="7"/>
        <v>0</v>
      </c>
      <c r="ET38" s="330">
        <f t="shared" si="7"/>
        <v>0</v>
      </c>
      <c r="EU38" s="330">
        <f t="shared" si="7"/>
        <v>0</v>
      </c>
      <c r="EV38" s="330">
        <f>50-50</f>
        <v>0</v>
      </c>
      <c r="EW38" s="330">
        <f>50-50</f>
        <v>0</v>
      </c>
      <c r="EX38" s="330">
        <f>50-50</f>
        <v>0</v>
      </c>
      <c r="EY38" s="330">
        <f>50-50</f>
        <v>0</v>
      </c>
      <c r="EZ38" s="326"/>
      <c r="FA38" s="330">
        <f>50-50</f>
        <v>0</v>
      </c>
      <c r="FB38" s="326"/>
      <c r="FC38" s="326"/>
      <c r="FD38" s="330">
        <f>5-5</f>
        <v>0</v>
      </c>
      <c r="FE38" s="326"/>
      <c r="FF38" s="326"/>
      <c r="FG38" s="330">
        <f>100-100</f>
        <v>0</v>
      </c>
      <c r="FH38" s="326"/>
      <c r="FI38" s="330">
        <f>100-100+10</f>
        <v>10</v>
      </c>
      <c r="FJ38" s="326"/>
      <c r="FK38" s="326"/>
      <c r="FL38" s="326"/>
      <c r="FM38" s="326"/>
      <c r="FN38" s="326"/>
      <c r="FO38" s="326"/>
      <c r="FP38" s="326"/>
      <c r="FQ38" s="326"/>
      <c r="FR38" s="326"/>
      <c r="FS38" s="326"/>
      <c r="FT38" s="326"/>
      <c r="FU38" s="326"/>
      <c r="FV38" s="326"/>
      <c r="FW38" s="326"/>
      <c r="FX38" s="326"/>
      <c r="FY38" s="326"/>
      <c r="FZ38" s="326"/>
      <c r="GA38" s="326"/>
      <c r="GB38" s="326"/>
      <c r="GC38" s="326"/>
      <c r="GD38" s="327" t="s">
        <v>850</v>
      </c>
      <c r="GE38" s="325" t="s">
        <v>887</v>
      </c>
      <c r="GF38" s="325" t="s">
        <v>522</v>
      </c>
      <c r="GG38" s="325" t="s">
        <v>850</v>
      </c>
      <c r="GH38" s="325" t="s">
        <v>908</v>
      </c>
      <c r="GI38" s="328">
        <f t="shared" si="0"/>
        <v>194</v>
      </c>
      <c r="GJ38" s="329" t="s">
        <v>906</v>
      </c>
    </row>
    <row r="39" spans="1:192" s="329" customFormat="1">
      <c r="A39" s="325" t="s">
        <v>907</v>
      </c>
      <c r="B39" s="325" t="s">
        <v>517</v>
      </c>
      <c r="C39" s="325" t="s">
        <v>555</v>
      </c>
      <c r="D39" s="325" t="s">
        <v>3</v>
      </c>
      <c r="E39" s="325" t="s">
        <v>564</v>
      </c>
      <c r="F39" s="325" t="s">
        <v>520</v>
      </c>
      <c r="G39" s="325"/>
      <c r="H39" s="326"/>
      <c r="I39" s="326"/>
      <c r="J39" s="326"/>
      <c r="K39" s="326"/>
      <c r="L39" s="326"/>
      <c r="M39" s="326"/>
      <c r="N39" s="326"/>
      <c r="O39" s="326"/>
      <c r="P39" s="326"/>
      <c r="Q39" s="326"/>
      <c r="R39" s="326"/>
      <c r="S39" s="326"/>
      <c r="T39" s="326"/>
      <c r="U39" s="326"/>
      <c r="V39" s="326"/>
      <c r="W39" s="326"/>
      <c r="X39" s="326"/>
      <c r="Y39" s="326"/>
      <c r="Z39" s="326"/>
      <c r="AA39" s="326"/>
      <c r="AB39" s="326"/>
      <c r="AC39" s="326"/>
      <c r="AD39" s="326"/>
      <c r="AE39" s="326"/>
      <c r="AF39" s="326"/>
      <c r="AG39" s="326"/>
      <c r="AH39" s="326"/>
      <c r="AI39" s="326"/>
      <c r="AJ39" s="326"/>
      <c r="AK39" s="326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/>
      <c r="BD39" s="326"/>
      <c r="BE39" s="326"/>
      <c r="BF39" s="326"/>
      <c r="BG39" s="326"/>
      <c r="BH39" s="326"/>
      <c r="BI39" s="326"/>
      <c r="BJ39" s="326"/>
      <c r="BK39" s="326"/>
      <c r="BL39" s="326"/>
      <c r="BM39" s="326"/>
      <c r="BN39" s="326"/>
      <c r="BO39" s="326"/>
      <c r="BP39" s="326"/>
      <c r="BQ39" s="326"/>
      <c r="BR39" s="326"/>
      <c r="BS39" s="326"/>
      <c r="BT39" s="326"/>
      <c r="BU39" s="326"/>
      <c r="BV39" s="326"/>
      <c r="BW39" s="326"/>
      <c r="BX39" s="326"/>
      <c r="BY39" s="326"/>
      <c r="BZ39" s="326"/>
      <c r="CA39" s="326"/>
      <c r="CB39" s="326"/>
      <c r="CC39" s="326"/>
      <c r="CD39" s="326"/>
      <c r="CE39" s="326"/>
      <c r="CF39" s="326"/>
      <c r="CG39" s="326"/>
      <c r="CH39" s="326"/>
      <c r="CI39" s="326"/>
      <c r="CJ39" s="326"/>
      <c r="CK39" s="326"/>
      <c r="CL39" s="326"/>
      <c r="CM39" s="326"/>
      <c r="CN39" s="326"/>
      <c r="CO39" s="326"/>
      <c r="CP39" s="326"/>
      <c r="CQ39" s="326"/>
      <c r="CR39" s="326"/>
      <c r="CS39" s="326"/>
      <c r="CT39" s="326"/>
      <c r="CU39" s="326"/>
      <c r="CV39" s="326"/>
      <c r="CW39" s="326"/>
      <c r="CX39" s="326"/>
      <c r="CY39" s="326"/>
      <c r="CZ39" s="326"/>
      <c r="DA39" s="326"/>
      <c r="DB39" s="326"/>
      <c r="DC39" s="326"/>
      <c r="DD39" s="326"/>
      <c r="DE39" s="326"/>
      <c r="DF39" s="326"/>
      <c r="DG39" s="326"/>
      <c r="DH39" s="326"/>
      <c r="DI39" s="326"/>
      <c r="DJ39" s="326"/>
      <c r="DK39" s="326"/>
      <c r="DL39" s="326"/>
      <c r="DM39" s="326"/>
      <c r="DN39" s="326"/>
      <c r="DO39" s="326"/>
      <c r="DP39" s="326"/>
      <c r="DQ39" s="326"/>
      <c r="DR39" s="326"/>
      <c r="DS39" s="326"/>
      <c r="DT39" s="326"/>
      <c r="DU39" s="326"/>
      <c r="DV39" s="326"/>
      <c r="DW39" s="326"/>
      <c r="DX39" s="326"/>
      <c r="DY39" s="326"/>
      <c r="DZ39" s="326"/>
      <c r="EA39" s="326"/>
      <c r="EB39" s="326"/>
      <c r="EC39" s="326"/>
      <c r="ED39" s="326"/>
      <c r="EE39" s="326"/>
      <c r="EF39" s="326"/>
      <c r="EG39" s="326"/>
      <c r="EH39" s="326"/>
      <c r="EI39" s="326"/>
      <c r="EJ39" s="326"/>
      <c r="EK39" s="326"/>
      <c r="EL39" s="326"/>
      <c r="EM39" s="326"/>
      <c r="EN39" s="326"/>
      <c r="EO39" s="326"/>
      <c r="EP39" s="326"/>
      <c r="EQ39" s="326"/>
      <c r="ER39" s="326"/>
      <c r="ES39" s="326"/>
      <c r="ET39" s="326"/>
      <c r="EU39" s="326"/>
      <c r="EV39" s="326"/>
      <c r="EW39" s="326"/>
      <c r="EX39" s="326"/>
      <c r="EY39" s="326"/>
      <c r="EZ39" s="326"/>
      <c r="FA39" s="326"/>
      <c r="FB39" s="326"/>
      <c r="FC39" s="326"/>
      <c r="FD39" s="326"/>
      <c r="FE39" s="326"/>
      <c r="FF39" s="326"/>
      <c r="FG39" s="326"/>
      <c r="FH39" s="326"/>
      <c r="FI39" s="326"/>
      <c r="FJ39" s="326"/>
      <c r="FK39" s="326"/>
      <c r="FL39" s="326"/>
      <c r="FM39" s="326"/>
      <c r="FN39" s="326"/>
      <c r="FO39" s="326"/>
      <c r="FP39" s="326"/>
      <c r="FQ39" s="326"/>
      <c r="FR39" s="326"/>
      <c r="FS39" s="326"/>
      <c r="FT39" s="326"/>
      <c r="FU39" s="326"/>
      <c r="FV39" s="326"/>
      <c r="FW39" s="326"/>
      <c r="FX39" s="326"/>
      <c r="FY39" s="326"/>
      <c r="FZ39" s="326"/>
      <c r="GA39" s="326"/>
      <c r="GB39" s="326"/>
      <c r="GC39" s="326"/>
      <c r="GD39" s="327"/>
      <c r="GE39" s="325" t="s">
        <v>887</v>
      </c>
      <c r="GF39" s="325" t="s">
        <v>522</v>
      </c>
      <c r="GG39" s="325" t="s">
        <v>850</v>
      </c>
      <c r="GH39" s="325" t="s">
        <v>908</v>
      </c>
      <c r="GI39" s="328">
        <f t="shared" ref="GI39:GI102" si="8">SUM(H39:GC39)</f>
        <v>0</v>
      </c>
      <c r="GJ39" s="329" t="s">
        <v>906</v>
      </c>
    </row>
    <row r="40" spans="1:192" s="329" customFormat="1">
      <c r="A40" s="325" t="s">
        <v>540</v>
      </c>
      <c r="B40" s="325" t="s">
        <v>517</v>
      </c>
      <c r="C40" s="325" t="s">
        <v>555</v>
      </c>
      <c r="D40" s="325" t="s">
        <v>636</v>
      </c>
      <c r="E40" s="325" t="s">
        <v>909</v>
      </c>
      <c r="F40" s="325" t="s">
        <v>520</v>
      </c>
      <c r="G40" s="325"/>
      <c r="H40" s="326"/>
      <c r="I40" s="326"/>
      <c r="J40" s="326"/>
      <c r="K40" s="326"/>
      <c r="L40" s="326"/>
      <c r="M40" s="326"/>
      <c r="N40" s="326"/>
      <c r="O40" s="326"/>
      <c r="P40" s="326"/>
      <c r="Q40" s="326"/>
      <c r="R40" s="326"/>
      <c r="S40" s="326"/>
      <c r="T40" s="326"/>
      <c r="U40" s="326"/>
      <c r="V40" s="326"/>
      <c r="W40" s="326"/>
      <c r="X40" s="326"/>
      <c r="Y40" s="326"/>
      <c r="Z40" s="326"/>
      <c r="AA40" s="326"/>
      <c r="AB40" s="326"/>
      <c r="AC40" s="326"/>
      <c r="AD40" s="326"/>
      <c r="AE40" s="326"/>
      <c r="AF40" s="326"/>
      <c r="AG40" s="326"/>
      <c r="AH40" s="326"/>
      <c r="AI40" s="326"/>
      <c r="AJ40" s="326"/>
      <c r="AK40" s="326"/>
      <c r="AL40" s="326"/>
      <c r="AM40" s="326"/>
      <c r="AN40" s="326"/>
      <c r="AO40" s="326"/>
      <c r="AP40" s="326"/>
      <c r="AQ40" s="326"/>
      <c r="AR40" s="326"/>
      <c r="AS40" s="326"/>
      <c r="AT40" s="326"/>
      <c r="AU40" s="326"/>
      <c r="AV40" s="326"/>
      <c r="AW40" s="326"/>
      <c r="AX40" s="326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6"/>
      <c r="BK40" s="326"/>
      <c r="BL40" s="326"/>
      <c r="BM40" s="326"/>
      <c r="BN40" s="326"/>
      <c r="BO40" s="326"/>
      <c r="BP40" s="326"/>
      <c r="BQ40" s="326"/>
      <c r="BR40" s="326"/>
      <c r="BS40" s="326"/>
      <c r="BT40" s="326"/>
      <c r="BU40" s="326"/>
      <c r="BV40" s="326"/>
      <c r="BW40" s="326"/>
      <c r="BX40" s="326"/>
      <c r="BY40" s="326"/>
      <c r="BZ40" s="326"/>
      <c r="CA40" s="326"/>
      <c r="CB40" s="326"/>
      <c r="CC40" s="326"/>
      <c r="CD40" s="326"/>
      <c r="CE40" s="326"/>
      <c r="CF40" s="326"/>
      <c r="CG40" s="326"/>
      <c r="CH40" s="326"/>
      <c r="CI40" s="326"/>
      <c r="CJ40" s="326"/>
      <c r="CK40" s="326"/>
      <c r="CL40" s="326"/>
      <c r="CM40" s="326"/>
      <c r="CN40" s="326"/>
      <c r="CO40" s="326"/>
      <c r="CP40" s="326"/>
      <c r="CQ40" s="326"/>
      <c r="CR40" s="326"/>
      <c r="CS40" s="326"/>
      <c r="CT40" s="326"/>
      <c r="CU40" s="326"/>
      <c r="CV40" s="326"/>
      <c r="CW40" s="326"/>
      <c r="CX40" s="326"/>
      <c r="CY40" s="326"/>
      <c r="CZ40" s="326"/>
      <c r="DA40" s="326"/>
      <c r="DB40" s="326"/>
      <c r="DC40" s="326"/>
      <c r="DD40" s="326"/>
      <c r="DE40" s="326"/>
      <c r="DF40" s="326"/>
      <c r="DG40" s="326"/>
      <c r="DH40" s="326"/>
      <c r="DI40" s="326"/>
      <c r="DJ40" s="326"/>
      <c r="DK40" s="326"/>
      <c r="DL40" s="326"/>
      <c r="DM40" s="326"/>
      <c r="DN40" s="326"/>
      <c r="DO40" s="326"/>
      <c r="DP40" s="326"/>
      <c r="DQ40" s="326"/>
      <c r="DR40" s="326"/>
      <c r="DS40" s="326"/>
      <c r="DT40" s="326"/>
      <c r="DU40" s="326"/>
      <c r="DV40" s="326"/>
      <c r="DW40" s="326"/>
      <c r="DX40" s="326"/>
      <c r="DY40" s="326"/>
      <c r="DZ40" s="326"/>
      <c r="EA40" s="326"/>
      <c r="EB40" s="326"/>
      <c r="EC40" s="326"/>
      <c r="ED40" s="326"/>
      <c r="EE40" s="326"/>
      <c r="EF40" s="326"/>
      <c r="EG40" s="326"/>
      <c r="EH40" s="326"/>
      <c r="EI40" s="326"/>
      <c r="EJ40" s="326"/>
      <c r="EK40" s="326"/>
      <c r="EL40" s="326"/>
      <c r="EM40" s="326"/>
      <c r="EN40" s="326"/>
      <c r="EO40" s="326"/>
      <c r="EP40" s="326"/>
      <c r="EQ40" s="326"/>
      <c r="ER40" s="326"/>
      <c r="ES40" s="326"/>
      <c r="ET40" s="326"/>
      <c r="EU40" s="326"/>
      <c r="EV40" s="326"/>
      <c r="EW40" s="326"/>
      <c r="EX40" s="326"/>
      <c r="EY40" s="326"/>
      <c r="EZ40" s="326"/>
      <c r="FA40" s="326"/>
      <c r="FB40" s="326"/>
      <c r="FC40" s="326"/>
      <c r="FD40" s="326"/>
      <c r="FE40" s="326"/>
      <c r="FF40" s="326"/>
      <c r="FG40" s="326"/>
      <c r="FH40" s="326"/>
      <c r="FI40" s="326"/>
      <c r="FJ40" s="326"/>
      <c r="FK40" s="326"/>
      <c r="FL40" s="326"/>
      <c r="FM40" s="326"/>
      <c r="FN40" s="326"/>
      <c r="FO40" s="326"/>
      <c r="FP40" s="326"/>
      <c r="FQ40" s="326"/>
      <c r="FR40" s="326"/>
      <c r="FS40" s="326"/>
      <c r="FT40" s="326"/>
      <c r="FU40" s="326"/>
      <c r="FV40" s="326"/>
      <c r="FW40" s="326"/>
      <c r="FX40" s="326"/>
      <c r="FY40" s="326"/>
      <c r="FZ40" s="326"/>
      <c r="GA40" s="326"/>
      <c r="GB40" s="326"/>
      <c r="GC40" s="326"/>
      <c r="GD40" s="327"/>
      <c r="GE40" s="325" t="s">
        <v>887</v>
      </c>
      <c r="GF40" s="325" t="s">
        <v>522</v>
      </c>
      <c r="GG40" s="325" t="s">
        <v>850</v>
      </c>
      <c r="GH40" s="325" t="s">
        <v>908</v>
      </c>
      <c r="GI40" s="328">
        <f t="shared" si="8"/>
        <v>0</v>
      </c>
      <c r="GJ40" s="329" t="s">
        <v>906</v>
      </c>
    </row>
    <row r="41" spans="1:192" s="329" customFormat="1">
      <c r="A41" s="325" t="s">
        <v>540</v>
      </c>
      <c r="B41" s="325" t="s">
        <v>517</v>
      </c>
      <c r="C41" s="325" t="s">
        <v>555</v>
      </c>
      <c r="D41" s="325" t="s">
        <v>633</v>
      </c>
      <c r="E41" s="325" t="s">
        <v>909</v>
      </c>
      <c r="F41" s="325" t="s">
        <v>520</v>
      </c>
      <c r="G41" s="325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30">
        <f>20-20+2</f>
        <v>2</v>
      </c>
      <c r="AD41" s="330">
        <f>20-20+2</f>
        <v>2</v>
      </c>
      <c r="AE41" s="326"/>
      <c r="AF41" s="330">
        <f>10-10</f>
        <v>0</v>
      </c>
      <c r="AG41" s="330">
        <f>10-10</f>
        <v>0</v>
      </c>
      <c r="AH41" s="330">
        <f>10-10</f>
        <v>0</v>
      </c>
      <c r="AI41" s="330">
        <f>10-10</f>
        <v>0</v>
      </c>
      <c r="AJ41" s="330">
        <f>10-10</f>
        <v>0</v>
      </c>
      <c r="AK41" s="326"/>
      <c r="AL41" s="326"/>
      <c r="AM41" s="326"/>
      <c r="AN41" s="326"/>
      <c r="AO41" s="326"/>
      <c r="AP41" s="326"/>
      <c r="AQ41" s="326"/>
      <c r="AR41" s="326"/>
      <c r="AS41" s="326"/>
      <c r="AT41" s="326"/>
      <c r="AU41" s="326"/>
      <c r="AV41" s="326"/>
      <c r="AW41" s="326"/>
      <c r="AX41" s="326"/>
      <c r="AY41" s="326"/>
      <c r="AZ41" s="330">
        <f>5-5+2</f>
        <v>2</v>
      </c>
      <c r="BA41" s="330">
        <f t="shared" ref="BA41:BF41" si="9">5-5</f>
        <v>0</v>
      </c>
      <c r="BB41" s="326"/>
      <c r="BC41" s="330">
        <f>5-5+3</f>
        <v>3</v>
      </c>
      <c r="BD41" s="330">
        <f t="shared" si="9"/>
        <v>0</v>
      </c>
      <c r="BE41" s="330">
        <f t="shared" si="9"/>
        <v>0</v>
      </c>
      <c r="BF41" s="330">
        <f t="shared" si="9"/>
        <v>0</v>
      </c>
      <c r="BG41" s="326"/>
      <c r="BH41" s="326"/>
      <c r="BI41" s="326"/>
      <c r="BJ41" s="326"/>
      <c r="BK41" s="326"/>
      <c r="BL41" s="326"/>
      <c r="BM41" s="326"/>
      <c r="BN41" s="330">
        <f t="shared" ref="BN41:BR41" si="10">10-10</f>
        <v>0</v>
      </c>
      <c r="BO41" s="330">
        <f t="shared" si="10"/>
        <v>0</v>
      </c>
      <c r="BP41" s="330">
        <f>10-10+2</f>
        <v>2</v>
      </c>
      <c r="BQ41" s="330">
        <f>10-10+2</f>
        <v>2</v>
      </c>
      <c r="BR41" s="330">
        <f t="shared" si="10"/>
        <v>0</v>
      </c>
      <c r="BS41" s="330">
        <f>10-10+1</f>
        <v>1</v>
      </c>
      <c r="BT41" s="326"/>
      <c r="BU41" s="326"/>
      <c r="BV41" s="326"/>
      <c r="BW41" s="326"/>
      <c r="BX41" s="326"/>
      <c r="BY41" s="326"/>
      <c r="BZ41" s="326"/>
      <c r="CA41" s="326"/>
      <c r="CB41" s="330">
        <f>10-10+1</f>
        <v>1</v>
      </c>
      <c r="CC41" s="330">
        <f>10-10+1</f>
        <v>1</v>
      </c>
      <c r="CD41" s="326"/>
      <c r="CE41" s="326"/>
      <c r="CF41" s="330">
        <f>10-10+2</f>
        <v>2</v>
      </c>
      <c r="CG41" s="330">
        <f>10-10</f>
        <v>0</v>
      </c>
      <c r="CH41" s="330">
        <f>10-10</f>
        <v>0</v>
      </c>
      <c r="CI41" s="330">
        <f>10-10</f>
        <v>0</v>
      </c>
      <c r="CJ41" s="326"/>
      <c r="CK41" s="326"/>
      <c r="CL41" s="330">
        <f>20-20+1</f>
        <v>1</v>
      </c>
      <c r="CM41" s="330">
        <f>20-20+1</f>
        <v>1</v>
      </c>
      <c r="CN41" s="330">
        <f>20-20</f>
        <v>0</v>
      </c>
      <c r="CO41" s="330">
        <f>20-20</f>
        <v>0</v>
      </c>
      <c r="CP41" s="326"/>
      <c r="CQ41" s="330">
        <f>20-20+1</f>
        <v>1</v>
      </c>
      <c r="CR41" s="330">
        <f>20-20+3</f>
        <v>3</v>
      </c>
      <c r="CS41" s="330">
        <f>20-20+1</f>
        <v>1</v>
      </c>
      <c r="CT41" s="330">
        <f>20-20</f>
        <v>0</v>
      </c>
      <c r="CU41" s="330">
        <f>20-20</f>
        <v>0</v>
      </c>
      <c r="CV41" s="326"/>
      <c r="CW41" s="326"/>
      <c r="CX41" s="326"/>
      <c r="CY41" s="326"/>
      <c r="CZ41" s="326"/>
      <c r="DA41" s="326"/>
      <c r="DB41" s="326"/>
      <c r="DC41" s="326"/>
      <c r="DD41" s="326"/>
      <c r="DE41" s="326"/>
      <c r="DF41" s="326"/>
      <c r="DG41" s="326"/>
      <c r="DH41" s="326"/>
      <c r="DI41" s="330">
        <f>50-50</f>
        <v>0</v>
      </c>
      <c r="DJ41" s="330">
        <f>50-50+2</f>
        <v>2</v>
      </c>
      <c r="DK41" s="330">
        <f>50-50</f>
        <v>0</v>
      </c>
      <c r="DL41" s="330">
        <f>50-50+2</f>
        <v>2</v>
      </c>
      <c r="DM41" s="330">
        <f>50-50</f>
        <v>0</v>
      </c>
      <c r="DN41" s="326"/>
      <c r="DO41" s="326"/>
      <c r="DP41" s="326"/>
      <c r="DQ41" s="326"/>
      <c r="DR41" s="326"/>
      <c r="DS41" s="326"/>
      <c r="DT41" s="326"/>
      <c r="DU41" s="326"/>
      <c r="DV41" s="326"/>
      <c r="DW41" s="326"/>
      <c r="DX41" s="326"/>
      <c r="DY41" s="330">
        <f>50-50+20</f>
        <v>20</v>
      </c>
      <c r="DZ41" s="326"/>
      <c r="EA41" s="330">
        <f>50-50</f>
        <v>0</v>
      </c>
      <c r="EB41" s="326"/>
      <c r="EC41" s="326"/>
      <c r="ED41" s="326"/>
      <c r="EE41" s="330">
        <f>50-50</f>
        <v>0</v>
      </c>
      <c r="EF41" s="326"/>
      <c r="EG41" s="326"/>
      <c r="EH41" s="326"/>
      <c r="EI41" s="326"/>
      <c r="EJ41" s="326"/>
      <c r="EK41" s="326"/>
      <c r="EL41" s="330">
        <f>100-100</f>
        <v>0</v>
      </c>
      <c r="EM41" s="330">
        <f>100-100</f>
        <v>0</v>
      </c>
      <c r="EN41" s="330">
        <f>50-50</f>
        <v>0</v>
      </c>
      <c r="EO41" s="330">
        <f>50-50</f>
        <v>0</v>
      </c>
      <c r="EP41" s="330">
        <f>100-100+20</f>
        <v>20</v>
      </c>
      <c r="EQ41" s="326"/>
      <c r="ER41" s="326"/>
      <c r="ES41" s="330">
        <f>100-100</f>
        <v>0</v>
      </c>
      <c r="ET41" s="330">
        <f>50-50</f>
        <v>0</v>
      </c>
      <c r="EU41" s="330">
        <f>100-100</f>
        <v>0</v>
      </c>
      <c r="EV41" s="330">
        <f>50-50</f>
        <v>0</v>
      </c>
      <c r="EW41" s="330">
        <f>50-50</f>
        <v>0</v>
      </c>
      <c r="EX41" s="330">
        <f>50-50</f>
        <v>0</v>
      </c>
      <c r="EY41" s="330">
        <f>50-50</f>
        <v>0</v>
      </c>
      <c r="EZ41" s="326"/>
      <c r="FA41" s="330">
        <f>50-50</f>
        <v>0</v>
      </c>
      <c r="FB41" s="326"/>
      <c r="FC41" s="326"/>
      <c r="FD41" s="330">
        <f>50-50</f>
        <v>0</v>
      </c>
      <c r="FE41" s="326"/>
      <c r="FF41" s="326"/>
      <c r="FG41" s="326"/>
      <c r="FH41" s="326"/>
      <c r="FI41" s="330">
        <f>100-100+10</f>
        <v>10</v>
      </c>
      <c r="FJ41" s="326"/>
      <c r="FK41" s="326"/>
      <c r="FL41" s="326"/>
      <c r="FM41" s="326"/>
      <c r="FN41" s="326"/>
      <c r="FO41" s="326"/>
      <c r="FP41" s="326"/>
      <c r="FQ41" s="326"/>
      <c r="FR41" s="326"/>
      <c r="FS41" s="326"/>
      <c r="FT41" s="326"/>
      <c r="FU41" s="326"/>
      <c r="FV41" s="326"/>
      <c r="FW41" s="326"/>
      <c r="FX41" s="326"/>
      <c r="FY41" s="326"/>
      <c r="FZ41" s="326"/>
      <c r="GA41" s="326"/>
      <c r="GB41" s="326"/>
      <c r="GC41" s="326"/>
      <c r="GD41" s="327" t="s">
        <v>850</v>
      </c>
      <c r="GE41" s="325" t="s">
        <v>887</v>
      </c>
      <c r="GF41" s="325" t="s">
        <v>522</v>
      </c>
      <c r="GG41" s="325" t="s">
        <v>850</v>
      </c>
      <c r="GH41" s="325" t="s">
        <v>908</v>
      </c>
      <c r="GI41" s="328">
        <f t="shared" si="8"/>
        <v>79</v>
      </c>
      <c r="GJ41" s="329" t="s">
        <v>906</v>
      </c>
    </row>
    <row r="42" spans="1:192" s="329" customFormat="1">
      <c r="A42" s="325" t="s">
        <v>540</v>
      </c>
      <c r="B42" s="325" t="s">
        <v>517</v>
      </c>
      <c r="C42" s="325" t="s">
        <v>555</v>
      </c>
      <c r="D42" s="325" t="s">
        <v>3</v>
      </c>
      <c r="E42" s="325" t="s">
        <v>909</v>
      </c>
      <c r="F42" s="325" t="s">
        <v>520</v>
      </c>
      <c r="G42" s="325"/>
      <c r="H42" s="326"/>
      <c r="I42" s="326"/>
      <c r="J42" s="326"/>
      <c r="K42" s="326"/>
      <c r="L42" s="326"/>
      <c r="M42" s="326"/>
      <c r="N42" s="326"/>
      <c r="O42" s="326"/>
      <c r="P42" s="326"/>
      <c r="Q42" s="326"/>
      <c r="R42" s="326"/>
      <c r="S42" s="326"/>
      <c r="T42" s="326"/>
      <c r="U42" s="326"/>
      <c r="V42" s="326"/>
      <c r="W42" s="326"/>
      <c r="X42" s="326"/>
      <c r="Y42" s="326"/>
      <c r="Z42" s="326"/>
      <c r="AA42" s="326"/>
      <c r="AB42" s="326"/>
      <c r="AC42" s="326"/>
      <c r="AD42" s="326"/>
      <c r="AE42" s="326"/>
      <c r="AF42" s="326"/>
      <c r="AG42" s="326"/>
      <c r="AH42" s="326"/>
      <c r="AI42" s="326"/>
      <c r="AJ42" s="326"/>
      <c r="AK42" s="326"/>
      <c r="AL42" s="326"/>
      <c r="AM42" s="326"/>
      <c r="AN42" s="326"/>
      <c r="AO42" s="326"/>
      <c r="AP42" s="326"/>
      <c r="AQ42" s="326"/>
      <c r="AR42" s="326"/>
      <c r="AS42" s="326"/>
      <c r="AT42" s="326"/>
      <c r="AU42" s="326"/>
      <c r="AV42" s="326"/>
      <c r="AW42" s="326"/>
      <c r="AX42" s="326"/>
      <c r="AY42" s="326"/>
      <c r="AZ42" s="326"/>
      <c r="BA42" s="326"/>
      <c r="BB42" s="326"/>
      <c r="BC42" s="326"/>
      <c r="BD42" s="326"/>
      <c r="BE42" s="326"/>
      <c r="BF42" s="326"/>
      <c r="BG42" s="326"/>
      <c r="BH42" s="326"/>
      <c r="BI42" s="326"/>
      <c r="BJ42" s="326"/>
      <c r="BK42" s="326"/>
      <c r="BL42" s="326"/>
      <c r="BM42" s="326"/>
      <c r="BN42" s="326"/>
      <c r="BO42" s="326"/>
      <c r="BP42" s="326"/>
      <c r="BQ42" s="326"/>
      <c r="BR42" s="326"/>
      <c r="BS42" s="326"/>
      <c r="BT42" s="326"/>
      <c r="BU42" s="326"/>
      <c r="BV42" s="326"/>
      <c r="BW42" s="326"/>
      <c r="BX42" s="326"/>
      <c r="BY42" s="326"/>
      <c r="BZ42" s="326"/>
      <c r="CA42" s="326"/>
      <c r="CB42" s="326"/>
      <c r="CC42" s="326"/>
      <c r="CD42" s="326"/>
      <c r="CE42" s="326"/>
      <c r="CF42" s="326"/>
      <c r="CG42" s="326"/>
      <c r="CH42" s="326"/>
      <c r="CI42" s="326"/>
      <c r="CJ42" s="326"/>
      <c r="CK42" s="326"/>
      <c r="CL42" s="326"/>
      <c r="CM42" s="326"/>
      <c r="CN42" s="326"/>
      <c r="CO42" s="326"/>
      <c r="CP42" s="326"/>
      <c r="CQ42" s="326"/>
      <c r="CR42" s="326"/>
      <c r="CS42" s="326"/>
      <c r="CT42" s="326"/>
      <c r="CU42" s="326"/>
      <c r="CV42" s="326"/>
      <c r="CW42" s="326"/>
      <c r="CX42" s="326"/>
      <c r="CY42" s="326"/>
      <c r="CZ42" s="326"/>
      <c r="DA42" s="326"/>
      <c r="DB42" s="326"/>
      <c r="DC42" s="326"/>
      <c r="DD42" s="326"/>
      <c r="DE42" s="326"/>
      <c r="DF42" s="326"/>
      <c r="DG42" s="326"/>
      <c r="DH42" s="326"/>
      <c r="DI42" s="326"/>
      <c r="DJ42" s="326"/>
      <c r="DK42" s="326"/>
      <c r="DL42" s="326"/>
      <c r="DM42" s="326"/>
      <c r="DN42" s="326"/>
      <c r="DO42" s="326"/>
      <c r="DP42" s="326"/>
      <c r="DQ42" s="326"/>
      <c r="DR42" s="326"/>
      <c r="DS42" s="326"/>
      <c r="DT42" s="326"/>
      <c r="DU42" s="326"/>
      <c r="DV42" s="326"/>
      <c r="DW42" s="326"/>
      <c r="DX42" s="326"/>
      <c r="DY42" s="326"/>
      <c r="DZ42" s="326"/>
      <c r="EA42" s="326"/>
      <c r="EB42" s="326"/>
      <c r="EC42" s="326"/>
      <c r="ED42" s="326"/>
      <c r="EE42" s="326"/>
      <c r="EF42" s="326"/>
      <c r="EG42" s="326"/>
      <c r="EH42" s="326"/>
      <c r="EI42" s="326"/>
      <c r="EJ42" s="326"/>
      <c r="EK42" s="326"/>
      <c r="EL42" s="326"/>
      <c r="EM42" s="326"/>
      <c r="EN42" s="326"/>
      <c r="EO42" s="326"/>
      <c r="EP42" s="326"/>
      <c r="EQ42" s="326"/>
      <c r="ER42" s="326"/>
      <c r="ES42" s="326"/>
      <c r="ET42" s="326"/>
      <c r="EU42" s="326"/>
      <c r="EV42" s="326"/>
      <c r="EW42" s="326"/>
      <c r="EX42" s="326"/>
      <c r="EY42" s="326"/>
      <c r="EZ42" s="326"/>
      <c r="FA42" s="326"/>
      <c r="FB42" s="326"/>
      <c r="FC42" s="326"/>
      <c r="FD42" s="326"/>
      <c r="FE42" s="326"/>
      <c r="FF42" s="326"/>
      <c r="FG42" s="326"/>
      <c r="FH42" s="326"/>
      <c r="FI42" s="326"/>
      <c r="FJ42" s="326"/>
      <c r="FK42" s="326"/>
      <c r="FL42" s="326"/>
      <c r="FM42" s="326"/>
      <c r="FN42" s="326"/>
      <c r="FO42" s="326"/>
      <c r="FP42" s="326"/>
      <c r="FQ42" s="326"/>
      <c r="FR42" s="326"/>
      <c r="FS42" s="326"/>
      <c r="FT42" s="326"/>
      <c r="FU42" s="326"/>
      <c r="FV42" s="326"/>
      <c r="FW42" s="326"/>
      <c r="FX42" s="326"/>
      <c r="FY42" s="326"/>
      <c r="FZ42" s="326"/>
      <c r="GA42" s="326"/>
      <c r="GB42" s="326"/>
      <c r="GC42" s="326"/>
      <c r="GD42" s="327"/>
      <c r="GE42" s="325" t="s">
        <v>887</v>
      </c>
      <c r="GF42" s="325" t="s">
        <v>522</v>
      </c>
      <c r="GG42" s="325" t="s">
        <v>850</v>
      </c>
      <c r="GH42" s="325" t="s">
        <v>908</v>
      </c>
      <c r="GI42" s="328">
        <f t="shared" si="8"/>
        <v>0</v>
      </c>
      <c r="GJ42" s="329" t="s">
        <v>906</v>
      </c>
    </row>
    <row r="43" spans="1:192" s="351" customFormat="1">
      <c r="A43" s="347" t="s">
        <v>526</v>
      </c>
      <c r="B43" s="347" t="s">
        <v>517</v>
      </c>
      <c r="C43" s="347" t="s">
        <v>555</v>
      </c>
      <c r="D43" s="347" t="s">
        <v>636</v>
      </c>
      <c r="E43" s="347" t="s">
        <v>806</v>
      </c>
      <c r="F43" s="347" t="s">
        <v>520</v>
      </c>
      <c r="G43" s="347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  <c r="AA43" s="348"/>
      <c r="AB43" s="348"/>
      <c r="AC43" s="348"/>
      <c r="AD43" s="348"/>
      <c r="AE43" s="348"/>
      <c r="AF43" s="348"/>
      <c r="AG43" s="348"/>
      <c r="AH43" s="348"/>
      <c r="AI43" s="348"/>
      <c r="AJ43" s="348"/>
      <c r="AK43" s="348"/>
      <c r="AL43" s="348"/>
      <c r="AM43" s="348"/>
      <c r="AN43" s="348"/>
      <c r="AO43" s="348"/>
      <c r="AP43" s="348"/>
      <c r="AQ43" s="348"/>
      <c r="AR43" s="348"/>
      <c r="AS43" s="348"/>
      <c r="AT43" s="348"/>
      <c r="AU43" s="348"/>
      <c r="AV43" s="348"/>
      <c r="AW43" s="348"/>
      <c r="AX43" s="348"/>
      <c r="AY43" s="348"/>
      <c r="AZ43" s="348"/>
      <c r="BA43" s="348"/>
      <c r="BB43" s="348"/>
      <c r="BC43" s="348"/>
      <c r="BD43" s="348"/>
      <c r="BE43" s="348"/>
      <c r="BF43" s="348"/>
      <c r="BG43" s="348"/>
      <c r="BH43" s="348"/>
      <c r="BI43" s="348"/>
      <c r="BJ43" s="348"/>
      <c r="BK43" s="348"/>
      <c r="BL43" s="348"/>
      <c r="BM43" s="348"/>
      <c r="BN43" s="348"/>
      <c r="BO43" s="348"/>
      <c r="BP43" s="348"/>
      <c r="BQ43" s="348"/>
      <c r="BR43" s="348"/>
      <c r="BS43" s="348"/>
      <c r="BT43" s="348"/>
      <c r="BU43" s="348"/>
      <c r="BV43" s="348"/>
      <c r="BW43" s="348"/>
      <c r="BX43" s="348"/>
      <c r="BY43" s="348"/>
      <c r="BZ43" s="348"/>
      <c r="CA43" s="348"/>
      <c r="CB43" s="348"/>
      <c r="CC43" s="348"/>
      <c r="CD43" s="348"/>
      <c r="CE43" s="348"/>
      <c r="CF43" s="348"/>
      <c r="CG43" s="348"/>
      <c r="CH43" s="348"/>
      <c r="CI43" s="348"/>
      <c r="CJ43" s="348"/>
      <c r="CK43" s="348"/>
      <c r="CL43" s="348"/>
      <c r="CM43" s="348"/>
      <c r="CN43" s="348"/>
      <c r="CO43" s="348"/>
      <c r="CP43" s="348"/>
      <c r="CQ43" s="348"/>
      <c r="CR43" s="348"/>
      <c r="CS43" s="348"/>
      <c r="CT43" s="348"/>
      <c r="CU43" s="348"/>
      <c r="CV43" s="348"/>
      <c r="CW43" s="348"/>
      <c r="CX43" s="348"/>
      <c r="CY43" s="348"/>
      <c r="CZ43" s="348"/>
      <c r="DA43" s="348"/>
      <c r="DB43" s="348"/>
      <c r="DC43" s="348"/>
      <c r="DD43" s="348"/>
      <c r="DE43" s="348"/>
      <c r="DF43" s="348"/>
      <c r="DG43" s="348"/>
      <c r="DH43" s="348"/>
      <c r="DI43" s="348"/>
      <c r="DJ43" s="348"/>
      <c r="DK43" s="348"/>
      <c r="DL43" s="348"/>
      <c r="DM43" s="348"/>
      <c r="DN43" s="348"/>
      <c r="DO43" s="348"/>
      <c r="DP43" s="348"/>
      <c r="DQ43" s="348"/>
      <c r="DR43" s="348"/>
      <c r="DS43" s="348"/>
      <c r="DT43" s="348"/>
      <c r="DU43" s="348"/>
      <c r="DV43" s="348"/>
      <c r="DW43" s="348"/>
      <c r="DX43" s="348"/>
      <c r="DY43" s="348"/>
      <c r="DZ43" s="348"/>
      <c r="EA43" s="348"/>
      <c r="EB43" s="348"/>
      <c r="EC43" s="348"/>
      <c r="ED43" s="348"/>
      <c r="EE43" s="348"/>
      <c r="EF43" s="348"/>
      <c r="EG43" s="348"/>
      <c r="EH43" s="348"/>
      <c r="EI43" s="348"/>
      <c r="EJ43" s="348"/>
      <c r="EK43" s="348"/>
      <c r="EL43" s="348"/>
      <c r="EM43" s="348"/>
      <c r="EN43" s="348"/>
      <c r="EO43" s="348"/>
      <c r="EP43" s="348"/>
      <c r="EQ43" s="348"/>
      <c r="ER43" s="348"/>
      <c r="ES43" s="348"/>
      <c r="ET43" s="348"/>
      <c r="EU43" s="348"/>
      <c r="EV43" s="348"/>
      <c r="EW43" s="348"/>
      <c r="EX43" s="348"/>
      <c r="EY43" s="348"/>
      <c r="EZ43" s="348"/>
      <c r="FA43" s="348"/>
      <c r="FB43" s="348"/>
      <c r="FC43" s="348"/>
      <c r="FD43" s="348"/>
      <c r="FE43" s="348"/>
      <c r="FF43" s="348"/>
      <c r="FG43" s="348"/>
      <c r="FH43" s="348"/>
      <c r="FI43" s="348"/>
      <c r="FJ43" s="348"/>
      <c r="FK43" s="348"/>
      <c r="FL43" s="348"/>
      <c r="FM43" s="348"/>
      <c r="FN43" s="348"/>
      <c r="FO43" s="348"/>
      <c r="FP43" s="348"/>
      <c r="FQ43" s="348"/>
      <c r="FR43" s="348"/>
      <c r="FS43" s="348"/>
      <c r="FT43" s="348"/>
      <c r="FU43" s="348"/>
      <c r="FV43" s="348"/>
      <c r="FW43" s="348"/>
      <c r="FX43" s="348"/>
      <c r="FY43" s="348"/>
      <c r="FZ43" s="348"/>
      <c r="GA43" s="348"/>
      <c r="GB43" s="348"/>
      <c r="GC43" s="348"/>
      <c r="GD43" s="349"/>
      <c r="GE43" s="347" t="s">
        <v>887</v>
      </c>
      <c r="GF43" s="347" t="s">
        <v>522</v>
      </c>
      <c r="GG43" s="347" t="s">
        <v>850</v>
      </c>
      <c r="GH43" s="347" t="s">
        <v>910</v>
      </c>
      <c r="GI43" s="350">
        <f t="shared" si="8"/>
        <v>0</v>
      </c>
      <c r="GJ43" s="351" t="s">
        <v>911</v>
      </c>
    </row>
    <row r="44" spans="1:192" s="351" customFormat="1">
      <c r="A44" s="347" t="s">
        <v>526</v>
      </c>
      <c r="B44" s="347" t="s">
        <v>517</v>
      </c>
      <c r="C44" s="347" t="s">
        <v>555</v>
      </c>
      <c r="D44" s="347" t="s">
        <v>633</v>
      </c>
      <c r="E44" s="347" t="s">
        <v>806</v>
      </c>
      <c r="F44" s="347" t="s">
        <v>520</v>
      </c>
      <c r="G44" s="347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  <c r="AA44" s="348"/>
      <c r="AB44" s="348"/>
      <c r="AC44" s="348"/>
      <c r="AD44" s="348"/>
      <c r="AE44" s="348"/>
      <c r="AF44" s="348"/>
      <c r="AG44" s="348"/>
      <c r="AH44" s="348"/>
      <c r="AI44" s="348"/>
      <c r="AJ44" s="348"/>
      <c r="AK44" s="348"/>
      <c r="AL44" s="348"/>
      <c r="AM44" s="348"/>
      <c r="AN44" s="348"/>
      <c r="AO44" s="348"/>
      <c r="AP44" s="348"/>
      <c r="AQ44" s="348"/>
      <c r="AR44" s="348"/>
      <c r="AS44" s="348"/>
      <c r="AT44" s="348"/>
      <c r="AU44" s="348"/>
      <c r="AV44" s="348"/>
      <c r="AW44" s="348"/>
      <c r="AX44" s="348"/>
      <c r="AY44" s="348"/>
      <c r="AZ44" s="348"/>
      <c r="BA44" s="348"/>
      <c r="BB44" s="348"/>
      <c r="BC44" s="352">
        <f>20-20</f>
        <v>0</v>
      </c>
      <c r="BD44" s="348"/>
      <c r="BE44" s="348"/>
      <c r="BF44" s="348"/>
      <c r="BG44" s="348"/>
      <c r="BH44" s="348"/>
      <c r="BI44" s="348"/>
      <c r="BJ44" s="348"/>
      <c r="BK44" s="348"/>
      <c r="BL44" s="348"/>
      <c r="BM44" s="348"/>
      <c r="BN44" s="348"/>
      <c r="BO44" s="348"/>
      <c r="BP44" s="348"/>
      <c r="BQ44" s="348"/>
      <c r="BR44" s="348"/>
      <c r="BS44" s="348"/>
      <c r="BT44" s="348"/>
      <c r="BU44" s="348"/>
      <c r="BV44" s="348"/>
      <c r="BW44" s="348"/>
      <c r="BX44" s="348"/>
      <c r="BY44" s="348"/>
      <c r="BZ44" s="348"/>
      <c r="CA44" s="348"/>
      <c r="CB44" s="348"/>
      <c r="CC44" s="348"/>
      <c r="CD44" s="348"/>
      <c r="CE44" s="348"/>
      <c r="CF44" s="348"/>
      <c r="CG44" s="348"/>
      <c r="CH44" s="348"/>
      <c r="CI44" s="348"/>
      <c r="CJ44" s="348"/>
      <c r="CK44" s="348"/>
      <c r="CL44" s="348"/>
      <c r="CM44" s="348"/>
      <c r="CN44" s="348"/>
      <c r="CO44" s="348"/>
      <c r="CP44" s="348"/>
      <c r="CQ44" s="348"/>
      <c r="CR44" s="348"/>
      <c r="CS44" s="348"/>
      <c r="CT44" s="348"/>
      <c r="CU44" s="348"/>
      <c r="CV44" s="348"/>
      <c r="CW44" s="348"/>
      <c r="CX44" s="348"/>
      <c r="CY44" s="348"/>
      <c r="CZ44" s="348"/>
      <c r="DA44" s="348"/>
      <c r="DB44" s="348"/>
      <c r="DC44" s="348"/>
      <c r="DD44" s="348"/>
      <c r="DE44" s="348"/>
      <c r="DF44" s="348"/>
      <c r="DG44" s="348"/>
      <c r="DH44" s="348"/>
      <c r="DI44" s="348"/>
      <c r="DJ44" s="348"/>
      <c r="DK44" s="348"/>
      <c r="DL44" s="348"/>
      <c r="DM44" s="348"/>
      <c r="DN44" s="348"/>
      <c r="DO44" s="348"/>
      <c r="DP44" s="348"/>
      <c r="DQ44" s="348"/>
      <c r="DR44" s="348"/>
      <c r="DS44" s="348"/>
      <c r="DT44" s="348"/>
      <c r="DU44" s="348"/>
      <c r="DV44" s="348"/>
      <c r="DW44" s="348"/>
      <c r="DX44" s="348"/>
      <c r="DY44" s="348"/>
      <c r="DZ44" s="348"/>
      <c r="EA44" s="348"/>
      <c r="EB44" s="348"/>
      <c r="EC44" s="348"/>
      <c r="ED44" s="348"/>
      <c r="EE44" s="348"/>
      <c r="EF44" s="348"/>
      <c r="EG44" s="348"/>
      <c r="EH44" s="348"/>
      <c r="EI44" s="348"/>
      <c r="EJ44" s="348"/>
      <c r="EK44" s="348"/>
      <c r="EL44" s="348"/>
      <c r="EM44" s="348"/>
      <c r="EN44" s="348"/>
      <c r="EO44" s="348"/>
      <c r="EP44" s="348"/>
      <c r="EQ44" s="348"/>
      <c r="ER44" s="348"/>
      <c r="ES44" s="348"/>
      <c r="ET44" s="348"/>
      <c r="EU44" s="348"/>
      <c r="EV44" s="348"/>
      <c r="EW44" s="348"/>
      <c r="EX44" s="348"/>
      <c r="EY44" s="348"/>
      <c r="EZ44" s="348"/>
      <c r="FA44" s="348"/>
      <c r="FB44" s="348"/>
      <c r="FC44" s="348"/>
      <c r="FD44" s="348"/>
      <c r="FE44" s="348"/>
      <c r="FF44" s="348"/>
      <c r="FG44" s="348"/>
      <c r="FH44" s="348"/>
      <c r="FI44" s="348"/>
      <c r="FJ44" s="348"/>
      <c r="FK44" s="348"/>
      <c r="FL44" s="348"/>
      <c r="FM44" s="348"/>
      <c r="FN44" s="348"/>
      <c r="FO44" s="348"/>
      <c r="FP44" s="348"/>
      <c r="FQ44" s="348"/>
      <c r="FR44" s="348"/>
      <c r="FS44" s="348"/>
      <c r="FT44" s="348"/>
      <c r="FU44" s="348"/>
      <c r="FV44" s="348"/>
      <c r="FW44" s="348"/>
      <c r="FX44" s="348"/>
      <c r="FY44" s="348"/>
      <c r="FZ44" s="348"/>
      <c r="GA44" s="348"/>
      <c r="GB44" s="348"/>
      <c r="GC44" s="348"/>
      <c r="GD44" s="349" t="s">
        <v>850</v>
      </c>
      <c r="GE44" s="347" t="s">
        <v>887</v>
      </c>
      <c r="GF44" s="347" t="s">
        <v>522</v>
      </c>
      <c r="GG44" s="347" t="s">
        <v>850</v>
      </c>
      <c r="GH44" s="347" t="s">
        <v>910</v>
      </c>
      <c r="GI44" s="350">
        <f t="shared" si="8"/>
        <v>0</v>
      </c>
      <c r="GJ44" s="351" t="s">
        <v>911</v>
      </c>
    </row>
    <row r="45" spans="1:192" s="351" customFormat="1">
      <c r="A45" s="347" t="s">
        <v>526</v>
      </c>
      <c r="B45" s="347" t="s">
        <v>517</v>
      </c>
      <c r="C45" s="347" t="s">
        <v>555</v>
      </c>
      <c r="D45" s="347" t="s">
        <v>3</v>
      </c>
      <c r="E45" s="347" t="s">
        <v>806</v>
      </c>
      <c r="F45" s="347" t="s">
        <v>520</v>
      </c>
      <c r="G45" s="347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  <c r="AA45" s="348"/>
      <c r="AB45" s="348"/>
      <c r="AC45" s="348"/>
      <c r="AD45" s="348"/>
      <c r="AE45" s="348"/>
      <c r="AF45" s="348"/>
      <c r="AG45" s="348"/>
      <c r="AH45" s="348"/>
      <c r="AI45" s="348"/>
      <c r="AJ45" s="348"/>
      <c r="AK45" s="348"/>
      <c r="AL45" s="348"/>
      <c r="AM45" s="348"/>
      <c r="AN45" s="348"/>
      <c r="AO45" s="348"/>
      <c r="AP45" s="348"/>
      <c r="AQ45" s="348"/>
      <c r="AR45" s="348"/>
      <c r="AS45" s="348"/>
      <c r="AT45" s="348"/>
      <c r="AU45" s="348"/>
      <c r="AV45" s="348"/>
      <c r="AW45" s="348"/>
      <c r="AX45" s="348"/>
      <c r="AY45" s="348"/>
      <c r="AZ45" s="348"/>
      <c r="BA45" s="348"/>
      <c r="BB45" s="348"/>
      <c r="BC45" s="348"/>
      <c r="BD45" s="348"/>
      <c r="BE45" s="348"/>
      <c r="BF45" s="348"/>
      <c r="BG45" s="348"/>
      <c r="BH45" s="348"/>
      <c r="BI45" s="348"/>
      <c r="BJ45" s="348"/>
      <c r="BK45" s="348"/>
      <c r="BL45" s="348"/>
      <c r="BM45" s="348"/>
      <c r="BN45" s="348"/>
      <c r="BO45" s="348"/>
      <c r="BP45" s="348"/>
      <c r="BQ45" s="348"/>
      <c r="BR45" s="348"/>
      <c r="BS45" s="348"/>
      <c r="BT45" s="348"/>
      <c r="BU45" s="348"/>
      <c r="BV45" s="348"/>
      <c r="BW45" s="348"/>
      <c r="BX45" s="348"/>
      <c r="BY45" s="348"/>
      <c r="BZ45" s="348"/>
      <c r="CA45" s="348"/>
      <c r="CB45" s="348"/>
      <c r="CC45" s="348"/>
      <c r="CD45" s="348"/>
      <c r="CE45" s="348"/>
      <c r="CF45" s="348"/>
      <c r="CG45" s="348"/>
      <c r="CH45" s="348"/>
      <c r="CI45" s="348"/>
      <c r="CJ45" s="348"/>
      <c r="CK45" s="348"/>
      <c r="CL45" s="348"/>
      <c r="CM45" s="348"/>
      <c r="CN45" s="348"/>
      <c r="CO45" s="348"/>
      <c r="CP45" s="348"/>
      <c r="CQ45" s="348"/>
      <c r="CR45" s="348"/>
      <c r="CS45" s="348"/>
      <c r="CT45" s="348"/>
      <c r="CU45" s="348"/>
      <c r="CV45" s="348"/>
      <c r="CW45" s="348"/>
      <c r="CX45" s="348"/>
      <c r="CY45" s="348"/>
      <c r="CZ45" s="348"/>
      <c r="DA45" s="348"/>
      <c r="DB45" s="348"/>
      <c r="DC45" s="348"/>
      <c r="DD45" s="348"/>
      <c r="DE45" s="348"/>
      <c r="DF45" s="348"/>
      <c r="DG45" s="348"/>
      <c r="DH45" s="348"/>
      <c r="DI45" s="348"/>
      <c r="DJ45" s="348"/>
      <c r="DK45" s="348"/>
      <c r="DL45" s="348"/>
      <c r="DM45" s="348"/>
      <c r="DN45" s="348"/>
      <c r="DO45" s="348"/>
      <c r="DP45" s="348"/>
      <c r="DQ45" s="348"/>
      <c r="DR45" s="348"/>
      <c r="DS45" s="348"/>
      <c r="DT45" s="348"/>
      <c r="DU45" s="348"/>
      <c r="DV45" s="348"/>
      <c r="DW45" s="348"/>
      <c r="DX45" s="348"/>
      <c r="DY45" s="348"/>
      <c r="DZ45" s="348"/>
      <c r="EA45" s="348"/>
      <c r="EB45" s="348"/>
      <c r="EC45" s="348"/>
      <c r="ED45" s="348"/>
      <c r="EE45" s="348"/>
      <c r="EF45" s="348"/>
      <c r="EG45" s="348"/>
      <c r="EH45" s="348"/>
      <c r="EI45" s="348"/>
      <c r="EJ45" s="348"/>
      <c r="EK45" s="348"/>
      <c r="EL45" s="348"/>
      <c r="EM45" s="348"/>
      <c r="EN45" s="348"/>
      <c r="EO45" s="348"/>
      <c r="EP45" s="348"/>
      <c r="EQ45" s="348"/>
      <c r="ER45" s="348"/>
      <c r="ES45" s="348"/>
      <c r="ET45" s="348"/>
      <c r="EU45" s="348"/>
      <c r="EV45" s="348"/>
      <c r="EW45" s="348"/>
      <c r="EX45" s="348"/>
      <c r="EY45" s="348"/>
      <c r="EZ45" s="348"/>
      <c r="FA45" s="348"/>
      <c r="FB45" s="348"/>
      <c r="FC45" s="348"/>
      <c r="FD45" s="348"/>
      <c r="FE45" s="348"/>
      <c r="FF45" s="348"/>
      <c r="FG45" s="348"/>
      <c r="FH45" s="348"/>
      <c r="FI45" s="348"/>
      <c r="FJ45" s="348"/>
      <c r="FK45" s="348"/>
      <c r="FL45" s="348"/>
      <c r="FM45" s="348"/>
      <c r="FN45" s="348"/>
      <c r="FO45" s="348"/>
      <c r="FP45" s="348"/>
      <c r="FQ45" s="348"/>
      <c r="FR45" s="348"/>
      <c r="FS45" s="348"/>
      <c r="FT45" s="348"/>
      <c r="FU45" s="348"/>
      <c r="FV45" s="348"/>
      <c r="FW45" s="348"/>
      <c r="FX45" s="348"/>
      <c r="FY45" s="348"/>
      <c r="FZ45" s="348"/>
      <c r="GA45" s="348"/>
      <c r="GB45" s="348"/>
      <c r="GC45" s="348"/>
      <c r="GD45" s="349"/>
      <c r="GE45" s="347" t="s">
        <v>887</v>
      </c>
      <c r="GF45" s="347" t="s">
        <v>522</v>
      </c>
      <c r="GG45" s="347" t="s">
        <v>850</v>
      </c>
      <c r="GH45" s="347" t="s">
        <v>910</v>
      </c>
      <c r="GI45" s="350">
        <f t="shared" si="8"/>
        <v>0</v>
      </c>
      <c r="GJ45" s="351" t="s">
        <v>911</v>
      </c>
    </row>
    <row r="46" spans="1:192" s="329" customFormat="1">
      <c r="A46" s="325" t="s">
        <v>526</v>
      </c>
      <c r="B46" s="325" t="s">
        <v>517</v>
      </c>
      <c r="C46" s="325" t="s">
        <v>555</v>
      </c>
      <c r="D46" s="325" t="s">
        <v>636</v>
      </c>
      <c r="E46" s="325" t="s">
        <v>569</v>
      </c>
      <c r="F46" s="325" t="s">
        <v>520</v>
      </c>
      <c r="G46" s="325" t="s">
        <v>912</v>
      </c>
      <c r="H46" s="326"/>
      <c r="I46" s="326"/>
      <c r="J46" s="326"/>
      <c r="K46" s="326"/>
      <c r="L46" s="326"/>
      <c r="M46" s="326"/>
      <c r="N46" s="326"/>
      <c r="O46" s="326"/>
      <c r="P46" s="326"/>
      <c r="Q46" s="326"/>
      <c r="R46" s="326"/>
      <c r="S46" s="326"/>
      <c r="T46" s="326"/>
      <c r="U46" s="326"/>
      <c r="V46" s="326"/>
      <c r="W46" s="326"/>
      <c r="X46" s="326"/>
      <c r="Y46" s="326"/>
      <c r="Z46" s="326"/>
      <c r="AA46" s="326"/>
      <c r="AB46" s="326"/>
      <c r="AC46" s="326"/>
      <c r="AD46" s="326"/>
      <c r="AE46" s="326"/>
      <c r="AF46" s="326"/>
      <c r="AG46" s="326"/>
      <c r="AH46" s="326"/>
      <c r="AI46" s="326"/>
      <c r="AJ46" s="326"/>
      <c r="AK46" s="326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/>
      <c r="BN46" s="326"/>
      <c r="BO46" s="326"/>
      <c r="BP46" s="326"/>
      <c r="BQ46" s="326"/>
      <c r="BR46" s="326"/>
      <c r="BS46" s="326"/>
      <c r="BT46" s="326"/>
      <c r="BU46" s="326"/>
      <c r="BV46" s="326"/>
      <c r="BW46" s="326"/>
      <c r="BX46" s="326"/>
      <c r="BY46" s="326"/>
      <c r="BZ46" s="326"/>
      <c r="CA46" s="326"/>
      <c r="CB46" s="326"/>
      <c r="CC46" s="326"/>
      <c r="CD46" s="326"/>
      <c r="CE46" s="326"/>
      <c r="CF46" s="326"/>
      <c r="CG46" s="326"/>
      <c r="CH46" s="326"/>
      <c r="CI46" s="326"/>
      <c r="CJ46" s="326"/>
      <c r="CK46" s="326"/>
      <c r="CL46" s="326"/>
      <c r="CM46" s="326"/>
      <c r="CN46" s="326"/>
      <c r="CO46" s="326"/>
      <c r="CP46" s="326"/>
      <c r="CQ46" s="326"/>
      <c r="CR46" s="326"/>
      <c r="CS46" s="326"/>
      <c r="CT46" s="326"/>
      <c r="CU46" s="326"/>
      <c r="CV46" s="326"/>
      <c r="CW46" s="326"/>
      <c r="CX46" s="326"/>
      <c r="CY46" s="326"/>
      <c r="CZ46" s="326"/>
      <c r="DA46" s="326"/>
      <c r="DB46" s="326"/>
      <c r="DC46" s="326"/>
      <c r="DD46" s="326"/>
      <c r="DE46" s="326"/>
      <c r="DF46" s="326"/>
      <c r="DG46" s="326"/>
      <c r="DH46" s="326"/>
      <c r="DI46" s="326"/>
      <c r="DJ46" s="326"/>
      <c r="DK46" s="326"/>
      <c r="DL46" s="326"/>
      <c r="DM46" s="326"/>
      <c r="DN46" s="326"/>
      <c r="DO46" s="326"/>
      <c r="DP46" s="326"/>
      <c r="DQ46" s="326"/>
      <c r="DR46" s="326"/>
      <c r="DS46" s="326"/>
      <c r="DT46" s="326"/>
      <c r="DU46" s="326"/>
      <c r="DV46" s="326"/>
      <c r="DW46" s="326"/>
      <c r="DX46" s="326"/>
      <c r="DY46" s="326"/>
      <c r="DZ46" s="326"/>
      <c r="EA46" s="326"/>
      <c r="EB46" s="326"/>
      <c r="EC46" s="326"/>
      <c r="ED46" s="326"/>
      <c r="EE46" s="326"/>
      <c r="EF46" s="326"/>
      <c r="EG46" s="326"/>
      <c r="EH46" s="326"/>
      <c r="EI46" s="326"/>
      <c r="EJ46" s="326"/>
      <c r="EK46" s="326"/>
      <c r="EL46" s="326"/>
      <c r="EM46" s="326"/>
      <c r="EN46" s="332">
        <v>10</v>
      </c>
      <c r="EO46" s="326"/>
      <c r="EP46" s="326"/>
      <c r="EQ46" s="326"/>
      <c r="ER46" s="326"/>
      <c r="ES46" s="326"/>
      <c r="ET46" s="326"/>
      <c r="EU46" s="326"/>
      <c r="EV46" s="326"/>
      <c r="EW46" s="326"/>
      <c r="EX46" s="326"/>
      <c r="EY46" s="326"/>
      <c r="EZ46" s="326"/>
      <c r="FA46" s="326"/>
      <c r="FB46" s="326"/>
      <c r="FC46" s="326"/>
      <c r="FD46" s="326"/>
      <c r="FE46" s="326"/>
      <c r="FF46" s="326"/>
      <c r="FG46" s="326"/>
      <c r="FH46" s="326"/>
      <c r="FI46" s="326"/>
      <c r="FJ46" s="326"/>
      <c r="FK46" s="326"/>
      <c r="FL46" s="326"/>
      <c r="FM46" s="326"/>
      <c r="FN46" s="326"/>
      <c r="FO46" s="326"/>
      <c r="FP46" s="326"/>
      <c r="FQ46" s="326"/>
      <c r="FR46" s="326"/>
      <c r="FS46" s="326"/>
      <c r="FT46" s="326"/>
      <c r="FU46" s="326"/>
      <c r="FV46" s="326"/>
      <c r="FW46" s="326"/>
      <c r="FX46" s="326"/>
      <c r="FY46" s="326"/>
      <c r="FZ46" s="326"/>
      <c r="GA46" s="326"/>
      <c r="GB46" s="326"/>
      <c r="GC46" s="326"/>
      <c r="GD46" s="327"/>
      <c r="GE46" s="325" t="s">
        <v>887</v>
      </c>
      <c r="GF46" s="325" t="s">
        <v>522</v>
      </c>
      <c r="GG46" s="325" t="s">
        <v>571</v>
      </c>
      <c r="GH46" s="325" t="s">
        <v>572</v>
      </c>
      <c r="GI46" s="328">
        <f t="shared" si="8"/>
        <v>10</v>
      </c>
      <c r="GJ46" s="329" t="s">
        <v>913</v>
      </c>
    </row>
    <row r="47" spans="1:192" s="329" customFormat="1">
      <c r="A47" s="325" t="s">
        <v>526</v>
      </c>
      <c r="B47" s="325" t="s">
        <v>517</v>
      </c>
      <c r="C47" s="325" t="s">
        <v>555</v>
      </c>
      <c r="D47" s="325" t="s">
        <v>633</v>
      </c>
      <c r="E47" s="325" t="s">
        <v>569</v>
      </c>
      <c r="F47" s="325" t="s">
        <v>520</v>
      </c>
      <c r="G47" s="325" t="s">
        <v>912</v>
      </c>
      <c r="H47" s="326"/>
      <c r="I47" s="326"/>
      <c r="J47" s="326"/>
      <c r="K47" s="326"/>
      <c r="L47" s="326"/>
      <c r="M47" s="326"/>
      <c r="N47" s="326"/>
      <c r="O47" s="326"/>
      <c r="P47" s="326"/>
      <c r="Q47" s="326"/>
      <c r="R47" s="326"/>
      <c r="S47" s="326"/>
      <c r="T47" s="326"/>
      <c r="U47" s="326"/>
      <c r="V47" s="326"/>
      <c r="W47" s="326"/>
      <c r="X47" s="326"/>
      <c r="Y47" s="326"/>
      <c r="Z47" s="326"/>
      <c r="AA47" s="326"/>
      <c r="AB47" s="326"/>
      <c r="AC47" s="326"/>
      <c r="AD47" s="326"/>
      <c r="AE47" s="326"/>
      <c r="AF47" s="326"/>
      <c r="AG47" s="326"/>
      <c r="AH47" s="326"/>
      <c r="AI47" s="326"/>
      <c r="AJ47" s="326"/>
      <c r="AK47" s="326"/>
      <c r="AL47" s="326"/>
      <c r="AM47" s="326"/>
      <c r="AN47" s="326"/>
      <c r="AO47" s="326"/>
      <c r="AP47" s="326"/>
      <c r="AQ47" s="326"/>
      <c r="AR47" s="326"/>
      <c r="AS47" s="326"/>
      <c r="AT47" s="326"/>
      <c r="AU47" s="326"/>
      <c r="AV47" s="326"/>
      <c r="AW47" s="326"/>
      <c r="AX47" s="326"/>
      <c r="AY47" s="326"/>
      <c r="AZ47" s="326"/>
      <c r="BA47" s="326"/>
      <c r="BB47" s="326"/>
      <c r="BC47" s="326"/>
      <c r="BD47" s="326"/>
      <c r="BE47" s="326"/>
      <c r="BF47" s="326"/>
      <c r="BG47" s="326"/>
      <c r="BH47" s="326"/>
      <c r="BI47" s="326"/>
      <c r="BJ47" s="326"/>
      <c r="BK47" s="326"/>
      <c r="BL47" s="326"/>
      <c r="BM47" s="326"/>
      <c r="BN47" s="326"/>
      <c r="BO47" s="330">
        <f>10-10</f>
        <v>0</v>
      </c>
      <c r="BP47" s="326"/>
      <c r="BQ47" s="330">
        <f>10-10+5</f>
        <v>5</v>
      </c>
      <c r="BR47" s="326"/>
      <c r="BS47" s="330">
        <f>10-10+2</f>
        <v>2</v>
      </c>
      <c r="BT47" s="326"/>
      <c r="BU47" s="326"/>
      <c r="BV47" s="326"/>
      <c r="BW47" s="326"/>
      <c r="BX47" s="326"/>
      <c r="BY47" s="326"/>
      <c r="BZ47" s="326"/>
      <c r="CA47" s="326"/>
      <c r="CB47" s="326"/>
      <c r="CC47" s="330">
        <f>20-20+1</f>
        <v>1</v>
      </c>
      <c r="CD47" s="326"/>
      <c r="CE47" s="326"/>
      <c r="CF47" s="326"/>
      <c r="CG47" s="326"/>
      <c r="CH47" s="326"/>
      <c r="CI47" s="326"/>
      <c r="CJ47" s="326"/>
      <c r="CK47" s="326"/>
      <c r="CL47" s="330">
        <f>20-20+1</f>
        <v>1</v>
      </c>
      <c r="CM47" s="330">
        <f>20-20+1</f>
        <v>1</v>
      </c>
      <c r="CN47" s="330">
        <f>5-5</f>
        <v>0</v>
      </c>
      <c r="CO47" s="326"/>
      <c r="CP47" s="326"/>
      <c r="CQ47" s="330">
        <f>20-20+2</f>
        <v>2</v>
      </c>
      <c r="CR47" s="330">
        <f>20-20+5</f>
        <v>5</v>
      </c>
      <c r="CS47" s="330">
        <f>10-10+2</f>
        <v>2</v>
      </c>
      <c r="CT47" s="330">
        <f>20-20</f>
        <v>0</v>
      </c>
      <c r="CU47" s="326"/>
      <c r="CV47" s="326"/>
      <c r="CW47" s="330">
        <f>20-20</f>
        <v>0</v>
      </c>
      <c r="CX47" s="326"/>
      <c r="CY47" s="326"/>
      <c r="CZ47" s="326"/>
      <c r="DA47" s="326"/>
      <c r="DB47" s="326"/>
      <c r="DC47" s="326"/>
      <c r="DD47" s="326"/>
      <c r="DE47" s="326"/>
      <c r="DF47" s="326"/>
      <c r="DG47" s="326"/>
      <c r="DH47" s="326"/>
      <c r="DI47" s="330">
        <f>30-30</f>
        <v>0</v>
      </c>
      <c r="DJ47" s="330">
        <f>30-30+5</f>
        <v>5</v>
      </c>
      <c r="DK47" s="326"/>
      <c r="DL47" s="330">
        <f>20-20+2</f>
        <v>2</v>
      </c>
      <c r="DM47" s="326"/>
      <c r="DN47" s="326"/>
      <c r="DO47" s="326"/>
      <c r="DP47" s="326"/>
      <c r="DQ47" s="326"/>
      <c r="DR47" s="326"/>
      <c r="DS47" s="326"/>
      <c r="DT47" s="326"/>
      <c r="DU47" s="326"/>
      <c r="DV47" s="326"/>
      <c r="DW47" s="326"/>
      <c r="DX47" s="326"/>
      <c r="DY47" s="326"/>
      <c r="DZ47" s="326"/>
      <c r="EA47" s="326"/>
      <c r="EB47" s="326"/>
      <c r="EC47" s="326"/>
      <c r="ED47" s="330">
        <f>100-100</f>
        <v>0</v>
      </c>
      <c r="EE47" s="326"/>
      <c r="EF47" s="326"/>
      <c r="EG47" s="326"/>
      <c r="EH47" s="326"/>
      <c r="EI47" s="326"/>
      <c r="EJ47" s="326"/>
      <c r="EK47" s="326"/>
      <c r="EL47" s="330">
        <f>100-100</f>
        <v>0</v>
      </c>
      <c r="EM47" s="330">
        <f>100-100</f>
        <v>0</v>
      </c>
      <c r="EN47" s="330">
        <f>100-100</f>
        <v>0</v>
      </c>
      <c r="EO47" s="326"/>
      <c r="EP47" s="326"/>
      <c r="EQ47" s="326"/>
      <c r="ER47" s="326"/>
      <c r="ES47" s="326"/>
      <c r="ET47" s="326"/>
      <c r="EU47" s="326"/>
      <c r="EV47" s="326"/>
      <c r="EW47" s="326"/>
      <c r="EX47" s="326"/>
      <c r="EY47" s="330">
        <f>400-400</f>
        <v>0</v>
      </c>
      <c r="EZ47" s="326"/>
      <c r="FA47" s="326"/>
      <c r="FB47" s="326"/>
      <c r="FC47" s="326"/>
      <c r="FD47" s="326"/>
      <c r="FE47" s="326"/>
      <c r="FF47" s="326"/>
      <c r="FG47" s="326"/>
      <c r="FH47" s="326"/>
      <c r="FI47" s="326"/>
      <c r="FJ47" s="326"/>
      <c r="FK47" s="326"/>
      <c r="FL47" s="326"/>
      <c r="FM47" s="326"/>
      <c r="FN47" s="326"/>
      <c r="FO47" s="326"/>
      <c r="FP47" s="326"/>
      <c r="FQ47" s="326"/>
      <c r="FR47" s="326"/>
      <c r="FS47" s="326"/>
      <c r="FT47" s="326"/>
      <c r="FU47" s="326"/>
      <c r="FV47" s="326"/>
      <c r="FW47" s="326"/>
      <c r="FX47" s="326"/>
      <c r="FY47" s="326"/>
      <c r="FZ47" s="326"/>
      <c r="GA47" s="326"/>
      <c r="GB47" s="326"/>
      <c r="GC47" s="326"/>
      <c r="GD47" s="327" t="s">
        <v>850</v>
      </c>
      <c r="GE47" s="325" t="s">
        <v>887</v>
      </c>
      <c r="GF47" s="325" t="s">
        <v>522</v>
      </c>
      <c r="GG47" s="325" t="s">
        <v>571</v>
      </c>
      <c r="GH47" s="325" t="s">
        <v>572</v>
      </c>
      <c r="GI47" s="328">
        <f t="shared" si="8"/>
        <v>26</v>
      </c>
      <c r="GJ47" s="329" t="s">
        <v>913</v>
      </c>
    </row>
    <row r="48" spans="1:192" s="329" customFormat="1">
      <c r="A48" s="325" t="s">
        <v>526</v>
      </c>
      <c r="B48" s="325" t="s">
        <v>517</v>
      </c>
      <c r="C48" s="325" t="s">
        <v>555</v>
      </c>
      <c r="D48" s="325" t="s">
        <v>3</v>
      </c>
      <c r="E48" s="325" t="s">
        <v>569</v>
      </c>
      <c r="F48" s="325" t="s">
        <v>520</v>
      </c>
      <c r="G48" s="325" t="s">
        <v>914</v>
      </c>
      <c r="H48" s="326"/>
      <c r="I48" s="326"/>
      <c r="J48" s="326"/>
      <c r="K48" s="326"/>
      <c r="L48" s="326"/>
      <c r="M48" s="326"/>
      <c r="N48" s="326"/>
      <c r="O48" s="326"/>
      <c r="P48" s="326"/>
      <c r="Q48" s="326"/>
      <c r="R48" s="326"/>
      <c r="S48" s="326"/>
      <c r="T48" s="326"/>
      <c r="U48" s="326"/>
      <c r="V48" s="326"/>
      <c r="W48" s="326"/>
      <c r="X48" s="326"/>
      <c r="Y48" s="326"/>
      <c r="Z48" s="326"/>
      <c r="AA48" s="326"/>
      <c r="AB48" s="326"/>
      <c r="AC48" s="326"/>
      <c r="AD48" s="326"/>
      <c r="AE48" s="326"/>
      <c r="AF48" s="326"/>
      <c r="AG48" s="326"/>
      <c r="AH48" s="326"/>
      <c r="AI48" s="326"/>
      <c r="AJ48" s="326"/>
      <c r="AK48" s="326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/>
      <c r="BC48" s="326"/>
      <c r="BD48" s="326"/>
      <c r="BE48" s="326"/>
      <c r="BF48" s="326"/>
      <c r="BG48" s="326"/>
      <c r="BH48" s="326"/>
      <c r="BI48" s="326"/>
      <c r="BJ48" s="326"/>
      <c r="BK48" s="326"/>
      <c r="BL48" s="326"/>
      <c r="BM48" s="326"/>
      <c r="BN48" s="326"/>
      <c r="BO48" s="326"/>
      <c r="BP48" s="326"/>
      <c r="BQ48" s="326"/>
      <c r="BR48" s="326"/>
      <c r="BS48" s="326"/>
      <c r="BT48" s="326"/>
      <c r="BU48" s="326"/>
      <c r="BV48" s="326"/>
      <c r="BW48" s="326"/>
      <c r="BX48" s="326"/>
      <c r="BY48" s="326"/>
      <c r="BZ48" s="326"/>
      <c r="CA48" s="326"/>
      <c r="CB48" s="326"/>
      <c r="CC48" s="326"/>
      <c r="CD48" s="326"/>
      <c r="CE48" s="326"/>
      <c r="CF48" s="326"/>
      <c r="CG48" s="326"/>
      <c r="CH48" s="326"/>
      <c r="CI48" s="326"/>
      <c r="CJ48" s="326"/>
      <c r="CK48" s="326"/>
      <c r="CL48" s="326"/>
      <c r="CM48" s="326"/>
      <c r="CN48" s="326"/>
      <c r="CO48" s="326"/>
      <c r="CP48" s="326"/>
      <c r="CQ48" s="326"/>
      <c r="CR48" s="326"/>
      <c r="CS48" s="326"/>
      <c r="CT48" s="326"/>
      <c r="CU48" s="326"/>
      <c r="CV48" s="326"/>
      <c r="CW48" s="326"/>
      <c r="CX48" s="326"/>
      <c r="CY48" s="326"/>
      <c r="CZ48" s="326"/>
      <c r="DA48" s="326"/>
      <c r="DB48" s="326"/>
      <c r="DC48" s="326"/>
      <c r="DD48" s="326"/>
      <c r="DE48" s="326"/>
      <c r="DF48" s="326"/>
      <c r="DG48" s="326"/>
      <c r="DH48" s="326"/>
      <c r="DI48" s="326"/>
      <c r="DJ48" s="326"/>
      <c r="DK48" s="326"/>
      <c r="DL48" s="326"/>
      <c r="DM48" s="326"/>
      <c r="DN48" s="326"/>
      <c r="DO48" s="326"/>
      <c r="DP48" s="326"/>
      <c r="DQ48" s="326"/>
      <c r="DR48" s="326"/>
      <c r="DS48" s="326"/>
      <c r="DT48" s="326"/>
      <c r="DU48" s="326"/>
      <c r="DV48" s="326"/>
      <c r="DW48" s="326"/>
      <c r="DX48" s="326"/>
      <c r="DY48" s="326"/>
      <c r="DZ48" s="326"/>
      <c r="EA48" s="326"/>
      <c r="EB48" s="326"/>
      <c r="EC48" s="326"/>
      <c r="ED48" s="326"/>
      <c r="EE48" s="326"/>
      <c r="EF48" s="326"/>
      <c r="EG48" s="326"/>
      <c r="EH48" s="326"/>
      <c r="EI48" s="326"/>
      <c r="EJ48" s="326"/>
      <c r="EK48" s="326"/>
      <c r="EL48" s="326"/>
      <c r="EM48" s="326"/>
      <c r="EN48" s="326"/>
      <c r="EO48" s="326"/>
      <c r="EP48" s="326"/>
      <c r="EQ48" s="326"/>
      <c r="ER48" s="326"/>
      <c r="ES48" s="326"/>
      <c r="ET48" s="326"/>
      <c r="EU48" s="326"/>
      <c r="EV48" s="326"/>
      <c r="EW48" s="326"/>
      <c r="EX48" s="326"/>
      <c r="EY48" s="326"/>
      <c r="EZ48" s="326"/>
      <c r="FA48" s="326"/>
      <c r="FB48" s="326"/>
      <c r="FC48" s="326"/>
      <c r="FD48" s="326"/>
      <c r="FE48" s="326"/>
      <c r="FF48" s="326"/>
      <c r="FG48" s="326"/>
      <c r="FH48" s="326"/>
      <c r="FI48" s="326"/>
      <c r="FJ48" s="326"/>
      <c r="FK48" s="326"/>
      <c r="FL48" s="326"/>
      <c r="FM48" s="326"/>
      <c r="FN48" s="326"/>
      <c r="FO48" s="326"/>
      <c r="FP48" s="326"/>
      <c r="FQ48" s="326"/>
      <c r="FR48" s="326"/>
      <c r="FS48" s="326"/>
      <c r="FT48" s="326"/>
      <c r="FU48" s="326"/>
      <c r="FV48" s="326"/>
      <c r="FW48" s="326"/>
      <c r="FX48" s="326"/>
      <c r="FY48" s="326"/>
      <c r="FZ48" s="326"/>
      <c r="GA48" s="326"/>
      <c r="GB48" s="326"/>
      <c r="GC48" s="326"/>
      <c r="GD48" s="327"/>
      <c r="GE48" s="325" t="s">
        <v>887</v>
      </c>
      <c r="GF48" s="325" t="s">
        <v>522</v>
      </c>
      <c r="GG48" s="325" t="s">
        <v>571</v>
      </c>
      <c r="GH48" s="325" t="s">
        <v>572</v>
      </c>
      <c r="GI48" s="328">
        <f t="shared" si="8"/>
        <v>0</v>
      </c>
      <c r="GJ48" s="329" t="s">
        <v>913</v>
      </c>
    </row>
    <row r="49" spans="1:192" s="329" customFormat="1">
      <c r="A49" s="325" t="s">
        <v>526</v>
      </c>
      <c r="B49" s="325" t="s">
        <v>517</v>
      </c>
      <c r="C49" s="325" t="s">
        <v>555</v>
      </c>
      <c r="D49" s="325" t="s">
        <v>636</v>
      </c>
      <c r="E49" s="325" t="s">
        <v>578</v>
      </c>
      <c r="F49" s="325" t="s">
        <v>520</v>
      </c>
      <c r="G49" s="325"/>
      <c r="H49" s="326"/>
      <c r="I49" s="326"/>
      <c r="J49" s="326"/>
      <c r="K49" s="326"/>
      <c r="L49" s="326"/>
      <c r="M49" s="326"/>
      <c r="N49" s="326"/>
      <c r="O49" s="326"/>
      <c r="P49" s="326"/>
      <c r="Q49" s="326"/>
      <c r="R49" s="326"/>
      <c r="S49" s="326"/>
      <c r="T49" s="326"/>
      <c r="U49" s="326"/>
      <c r="V49" s="326"/>
      <c r="W49" s="326"/>
      <c r="X49" s="326"/>
      <c r="Y49" s="326"/>
      <c r="Z49" s="326"/>
      <c r="AA49" s="326"/>
      <c r="AB49" s="326"/>
      <c r="AC49" s="326"/>
      <c r="AD49" s="326"/>
      <c r="AE49" s="326"/>
      <c r="AF49" s="326"/>
      <c r="AG49" s="326"/>
      <c r="AH49" s="326"/>
      <c r="AI49" s="326"/>
      <c r="AJ49" s="326"/>
      <c r="AK49" s="326"/>
      <c r="AL49" s="326"/>
      <c r="AM49" s="326"/>
      <c r="AN49" s="326"/>
      <c r="AO49" s="326"/>
      <c r="AP49" s="326"/>
      <c r="AQ49" s="326"/>
      <c r="AR49" s="326"/>
      <c r="AS49" s="326"/>
      <c r="AT49" s="326"/>
      <c r="AU49" s="326"/>
      <c r="AV49" s="326"/>
      <c r="AW49" s="326"/>
      <c r="AX49" s="326"/>
      <c r="AY49" s="326"/>
      <c r="AZ49" s="326"/>
      <c r="BA49" s="326"/>
      <c r="BB49" s="326"/>
      <c r="BC49" s="326"/>
      <c r="BD49" s="326"/>
      <c r="BE49" s="326"/>
      <c r="BF49" s="326"/>
      <c r="BG49" s="326"/>
      <c r="BH49" s="326"/>
      <c r="BI49" s="326"/>
      <c r="BJ49" s="326"/>
      <c r="BK49" s="326"/>
      <c r="BL49" s="326"/>
      <c r="BM49" s="326"/>
      <c r="BN49" s="326"/>
      <c r="BO49" s="326"/>
      <c r="BP49" s="326"/>
      <c r="BQ49" s="326"/>
      <c r="BR49" s="326"/>
      <c r="BS49" s="326"/>
      <c r="BT49" s="326"/>
      <c r="BU49" s="326"/>
      <c r="BV49" s="326"/>
      <c r="BW49" s="326"/>
      <c r="BX49" s="326"/>
      <c r="BY49" s="326"/>
      <c r="BZ49" s="326"/>
      <c r="CA49" s="326"/>
      <c r="CB49" s="326"/>
      <c r="CC49" s="326"/>
      <c r="CD49" s="326"/>
      <c r="CE49" s="326"/>
      <c r="CF49" s="326"/>
      <c r="CG49" s="326"/>
      <c r="CH49" s="326"/>
      <c r="CI49" s="326"/>
      <c r="CJ49" s="326"/>
      <c r="CK49" s="326"/>
      <c r="CL49" s="326"/>
      <c r="CM49" s="326"/>
      <c r="CN49" s="326"/>
      <c r="CO49" s="326"/>
      <c r="CP49" s="326"/>
      <c r="CQ49" s="326"/>
      <c r="CR49" s="326"/>
      <c r="CS49" s="326"/>
      <c r="CT49" s="326"/>
      <c r="CU49" s="326"/>
      <c r="CV49" s="326"/>
      <c r="CW49" s="326"/>
      <c r="CX49" s="326"/>
      <c r="CY49" s="326"/>
      <c r="CZ49" s="326"/>
      <c r="DA49" s="326"/>
      <c r="DB49" s="332">
        <v>80</v>
      </c>
      <c r="DC49" s="326"/>
      <c r="DD49" s="326"/>
      <c r="DE49" s="326"/>
      <c r="DF49" s="326"/>
      <c r="DG49" s="326"/>
      <c r="DH49" s="326"/>
      <c r="DI49" s="326"/>
      <c r="DJ49" s="326"/>
      <c r="DK49" s="326"/>
      <c r="DL49" s="326"/>
      <c r="DM49" s="326"/>
      <c r="DN49" s="326"/>
      <c r="DO49" s="326"/>
      <c r="DP49" s="326"/>
      <c r="DQ49" s="326"/>
      <c r="DR49" s="326"/>
      <c r="DS49" s="326"/>
      <c r="DT49" s="326"/>
      <c r="DU49" s="326"/>
      <c r="DV49" s="326"/>
      <c r="DW49" s="326"/>
      <c r="DX49" s="326"/>
      <c r="DY49" s="326"/>
      <c r="DZ49" s="326"/>
      <c r="EA49" s="326"/>
      <c r="EB49" s="326"/>
      <c r="EC49" s="326"/>
      <c r="ED49" s="326"/>
      <c r="EE49" s="326"/>
      <c r="EF49" s="326"/>
      <c r="EG49" s="326"/>
      <c r="EH49" s="326"/>
      <c r="EI49" s="332">
        <v>100</v>
      </c>
      <c r="EJ49" s="326"/>
      <c r="EK49" s="326"/>
      <c r="EL49" s="326"/>
      <c r="EM49" s="326"/>
      <c r="EN49" s="326"/>
      <c r="EO49" s="326"/>
      <c r="EP49" s="326"/>
      <c r="EQ49" s="326"/>
      <c r="ER49" s="326"/>
      <c r="ES49" s="326"/>
      <c r="ET49" s="326"/>
      <c r="EU49" s="326"/>
      <c r="EV49" s="326"/>
      <c r="EW49" s="326"/>
      <c r="EX49" s="326"/>
      <c r="EY49" s="326"/>
      <c r="EZ49" s="326"/>
      <c r="FA49" s="326"/>
      <c r="FB49" s="326"/>
      <c r="FC49" s="326"/>
      <c r="FD49" s="326"/>
      <c r="FE49" s="326"/>
      <c r="FF49" s="326"/>
      <c r="FG49" s="326"/>
      <c r="FH49" s="326"/>
      <c r="FI49" s="326"/>
      <c r="FJ49" s="326"/>
      <c r="FK49" s="326"/>
      <c r="FL49" s="326"/>
      <c r="FM49" s="326"/>
      <c r="FN49" s="326"/>
      <c r="FO49" s="326"/>
      <c r="FP49" s="326"/>
      <c r="FQ49" s="326"/>
      <c r="FR49" s="326"/>
      <c r="FS49" s="326"/>
      <c r="FT49" s="326"/>
      <c r="FU49" s="326"/>
      <c r="FV49" s="326"/>
      <c r="FW49" s="326"/>
      <c r="FX49" s="326"/>
      <c r="FY49" s="326"/>
      <c r="FZ49" s="326"/>
      <c r="GA49" s="326"/>
      <c r="GB49" s="326"/>
      <c r="GC49" s="326"/>
      <c r="GD49" s="327"/>
      <c r="GE49" s="325" t="s">
        <v>887</v>
      </c>
      <c r="GF49" s="325" t="s">
        <v>522</v>
      </c>
      <c r="GG49" s="325" t="s">
        <v>850</v>
      </c>
      <c r="GH49" s="325" t="s">
        <v>915</v>
      </c>
      <c r="GI49" s="328">
        <f t="shared" si="8"/>
        <v>180</v>
      </c>
      <c r="GJ49" s="329" t="s">
        <v>911</v>
      </c>
    </row>
    <row r="50" spans="1:192" s="329" customFormat="1">
      <c r="A50" s="325" t="s">
        <v>526</v>
      </c>
      <c r="B50" s="325" t="s">
        <v>517</v>
      </c>
      <c r="C50" s="325" t="s">
        <v>555</v>
      </c>
      <c r="D50" s="325" t="s">
        <v>633</v>
      </c>
      <c r="E50" s="325" t="s">
        <v>578</v>
      </c>
      <c r="F50" s="325" t="s">
        <v>520</v>
      </c>
      <c r="G50" s="325"/>
      <c r="H50" s="330">
        <f>30-30</f>
        <v>0</v>
      </c>
      <c r="I50" s="326"/>
      <c r="J50" s="330">
        <f>10-10</f>
        <v>0</v>
      </c>
      <c r="K50" s="330">
        <f>11-11</f>
        <v>0</v>
      </c>
      <c r="L50" s="330">
        <f>300-300</f>
        <v>0</v>
      </c>
      <c r="M50" s="330">
        <f>295-295</f>
        <v>0</v>
      </c>
      <c r="N50" s="330">
        <f>285-285</f>
        <v>0</v>
      </c>
      <c r="O50" s="330">
        <f>253-253</f>
        <v>0</v>
      </c>
      <c r="P50" s="326"/>
      <c r="Q50" s="330">
        <f>300-300</f>
        <v>0</v>
      </c>
      <c r="R50" s="326"/>
      <c r="S50" s="330">
        <f>274-274</f>
        <v>0</v>
      </c>
      <c r="T50" s="330">
        <f>260-260</f>
        <v>0</v>
      </c>
      <c r="U50" s="326"/>
      <c r="V50" s="330">
        <f>1000-1000</f>
        <v>0</v>
      </c>
      <c r="W50" s="326"/>
      <c r="X50" s="330">
        <f>814-814</f>
        <v>0</v>
      </c>
      <c r="Y50" s="330">
        <f>490-490+20</f>
        <v>20</v>
      </c>
      <c r="Z50" s="326"/>
      <c r="AA50" s="330">
        <f>965-965</f>
        <v>0</v>
      </c>
      <c r="AB50" s="330">
        <f>1860-1860+20</f>
        <v>20</v>
      </c>
      <c r="AC50" s="330">
        <f>1930-1930+20</f>
        <v>20</v>
      </c>
      <c r="AD50" s="330">
        <f>1885-1885</f>
        <v>0</v>
      </c>
      <c r="AE50" s="326"/>
      <c r="AF50" s="326"/>
      <c r="AG50" s="326"/>
      <c r="AH50" s="326"/>
      <c r="AI50" s="326"/>
      <c r="AJ50" s="326"/>
      <c r="AK50" s="330">
        <f>400-400</f>
        <v>0</v>
      </c>
      <c r="AL50" s="330">
        <f>500-500</f>
        <v>0</v>
      </c>
      <c r="AM50" s="330">
        <f>370-370</f>
        <v>0</v>
      </c>
      <c r="AN50" s="326"/>
      <c r="AO50" s="326"/>
      <c r="AP50" s="326"/>
      <c r="AQ50" s="326"/>
      <c r="AR50" s="326"/>
      <c r="AS50" s="330">
        <f>1500-1500</f>
        <v>0</v>
      </c>
      <c r="AT50" s="330">
        <f>1500-1500</f>
        <v>0</v>
      </c>
      <c r="AU50" s="330">
        <f>10-10</f>
        <v>0</v>
      </c>
      <c r="AV50" s="326"/>
      <c r="AW50" s="326"/>
      <c r="AX50" s="330">
        <f>20-20</f>
        <v>0</v>
      </c>
      <c r="AY50" s="330">
        <f>15-15</f>
        <v>0</v>
      </c>
      <c r="AZ50" s="330">
        <f>70-70+15</f>
        <v>15</v>
      </c>
      <c r="BA50" s="330">
        <f>25-25</f>
        <v>0</v>
      </c>
      <c r="BB50" s="326"/>
      <c r="BC50" s="326"/>
      <c r="BD50" s="330">
        <f>50-50</f>
        <v>0</v>
      </c>
      <c r="BE50" s="330">
        <f>13-13</f>
        <v>0</v>
      </c>
      <c r="BF50" s="330">
        <f>25-25</f>
        <v>0</v>
      </c>
      <c r="BG50" s="326"/>
      <c r="BH50" s="326"/>
      <c r="BI50" s="326"/>
      <c r="BJ50" s="326"/>
      <c r="BK50" s="326"/>
      <c r="BL50" s="330">
        <f>10-10+2</f>
        <v>2</v>
      </c>
      <c r="BM50" s="326"/>
      <c r="BN50" s="330">
        <f>155-155</f>
        <v>0</v>
      </c>
      <c r="BO50" s="330">
        <f>140-140</f>
        <v>0</v>
      </c>
      <c r="BP50" s="330">
        <f>800-800+15</f>
        <v>15</v>
      </c>
      <c r="BQ50" s="330">
        <f>65-65+15</f>
        <v>15</v>
      </c>
      <c r="BR50" s="330">
        <f>200-200</f>
        <v>0</v>
      </c>
      <c r="BS50" s="330">
        <f>120-120+18</f>
        <v>18</v>
      </c>
      <c r="BT50" s="331">
        <f>10-10+10</f>
        <v>10</v>
      </c>
      <c r="BU50" s="326"/>
      <c r="BV50" s="326"/>
      <c r="BW50" s="326"/>
      <c r="BX50" s="326"/>
      <c r="BY50" s="330">
        <f>10-10</f>
        <v>0</v>
      </c>
      <c r="BZ50" s="326"/>
      <c r="CA50" s="330">
        <f>10-10</f>
        <v>0</v>
      </c>
      <c r="CB50" s="330">
        <f>145-145+5</f>
        <v>5</v>
      </c>
      <c r="CC50" s="330">
        <f>198-198+5</f>
        <v>5</v>
      </c>
      <c r="CD50" s="326"/>
      <c r="CE50" s="330">
        <f>138-138</f>
        <v>0</v>
      </c>
      <c r="CF50" s="332">
        <v>20</v>
      </c>
      <c r="CG50" s="330">
        <f>100-100</f>
        <v>0</v>
      </c>
      <c r="CH50" s="330">
        <f>140-140</f>
        <v>0</v>
      </c>
      <c r="CI50" s="330">
        <f>150-150</f>
        <v>0</v>
      </c>
      <c r="CJ50" s="326"/>
      <c r="CK50" s="330">
        <f>30-30</f>
        <v>0</v>
      </c>
      <c r="CL50" s="330">
        <f>370-370</f>
        <v>0</v>
      </c>
      <c r="CM50" s="330">
        <f>400-400+10</f>
        <v>10</v>
      </c>
      <c r="CN50" s="330">
        <f>462-462</f>
        <v>0</v>
      </c>
      <c r="CO50" s="330">
        <f>500-500</f>
        <v>0</v>
      </c>
      <c r="CP50" s="330">
        <f>327-327</f>
        <v>0</v>
      </c>
      <c r="CQ50" s="330">
        <f>463-463+20</f>
        <v>20</v>
      </c>
      <c r="CR50" s="330">
        <f>405-405+80</f>
        <v>80</v>
      </c>
      <c r="CS50" s="330">
        <f>885-885+20</f>
        <v>20</v>
      </c>
      <c r="CT50" s="330">
        <f>935-935</f>
        <v>0</v>
      </c>
      <c r="CU50" s="330">
        <f>981-981</f>
        <v>0</v>
      </c>
      <c r="CV50" s="326"/>
      <c r="CW50" s="330">
        <f>1975-1975</f>
        <v>0</v>
      </c>
      <c r="CX50" s="330">
        <f>1375-1375+150</f>
        <v>150</v>
      </c>
      <c r="CY50" s="330">
        <f>1760-1760+50</f>
        <v>50</v>
      </c>
      <c r="CZ50" s="330">
        <f>1720-1720+100</f>
        <v>100</v>
      </c>
      <c r="DA50" s="330">
        <f>1740-1740+30</f>
        <v>30</v>
      </c>
      <c r="DB50" s="330">
        <f>4750-4750</f>
        <v>0</v>
      </c>
      <c r="DC50" s="326"/>
      <c r="DD50" s="330">
        <f>2000-2000</f>
        <v>0</v>
      </c>
      <c r="DE50" s="326"/>
      <c r="DF50" s="326"/>
      <c r="DG50" s="330">
        <f>4505-4505+160</f>
        <v>160</v>
      </c>
      <c r="DH50" s="326"/>
      <c r="DI50" s="330">
        <f>1610-1610</f>
        <v>0</v>
      </c>
      <c r="DJ50" s="330">
        <f>310-310+60</f>
        <v>60</v>
      </c>
      <c r="DK50" s="330">
        <f>1650-1650</f>
        <v>0</v>
      </c>
      <c r="DL50" s="330">
        <f>1120-1120+40</f>
        <v>40</v>
      </c>
      <c r="DM50" s="330">
        <f>1663-1663+80</f>
        <v>80</v>
      </c>
      <c r="DN50" s="326"/>
      <c r="DO50" s="326"/>
      <c r="DP50" s="330">
        <f>200-200</f>
        <v>0</v>
      </c>
      <c r="DQ50" s="330">
        <f>200-200</f>
        <v>0</v>
      </c>
      <c r="DR50" s="330">
        <f>200-200</f>
        <v>0</v>
      </c>
      <c r="DS50" s="326"/>
      <c r="DT50" s="326"/>
      <c r="DU50" s="326"/>
      <c r="DV50" s="326"/>
      <c r="DW50" s="326"/>
      <c r="DX50" s="326"/>
      <c r="DY50" s="330">
        <f>1300-1300+100</f>
        <v>100</v>
      </c>
      <c r="DZ50" s="326"/>
      <c r="EA50" s="326"/>
      <c r="EB50" s="326"/>
      <c r="EC50" s="330">
        <f>1917-1917</f>
        <v>0</v>
      </c>
      <c r="ED50" s="330">
        <f>1760-1760</f>
        <v>0</v>
      </c>
      <c r="EE50" s="330">
        <f>1951-1951</f>
        <v>0</v>
      </c>
      <c r="EF50" s="330">
        <f>1800-1800</f>
        <v>0</v>
      </c>
      <c r="EG50" s="326"/>
      <c r="EH50" s="330">
        <f>1848-1848</f>
        <v>0</v>
      </c>
      <c r="EI50" s="330">
        <f>840-840</f>
        <v>0</v>
      </c>
      <c r="EJ50" s="330">
        <f>2000-2000</f>
        <v>0</v>
      </c>
      <c r="EK50" s="330">
        <f>1957-1957</f>
        <v>0</v>
      </c>
      <c r="EL50" s="330">
        <f>1820-1820</f>
        <v>0</v>
      </c>
      <c r="EM50" s="330">
        <f>1770-1770</f>
        <v>0</v>
      </c>
      <c r="EN50" s="330">
        <f>2000-2000</f>
        <v>0</v>
      </c>
      <c r="EO50" s="326"/>
      <c r="EP50" s="330">
        <f>1570-1570+200</f>
        <v>200</v>
      </c>
      <c r="EQ50" s="326"/>
      <c r="ER50" s="330">
        <f>1200-1200+900</f>
        <v>900</v>
      </c>
      <c r="ES50" s="330">
        <f>1740-1740</f>
        <v>0</v>
      </c>
      <c r="ET50" s="326"/>
      <c r="EU50" s="330">
        <f>1910-1910</f>
        <v>0</v>
      </c>
      <c r="EV50" s="330">
        <f>1990-1990</f>
        <v>0</v>
      </c>
      <c r="EW50" s="330">
        <f>1897-1897</f>
        <v>0</v>
      </c>
      <c r="EX50" s="326"/>
      <c r="EY50" s="330">
        <f>1940-1940</f>
        <v>0</v>
      </c>
      <c r="EZ50" s="326"/>
      <c r="FA50" s="330">
        <f>1920-1920</f>
        <v>0</v>
      </c>
      <c r="FB50" s="330">
        <f>1930-1930</f>
        <v>0</v>
      </c>
      <c r="FC50" s="330">
        <f>1997-1997</f>
        <v>0</v>
      </c>
      <c r="FD50" s="330">
        <f>1997-1997</f>
        <v>0</v>
      </c>
      <c r="FE50" s="330">
        <f>1978-1978</f>
        <v>0</v>
      </c>
      <c r="FF50" s="326"/>
      <c r="FG50" s="330">
        <f>1960-1960</f>
        <v>0</v>
      </c>
      <c r="FH50" s="330">
        <f>1860-1860+40</f>
        <v>40</v>
      </c>
      <c r="FI50" s="330">
        <f>2000-2000+50</f>
        <v>50</v>
      </c>
      <c r="FJ50" s="326"/>
      <c r="FK50" s="326"/>
      <c r="FL50" s="326"/>
      <c r="FM50" s="326"/>
      <c r="FN50" s="326"/>
      <c r="FO50" s="326"/>
      <c r="FP50" s="326"/>
      <c r="FQ50" s="326"/>
      <c r="FR50" s="326"/>
      <c r="FS50" s="326"/>
      <c r="FT50" s="326"/>
      <c r="FU50" s="326"/>
      <c r="FV50" s="326"/>
      <c r="FW50" s="326"/>
      <c r="FX50" s="326"/>
      <c r="FY50" s="326"/>
      <c r="FZ50" s="326"/>
      <c r="GA50" s="326"/>
      <c r="GB50" s="326"/>
      <c r="GC50" s="326"/>
      <c r="GD50" s="327" t="s">
        <v>850</v>
      </c>
      <c r="GE50" s="325" t="s">
        <v>887</v>
      </c>
      <c r="GF50" s="325" t="s">
        <v>522</v>
      </c>
      <c r="GG50" s="325" t="s">
        <v>850</v>
      </c>
      <c r="GH50" s="325" t="s">
        <v>915</v>
      </c>
      <c r="GI50" s="328">
        <f t="shared" si="8"/>
        <v>2255</v>
      </c>
      <c r="GJ50" s="329" t="s">
        <v>911</v>
      </c>
    </row>
    <row r="51" spans="1:192" s="329" customFormat="1" ht="10.5">
      <c r="A51" s="325" t="s">
        <v>526</v>
      </c>
      <c r="B51" s="325" t="s">
        <v>517</v>
      </c>
      <c r="C51" s="325" t="s">
        <v>555</v>
      </c>
      <c r="D51" s="325" t="s">
        <v>3</v>
      </c>
      <c r="E51" s="325" t="s">
        <v>578</v>
      </c>
      <c r="F51" s="325" t="s">
        <v>520</v>
      </c>
      <c r="G51" s="325"/>
      <c r="H51" s="326"/>
      <c r="I51" s="326"/>
      <c r="J51" s="326"/>
      <c r="K51" s="326"/>
      <c r="L51" s="326"/>
      <c r="M51" s="326"/>
      <c r="N51" s="326"/>
      <c r="O51" s="326"/>
      <c r="P51" s="326"/>
      <c r="Q51" s="326"/>
      <c r="R51" s="326"/>
      <c r="S51" s="326"/>
      <c r="T51" s="326"/>
      <c r="U51" s="326"/>
      <c r="V51" s="326"/>
      <c r="W51" s="326"/>
      <c r="X51" s="326"/>
      <c r="Y51" s="326"/>
      <c r="Z51" s="326"/>
      <c r="AA51" s="326"/>
      <c r="AB51" s="326"/>
      <c r="AC51" s="326"/>
      <c r="AD51" s="326"/>
      <c r="AE51" s="326"/>
      <c r="AF51" s="326"/>
      <c r="AG51" s="326"/>
      <c r="AH51" s="326"/>
      <c r="AI51" s="326"/>
      <c r="AJ51" s="326"/>
      <c r="AK51" s="326"/>
      <c r="AL51" s="326"/>
      <c r="AM51" s="326"/>
      <c r="AN51" s="326"/>
      <c r="AO51" s="326"/>
      <c r="AP51" s="326"/>
      <c r="AQ51" s="326"/>
      <c r="AR51" s="326"/>
      <c r="AS51" s="326"/>
      <c r="AT51" s="326"/>
      <c r="AU51" s="353">
        <f>7</f>
        <v>7</v>
      </c>
      <c r="AV51" s="326"/>
      <c r="AW51" s="326"/>
      <c r="AX51" s="354">
        <v>8</v>
      </c>
      <c r="AY51" s="326"/>
      <c r="AZ51" s="326"/>
      <c r="BA51" s="326"/>
      <c r="BB51" s="326"/>
      <c r="BC51" s="326"/>
      <c r="BD51" s="326"/>
      <c r="BE51" s="354">
        <v>5</v>
      </c>
      <c r="BF51" s="326"/>
      <c r="BG51" s="326"/>
      <c r="BH51" s="326"/>
      <c r="BI51" s="326"/>
      <c r="BJ51" s="326"/>
      <c r="BK51" s="326"/>
      <c r="BL51" s="326"/>
      <c r="BM51" s="326"/>
      <c r="BN51" s="326"/>
      <c r="BO51" s="354">
        <v>2</v>
      </c>
      <c r="BP51" s="326"/>
      <c r="BQ51" s="326"/>
      <c r="BR51" s="326"/>
      <c r="BS51" s="326"/>
      <c r="BT51" s="326"/>
      <c r="BU51" s="326"/>
      <c r="BV51" s="326"/>
      <c r="BW51" s="326"/>
      <c r="BX51" s="326"/>
      <c r="BY51" s="326"/>
      <c r="BZ51" s="326"/>
      <c r="CA51" s="326"/>
      <c r="CB51" s="326"/>
      <c r="CC51" s="326"/>
      <c r="CD51" s="326"/>
      <c r="CE51" s="326"/>
      <c r="CF51" s="326"/>
      <c r="CG51" s="354">
        <v>20</v>
      </c>
      <c r="CH51" s="326"/>
      <c r="CI51" s="326"/>
      <c r="CJ51" s="326"/>
      <c r="CK51" s="326"/>
      <c r="CL51" s="326"/>
      <c r="CM51" s="326"/>
      <c r="CN51" s="326"/>
      <c r="CO51" s="326"/>
      <c r="CP51" s="326"/>
      <c r="CQ51" s="326"/>
      <c r="CR51" s="326"/>
      <c r="CS51" s="326"/>
      <c r="CT51" s="326"/>
      <c r="CU51" s="326"/>
      <c r="CV51" s="326"/>
      <c r="CW51" s="326"/>
      <c r="CX51" s="326"/>
      <c r="CY51" s="326"/>
      <c r="CZ51" s="326"/>
      <c r="DA51" s="326"/>
      <c r="DB51" s="326"/>
      <c r="DC51" s="326"/>
      <c r="DD51" s="326"/>
      <c r="DE51" s="326"/>
      <c r="DF51" s="326"/>
      <c r="DG51" s="326"/>
      <c r="DH51" s="326"/>
      <c r="DI51" s="326"/>
      <c r="DJ51" s="326"/>
      <c r="DK51" s="326"/>
      <c r="DL51" s="326"/>
      <c r="DM51" s="326"/>
      <c r="DN51" s="326"/>
      <c r="DO51" s="326"/>
      <c r="DP51" s="326"/>
      <c r="DQ51" s="326"/>
      <c r="DR51" s="326"/>
      <c r="DS51" s="326"/>
      <c r="DT51" s="326"/>
      <c r="DU51" s="326"/>
      <c r="DV51" s="326"/>
      <c r="DW51" s="326"/>
      <c r="DX51" s="326"/>
      <c r="DY51" s="326"/>
      <c r="DZ51" s="326"/>
      <c r="EA51" s="326"/>
      <c r="EB51" s="326"/>
      <c r="EC51" s="326"/>
      <c r="ED51" s="326"/>
      <c r="EE51" s="326"/>
      <c r="EF51" s="326"/>
      <c r="EG51" s="326"/>
      <c r="EH51" s="326"/>
      <c r="EI51" s="326"/>
      <c r="EJ51" s="326"/>
      <c r="EK51" s="326"/>
      <c r="EL51" s="326"/>
      <c r="EM51" s="326"/>
      <c r="EN51" s="326"/>
      <c r="EO51" s="326"/>
      <c r="EP51" s="326"/>
      <c r="EQ51" s="326"/>
      <c r="ER51" s="326"/>
      <c r="ES51" s="326"/>
      <c r="ET51" s="326"/>
      <c r="EU51" s="326"/>
      <c r="EV51" s="326"/>
      <c r="EW51" s="326"/>
      <c r="EX51" s="326"/>
      <c r="EY51" s="326"/>
      <c r="EZ51" s="326"/>
      <c r="FA51" s="326"/>
      <c r="FB51" s="326"/>
      <c r="FC51" s="326"/>
      <c r="FD51" s="326"/>
      <c r="FE51" s="326"/>
      <c r="FF51" s="326"/>
      <c r="FG51" s="326"/>
      <c r="FH51" s="326"/>
      <c r="FI51" s="326"/>
      <c r="FJ51" s="326"/>
      <c r="FK51" s="326"/>
      <c r="FL51" s="326"/>
      <c r="FM51" s="326"/>
      <c r="FN51" s="326"/>
      <c r="FO51" s="326"/>
      <c r="FP51" s="326"/>
      <c r="FQ51" s="326"/>
      <c r="FR51" s="326"/>
      <c r="FS51" s="326"/>
      <c r="FT51" s="326"/>
      <c r="FU51" s="326"/>
      <c r="FV51" s="326"/>
      <c r="FW51" s="326"/>
      <c r="FX51" s="326"/>
      <c r="FY51" s="326"/>
      <c r="FZ51" s="326"/>
      <c r="GA51" s="326"/>
      <c r="GB51" s="326"/>
      <c r="GC51" s="326"/>
      <c r="GD51" s="327"/>
      <c r="GE51" s="325" t="s">
        <v>887</v>
      </c>
      <c r="GF51" s="325" t="s">
        <v>522</v>
      </c>
      <c r="GG51" s="325" t="s">
        <v>850</v>
      </c>
      <c r="GH51" s="325" t="s">
        <v>915</v>
      </c>
      <c r="GI51" s="328">
        <f t="shared" si="8"/>
        <v>42</v>
      </c>
      <c r="GJ51" s="329" t="s">
        <v>911</v>
      </c>
    </row>
    <row r="52" spans="1:192" s="329" customFormat="1">
      <c r="A52" s="325" t="s">
        <v>526</v>
      </c>
      <c r="B52" s="325" t="s">
        <v>517</v>
      </c>
      <c r="C52" s="325" t="s">
        <v>555</v>
      </c>
      <c r="D52" s="325" t="s">
        <v>636</v>
      </c>
      <c r="E52" s="325" t="s">
        <v>581</v>
      </c>
      <c r="F52" s="325" t="s">
        <v>520</v>
      </c>
      <c r="G52" s="325"/>
      <c r="H52" s="326"/>
      <c r="I52" s="326"/>
      <c r="J52" s="326"/>
      <c r="K52" s="326"/>
      <c r="L52" s="326"/>
      <c r="M52" s="326"/>
      <c r="N52" s="326"/>
      <c r="O52" s="326"/>
      <c r="P52" s="326"/>
      <c r="Q52" s="326"/>
      <c r="R52" s="326"/>
      <c r="S52" s="326"/>
      <c r="T52" s="326"/>
      <c r="U52" s="326"/>
      <c r="V52" s="326"/>
      <c r="W52" s="326"/>
      <c r="X52" s="326"/>
      <c r="Y52" s="326"/>
      <c r="Z52" s="326"/>
      <c r="AA52" s="326"/>
      <c r="AB52" s="326"/>
      <c r="AC52" s="326"/>
      <c r="AD52" s="326"/>
      <c r="AE52" s="326"/>
      <c r="AF52" s="326"/>
      <c r="AG52" s="326"/>
      <c r="AH52" s="326"/>
      <c r="AI52" s="326"/>
      <c r="AJ52" s="326"/>
      <c r="AK52" s="326"/>
      <c r="AL52" s="326"/>
      <c r="AM52" s="326"/>
      <c r="AN52" s="326"/>
      <c r="AO52" s="326"/>
      <c r="AP52" s="326"/>
      <c r="AQ52" s="326"/>
      <c r="AR52" s="326"/>
      <c r="AS52" s="326"/>
      <c r="AT52" s="326"/>
      <c r="AU52" s="326"/>
      <c r="AV52" s="326"/>
      <c r="AW52" s="326"/>
      <c r="AX52" s="326"/>
      <c r="AY52" s="326"/>
      <c r="AZ52" s="326"/>
      <c r="BA52" s="326"/>
      <c r="BB52" s="326"/>
      <c r="BC52" s="326"/>
      <c r="BD52" s="326"/>
      <c r="BE52" s="326"/>
      <c r="BF52" s="326"/>
      <c r="BG52" s="326"/>
      <c r="BH52" s="326"/>
      <c r="BI52" s="326"/>
      <c r="BJ52" s="326"/>
      <c r="BK52" s="326"/>
      <c r="BL52" s="326"/>
      <c r="BM52" s="326"/>
      <c r="BN52" s="326"/>
      <c r="BO52" s="326"/>
      <c r="BP52" s="326"/>
      <c r="BQ52" s="326"/>
      <c r="BR52" s="326"/>
      <c r="BS52" s="326"/>
      <c r="BT52" s="326"/>
      <c r="BU52" s="326"/>
      <c r="BV52" s="326"/>
      <c r="BW52" s="326"/>
      <c r="BX52" s="326"/>
      <c r="BY52" s="326"/>
      <c r="BZ52" s="326"/>
      <c r="CA52" s="326"/>
      <c r="CB52" s="326"/>
      <c r="CC52" s="326"/>
      <c r="CD52" s="326"/>
      <c r="CE52" s="326"/>
      <c r="CF52" s="326"/>
      <c r="CG52" s="326"/>
      <c r="CH52" s="326"/>
      <c r="CI52" s="326"/>
      <c r="CJ52" s="326"/>
      <c r="CK52" s="326"/>
      <c r="CL52" s="326"/>
      <c r="CM52" s="326"/>
      <c r="CN52" s="326"/>
      <c r="CO52" s="326"/>
      <c r="CP52" s="326"/>
      <c r="CQ52" s="326"/>
      <c r="CR52" s="326"/>
      <c r="CS52" s="326"/>
      <c r="CT52" s="326"/>
      <c r="CU52" s="326"/>
      <c r="CV52" s="326"/>
      <c r="CW52" s="326"/>
      <c r="CX52" s="326"/>
      <c r="CY52" s="326"/>
      <c r="CZ52" s="326"/>
      <c r="DA52" s="326"/>
      <c r="DB52" s="326"/>
      <c r="DC52" s="326"/>
      <c r="DD52" s="326"/>
      <c r="DE52" s="326"/>
      <c r="DF52" s="326"/>
      <c r="DG52" s="326"/>
      <c r="DH52" s="326"/>
      <c r="DI52" s="326"/>
      <c r="DJ52" s="326"/>
      <c r="DK52" s="326"/>
      <c r="DL52" s="326"/>
      <c r="DM52" s="326"/>
      <c r="DN52" s="326"/>
      <c r="DO52" s="326"/>
      <c r="DP52" s="326"/>
      <c r="DQ52" s="326"/>
      <c r="DR52" s="326"/>
      <c r="DS52" s="326"/>
      <c r="DT52" s="326"/>
      <c r="DU52" s="326"/>
      <c r="DV52" s="326"/>
      <c r="DW52" s="326"/>
      <c r="DX52" s="326"/>
      <c r="DY52" s="326"/>
      <c r="DZ52" s="326"/>
      <c r="EA52" s="326"/>
      <c r="EB52" s="326"/>
      <c r="EC52" s="326"/>
      <c r="ED52" s="326"/>
      <c r="EE52" s="326"/>
      <c r="EF52" s="326"/>
      <c r="EG52" s="326"/>
      <c r="EH52" s="326"/>
      <c r="EI52" s="332">
        <v>20</v>
      </c>
      <c r="EJ52" s="326"/>
      <c r="EK52" s="326"/>
      <c r="EL52" s="326"/>
      <c r="EM52" s="326"/>
      <c r="EN52" s="326"/>
      <c r="EO52" s="326"/>
      <c r="EP52" s="326"/>
      <c r="EQ52" s="326"/>
      <c r="ER52" s="326"/>
      <c r="ES52" s="326"/>
      <c r="ET52" s="326"/>
      <c r="EU52" s="326"/>
      <c r="EV52" s="326"/>
      <c r="EW52" s="326"/>
      <c r="EX52" s="326"/>
      <c r="EY52" s="326"/>
      <c r="EZ52" s="326"/>
      <c r="FA52" s="326"/>
      <c r="FB52" s="326"/>
      <c r="FC52" s="326"/>
      <c r="FD52" s="326"/>
      <c r="FE52" s="326"/>
      <c r="FF52" s="326"/>
      <c r="FG52" s="326"/>
      <c r="FH52" s="326"/>
      <c r="FI52" s="326"/>
      <c r="FJ52" s="326"/>
      <c r="FK52" s="326"/>
      <c r="FL52" s="326"/>
      <c r="FM52" s="326"/>
      <c r="FN52" s="326"/>
      <c r="FO52" s="326"/>
      <c r="FP52" s="326"/>
      <c r="FQ52" s="326"/>
      <c r="FR52" s="326"/>
      <c r="FS52" s="326"/>
      <c r="FT52" s="326"/>
      <c r="FU52" s="326"/>
      <c r="FV52" s="326"/>
      <c r="FW52" s="326"/>
      <c r="FX52" s="326"/>
      <c r="FY52" s="326"/>
      <c r="FZ52" s="326"/>
      <c r="GA52" s="326"/>
      <c r="GB52" s="326"/>
      <c r="GC52" s="326"/>
      <c r="GD52" s="327"/>
      <c r="GE52" s="325" t="s">
        <v>887</v>
      </c>
      <c r="GF52" s="325" t="s">
        <v>522</v>
      </c>
      <c r="GG52" s="325" t="s">
        <v>850</v>
      </c>
      <c r="GH52" s="325" t="s">
        <v>562</v>
      </c>
      <c r="GI52" s="328">
        <f t="shared" si="8"/>
        <v>20</v>
      </c>
      <c r="GJ52" s="329" t="s">
        <v>906</v>
      </c>
    </row>
    <row r="53" spans="1:192" s="329" customFormat="1">
      <c r="A53" s="325" t="s">
        <v>526</v>
      </c>
      <c r="B53" s="325" t="s">
        <v>517</v>
      </c>
      <c r="C53" s="325" t="s">
        <v>555</v>
      </c>
      <c r="D53" s="325" t="s">
        <v>633</v>
      </c>
      <c r="E53" s="325" t="s">
        <v>581</v>
      </c>
      <c r="F53" s="325" t="s">
        <v>520</v>
      </c>
      <c r="G53" s="325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6"/>
      <c r="U53" s="326"/>
      <c r="V53" s="326"/>
      <c r="W53" s="326"/>
      <c r="X53" s="326"/>
      <c r="Y53" s="326"/>
      <c r="Z53" s="326"/>
      <c r="AA53" s="326"/>
      <c r="AB53" s="326"/>
      <c r="AC53" s="326"/>
      <c r="AD53" s="326"/>
      <c r="AE53" s="326"/>
      <c r="AF53" s="326"/>
      <c r="AG53" s="326"/>
      <c r="AH53" s="326"/>
      <c r="AI53" s="326"/>
      <c r="AJ53" s="326"/>
      <c r="AK53" s="326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30">
        <f>2-2+2</f>
        <v>2</v>
      </c>
      <c r="BD53" s="326"/>
      <c r="BE53" s="326"/>
      <c r="BF53" s="330">
        <f>2-2</f>
        <v>0</v>
      </c>
      <c r="BG53" s="326"/>
      <c r="BH53" s="326"/>
      <c r="BI53" s="326"/>
      <c r="BJ53" s="326"/>
      <c r="BK53" s="326"/>
      <c r="BL53" s="326"/>
      <c r="BM53" s="326"/>
      <c r="BN53" s="326"/>
      <c r="BO53" s="326"/>
      <c r="BP53" s="326"/>
      <c r="BQ53" s="326"/>
      <c r="BR53" s="326"/>
      <c r="BS53" s="330">
        <f>5-5+1</f>
        <v>1</v>
      </c>
      <c r="BT53" s="326"/>
      <c r="BU53" s="326"/>
      <c r="BV53" s="326"/>
      <c r="BW53" s="326"/>
      <c r="BX53" s="326"/>
      <c r="BY53" s="326"/>
      <c r="BZ53" s="326"/>
      <c r="CA53" s="326"/>
      <c r="CB53" s="326"/>
      <c r="CC53" s="326"/>
      <c r="CD53" s="326"/>
      <c r="CE53" s="326"/>
      <c r="CF53" s="326"/>
      <c r="CG53" s="326"/>
      <c r="CH53" s="330">
        <f>5-5</f>
        <v>0</v>
      </c>
      <c r="CI53" s="326"/>
      <c r="CJ53" s="326"/>
      <c r="CK53" s="326"/>
      <c r="CL53" s="326"/>
      <c r="CM53" s="326"/>
      <c r="CN53" s="326"/>
      <c r="CO53" s="326"/>
      <c r="CP53" s="330">
        <f>5-5</f>
        <v>0</v>
      </c>
      <c r="CQ53" s="326"/>
      <c r="CR53" s="326"/>
      <c r="CS53" s="326"/>
      <c r="CT53" s="326"/>
      <c r="CU53" s="326"/>
      <c r="CV53" s="326"/>
      <c r="CW53" s="326"/>
      <c r="CX53" s="326"/>
      <c r="CY53" s="326"/>
      <c r="CZ53" s="326"/>
      <c r="DA53" s="326"/>
      <c r="DB53" s="326"/>
      <c r="DC53" s="326"/>
      <c r="DD53" s="330">
        <f>50-50</f>
        <v>0</v>
      </c>
      <c r="DE53" s="326"/>
      <c r="DF53" s="330">
        <f>20-20</f>
        <v>0</v>
      </c>
      <c r="DG53" s="330">
        <f>50-50+10</f>
        <v>10</v>
      </c>
      <c r="DH53" s="326"/>
      <c r="DI53" s="326"/>
      <c r="DJ53" s="330">
        <f>50-50+3</f>
        <v>3</v>
      </c>
      <c r="DK53" s="326"/>
      <c r="DL53" s="330">
        <f>50-50+2</f>
        <v>2</v>
      </c>
      <c r="DM53" s="326"/>
      <c r="DN53" s="326"/>
      <c r="DO53" s="326"/>
      <c r="DP53" s="326"/>
      <c r="DQ53" s="326"/>
      <c r="DR53" s="330">
        <f>50-50</f>
        <v>0</v>
      </c>
      <c r="DS53" s="326"/>
      <c r="DT53" s="326"/>
      <c r="DU53" s="326"/>
      <c r="DV53" s="326"/>
      <c r="DW53" s="326"/>
      <c r="DX53" s="326"/>
      <c r="DY53" s="326"/>
      <c r="DZ53" s="326"/>
      <c r="EA53" s="326"/>
      <c r="EB53" s="326"/>
      <c r="EC53" s="326"/>
      <c r="ED53" s="330">
        <f>150-150</f>
        <v>0</v>
      </c>
      <c r="EE53" s="330">
        <f>30-30</f>
        <v>0</v>
      </c>
      <c r="EF53" s="330">
        <f>150-150</f>
        <v>0</v>
      </c>
      <c r="EG53" s="326"/>
      <c r="EH53" s="326"/>
      <c r="EI53" s="330">
        <f>30-30</f>
        <v>0</v>
      </c>
      <c r="EJ53" s="326"/>
      <c r="EK53" s="326"/>
      <c r="EL53" s="330">
        <f>80-80</f>
        <v>0</v>
      </c>
      <c r="EM53" s="330">
        <f>50-50</f>
        <v>0</v>
      </c>
      <c r="EN53" s="330">
        <f>50-50</f>
        <v>0</v>
      </c>
      <c r="EO53" s="326"/>
      <c r="EP53" s="330">
        <f>30-30+20</f>
        <v>20</v>
      </c>
      <c r="EQ53" s="326"/>
      <c r="ER53" s="326"/>
      <c r="ES53" s="326"/>
      <c r="ET53" s="330">
        <f>50-50</f>
        <v>0</v>
      </c>
      <c r="EU53" s="330">
        <f>30-30</f>
        <v>0</v>
      </c>
      <c r="EV53" s="326"/>
      <c r="EW53" s="326"/>
      <c r="EX53" s="326"/>
      <c r="EY53" s="330">
        <f>100-100</f>
        <v>0</v>
      </c>
      <c r="EZ53" s="326"/>
      <c r="FA53" s="326"/>
      <c r="FB53" s="326"/>
      <c r="FC53" s="326"/>
      <c r="FD53" s="326"/>
      <c r="FE53" s="326"/>
      <c r="FF53" s="326"/>
      <c r="FG53" s="330">
        <f>50-50</f>
        <v>0</v>
      </c>
      <c r="FH53" s="330">
        <f>100-100+10</f>
        <v>10</v>
      </c>
      <c r="FI53" s="326"/>
      <c r="FJ53" s="326"/>
      <c r="FK53" s="326"/>
      <c r="FL53" s="326"/>
      <c r="FM53" s="326"/>
      <c r="FN53" s="326"/>
      <c r="FO53" s="326"/>
      <c r="FP53" s="326"/>
      <c r="FQ53" s="326"/>
      <c r="FR53" s="326"/>
      <c r="FS53" s="326"/>
      <c r="FT53" s="326"/>
      <c r="FU53" s="326"/>
      <c r="FV53" s="326"/>
      <c r="FW53" s="326"/>
      <c r="FX53" s="326"/>
      <c r="FY53" s="326"/>
      <c r="FZ53" s="326"/>
      <c r="GA53" s="326"/>
      <c r="GB53" s="326"/>
      <c r="GC53" s="326"/>
      <c r="GD53" s="327" t="s">
        <v>850</v>
      </c>
      <c r="GE53" s="325" t="s">
        <v>887</v>
      </c>
      <c r="GF53" s="325" t="s">
        <v>522</v>
      </c>
      <c r="GG53" s="325" t="s">
        <v>850</v>
      </c>
      <c r="GH53" s="325" t="s">
        <v>562</v>
      </c>
      <c r="GI53" s="328">
        <f t="shared" si="8"/>
        <v>48</v>
      </c>
      <c r="GJ53" s="329" t="s">
        <v>906</v>
      </c>
    </row>
    <row r="54" spans="1:192" s="329" customFormat="1">
      <c r="A54" s="325" t="s">
        <v>526</v>
      </c>
      <c r="B54" s="325" t="s">
        <v>517</v>
      </c>
      <c r="C54" s="325" t="s">
        <v>555</v>
      </c>
      <c r="D54" s="325" t="s">
        <v>3</v>
      </c>
      <c r="E54" s="325" t="s">
        <v>581</v>
      </c>
      <c r="F54" s="325" t="s">
        <v>520</v>
      </c>
      <c r="G54" s="325"/>
      <c r="H54" s="326"/>
      <c r="I54" s="326"/>
      <c r="J54" s="326"/>
      <c r="K54" s="326"/>
      <c r="L54" s="326"/>
      <c r="M54" s="326"/>
      <c r="N54" s="326"/>
      <c r="O54" s="326"/>
      <c r="P54" s="326"/>
      <c r="Q54" s="326"/>
      <c r="R54" s="326"/>
      <c r="S54" s="326"/>
      <c r="T54" s="326"/>
      <c r="U54" s="326"/>
      <c r="V54" s="326"/>
      <c r="W54" s="326"/>
      <c r="X54" s="326"/>
      <c r="Y54" s="326"/>
      <c r="Z54" s="326"/>
      <c r="AA54" s="326"/>
      <c r="AB54" s="326"/>
      <c r="AC54" s="326"/>
      <c r="AD54" s="326"/>
      <c r="AE54" s="326"/>
      <c r="AF54" s="326"/>
      <c r="AG54" s="326"/>
      <c r="AH54" s="326"/>
      <c r="AI54" s="326"/>
      <c r="AJ54" s="326"/>
      <c r="AK54" s="326"/>
      <c r="AL54" s="326"/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26"/>
      <c r="AZ54" s="326"/>
      <c r="BA54" s="326"/>
      <c r="BB54" s="326"/>
      <c r="BC54" s="326"/>
      <c r="BD54" s="326"/>
      <c r="BE54" s="326"/>
      <c r="BF54" s="326"/>
      <c r="BG54" s="326"/>
      <c r="BH54" s="326"/>
      <c r="BI54" s="326"/>
      <c r="BJ54" s="326"/>
      <c r="BK54" s="326"/>
      <c r="BL54" s="326"/>
      <c r="BM54" s="326"/>
      <c r="BN54" s="326"/>
      <c r="BO54" s="326"/>
      <c r="BP54" s="326"/>
      <c r="BQ54" s="326"/>
      <c r="BR54" s="326"/>
      <c r="BS54" s="326"/>
      <c r="BT54" s="326"/>
      <c r="BU54" s="326"/>
      <c r="BV54" s="326"/>
      <c r="BW54" s="326"/>
      <c r="BX54" s="326"/>
      <c r="BY54" s="326"/>
      <c r="BZ54" s="326"/>
      <c r="CA54" s="326"/>
      <c r="CB54" s="326"/>
      <c r="CC54" s="326"/>
      <c r="CD54" s="326"/>
      <c r="CE54" s="326"/>
      <c r="CF54" s="326"/>
      <c r="CG54" s="326"/>
      <c r="CH54" s="326"/>
      <c r="CI54" s="326"/>
      <c r="CJ54" s="326"/>
      <c r="CK54" s="326"/>
      <c r="CL54" s="326"/>
      <c r="CM54" s="326"/>
      <c r="CN54" s="326"/>
      <c r="CO54" s="326"/>
      <c r="CP54" s="326"/>
      <c r="CQ54" s="326"/>
      <c r="CR54" s="326"/>
      <c r="CS54" s="326"/>
      <c r="CT54" s="326"/>
      <c r="CU54" s="326"/>
      <c r="CV54" s="326"/>
      <c r="CW54" s="326"/>
      <c r="CX54" s="326"/>
      <c r="CY54" s="326"/>
      <c r="CZ54" s="326"/>
      <c r="DA54" s="326"/>
      <c r="DB54" s="326"/>
      <c r="DC54" s="326"/>
      <c r="DD54" s="326"/>
      <c r="DE54" s="326"/>
      <c r="DF54" s="326"/>
      <c r="DG54" s="326"/>
      <c r="DH54" s="326"/>
      <c r="DI54" s="326"/>
      <c r="DJ54" s="326"/>
      <c r="DK54" s="326"/>
      <c r="DL54" s="326"/>
      <c r="DM54" s="326"/>
      <c r="DN54" s="326"/>
      <c r="DO54" s="326"/>
      <c r="DP54" s="326"/>
      <c r="DQ54" s="326"/>
      <c r="DR54" s="326"/>
      <c r="DS54" s="326"/>
      <c r="DT54" s="326"/>
      <c r="DU54" s="326"/>
      <c r="DV54" s="326"/>
      <c r="DW54" s="326"/>
      <c r="DX54" s="326"/>
      <c r="DY54" s="326"/>
      <c r="DZ54" s="326"/>
      <c r="EA54" s="326"/>
      <c r="EB54" s="326"/>
      <c r="EC54" s="326"/>
      <c r="ED54" s="326"/>
      <c r="EE54" s="326"/>
      <c r="EF54" s="326"/>
      <c r="EG54" s="326"/>
      <c r="EH54" s="326"/>
      <c r="EI54" s="326"/>
      <c r="EJ54" s="326"/>
      <c r="EK54" s="326"/>
      <c r="EL54" s="326"/>
      <c r="EM54" s="326"/>
      <c r="EN54" s="326"/>
      <c r="EO54" s="326"/>
      <c r="EP54" s="326"/>
      <c r="EQ54" s="326"/>
      <c r="ER54" s="326"/>
      <c r="ES54" s="326"/>
      <c r="ET54" s="326"/>
      <c r="EU54" s="326"/>
      <c r="EV54" s="326"/>
      <c r="EW54" s="326"/>
      <c r="EX54" s="326"/>
      <c r="EY54" s="326"/>
      <c r="EZ54" s="326"/>
      <c r="FA54" s="326"/>
      <c r="FB54" s="326"/>
      <c r="FC54" s="326"/>
      <c r="FD54" s="326"/>
      <c r="FE54" s="326"/>
      <c r="FF54" s="326"/>
      <c r="FG54" s="326"/>
      <c r="FH54" s="326"/>
      <c r="FI54" s="326"/>
      <c r="FJ54" s="326"/>
      <c r="FK54" s="326"/>
      <c r="FL54" s="326"/>
      <c r="FM54" s="326"/>
      <c r="FN54" s="326"/>
      <c r="FO54" s="326"/>
      <c r="FP54" s="326"/>
      <c r="FQ54" s="326"/>
      <c r="FR54" s="326"/>
      <c r="FS54" s="326"/>
      <c r="FT54" s="326"/>
      <c r="FU54" s="326"/>
      <c r="FV54" s="326"/>
      <c r="FW54" s="326"/>
      <c r="FX54" s="326"/>
      <c r="FY54" s="326"/>
      <c r="FZ54" s="326"/>
      <c r="GA54" s="326"/>
      <c r="GB54" s="326"/>
      <c r="GC54" s="326"/>
      <c r="GD54" s="327"/>
      <c r="GE54" s="325" t="s">
        <v>887</v>
      </c>
      <c r="GF54" s="325" t="s">
        <v>522</v>
      </c>
      <c r="GG54" s="325" t="s">
        <v>850</v>
      </c>
      <c r="GH54" s="325" t="s">
        <v>562</v>
      </c>
      <c r="GI54" s="328">
        <f t="shared" si="8"/>
        <v>0</v>
      </c>
      <c r="GJ54" s="329" t="s">
        <v>906</v>
      </c>
    </row>
    <row r="55" spans="1:192" s="329" customFormat="1">
      <c r="A55" s="325" t="s">
        <v>916</v>
      </c>
      <c r="B55" s="325" t="s">
        <v>517</v>
      </c>
      <c r="C55" s="325" t="s">
        <v>555</v>
      </c>
      <c r="D55" s="325" t="s">
        <v>636</v>
      </c>
      <c r="E55" s="325" t="s">
        <v>582</v>
      </c>
      <c r="F55" s="325" t="s">
        <v>520</v>
      </c>
      <c r="G55" s="325" t="s">
        <v>917</v>
      </c>
      <c r="H55" s="326"/>
      <c r="I55" s="326"/>
      <c r="J55" s="326"/>
      <c r="K55" s="326"/>
      <c r="L55" s="326"/>
      <c r="M55" s="326"/>
      <c r="N55" s="326"/>
      <c r="O55" s="326"/>
      <c r="P55" s="326"/>
      <c r="Q55" s="326"/>
      <c r="R55" s="326"/>
      <c r="S55" s="326"/>
      <c r="T55" s="326"/>
      <c r="U55" s="326"/>
      <c r="V55" s="326"/>
      <c r="W55" s="326"/>
      <c r="X55" s="326"/>
      <c r="Y55" s="326"/>
      <c r="Z55" s="326"/>
      <c r="AA55" s="326"/>
      <c r="AB55" s="326"/>
      <c r="AC55" s="326"/>
      <c r="AD55" s="326"/>
      <c r="AE55" s="326"/>
      <c r="AF55" s="326"/>
      <c r="AG55" s="326"/>
      <c r="AH55" s="326"/>
      <c r="AI55" s="326"/>
      <c r="AJ55" s="326"/>
      <c r="AK55" s="326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/>
      <c r="BE55" s="326"/>
      <c r="BF55" s="326"/>
      <c r="BG55" s="326"/>
      <c r="BH55" s="326"/>
      <c r="BI55" s="326"/>
      <c r="BJ55" s="326"/>
      <c r="BK55" s="326"/>
      <c r="BL55" s="326"/>
      <c r="BM55" s="326"/>
      <c r="BN55" s="326"/>
      <c r="BO55" s="326"/>
      <c r="BP55" s="326"/>
      <c r="BQ55" s="326"/>
      <c r="BR55" s="326"/>
      <c r="BS55" s="326"/>
      <c r="BT55" s="326"/>
      <c r="BU55" s="326"/>
      <c r="BV55" s="326"/>
      <c r="BW55" s="326"/>
      <c r="BX55" s="326"/>
      <c r="BY55" s="326"/>
      <c r="BZ55" s="326"/>
      <c r="CA55" s="326"/>
      <c r="CB55" s="326"/>
      <c r="CC55" s="326"/>
      <c r="CD55" s="326"/>
      <c r="CE55" s="326"/>
      <c r="CF55" s="326"/>
      <c r="CG55" s="326"/>
      <c r="CH55" s="326"/>
      <c r="CI55" s="326"/>
      <c r="CJ55" s="326"/>
      <c r="CK55" s="326"/>
      <c r="CL55" s="326"/>
      <c r="CM55" s="326"/>
      <c r="CN55" s="326"/>
      <c r="CO55" s="326"/>
      <c r="CP55" s="326"/>
      <c r="CQ55" s="326"/>
      <c r="CR55" s="326"/>
      <c r="CS55" s="326"/>
      <c r="CT55" s="326"/>
      <c r="CU55" s="326"/>
      <c r="CV55" s="326"/>
      <c r="CW55" s="326"/>
      <c r="CX55" s="326"/>
      <c r="CY55" s="326"/>
      <c r="CZ55" s="326"/>
      <c r="DA55" s="326"/>
      <c r="DB55" s="332">
        <v>20</v>
      </c>
      <c r="DC55" s="326"/>
      <c r="DD55" s="326"/>
      <c r="DE55" s="326"/>
      <c r="DF55" s="326"/>
      <c r="DG55" s="326"/>
      <c r="DH55" s="326"/>
      <c r="DI55" s="326"/>
      <c r="DJ55" s="326"/>
      <c r="DK55" s="326"/>
      <c r="DL55" s="326"/>
      <c r="DM55" s="326"/>
      <c r="DN55" s="326"/>
      <c r="DO55" s="326"/>
      <c r="DP55" s="326"/>
      <c r="DQ55" s="326"/>
      <c r="DR55" s="326"/>
      <c r="DS55" s="326"/>
      <c r="DT55" s="326"/>
      <c r="DU55" s="326"/>
      <c r="DV55" s="326"/>
      <c r="DW55" s="326"/>
      <c r="DX55" s="326"/>
      <c r="DY55" s="326"/>
      <c r="DZ55" s="326"/>
      <c r="EA55" s="326"/>
      <c r="EB55" s="326"/>
      <c r="EC55" s="326"/>
      <c r="ED55" s="326"/>
      <c r="EE55" s="326"/>
      <c r="EF55" s="326"/>
      <c r="EG55" s="326"/>
      <c r="EH55" s="326"/>
      <c r="EI55" s="332">
        <v>20</v>
      </c>
      <c r="EJ55" s="326"/>
      <c r="EK55" s="326"/>
      <c r="EL55" s="326"/>
      <c r="EM55" s="326"/>
      <c r="EN55" s="326"/>
      <c r="EO55" s="326"/>
      <c r="EP55" s="326"/>
      <c r="EQ55" s="326"/>
      <c r="ER55" s="326"/>
      <c r="ES55" s="326"/>
      <c r="ET55" s="326"/>
      <c r="EU55" s="326"/>
      <c r="EV55" s="326"/>
      <c r="EW55" s="326"/>
      <c r="EX55" s="326"/>
      <c r="EY55" s="326"/>
      <c r="EZ55" s="326"/>
      <c r="FA55" s="326"/>
      <c r="FB55" s="326"/>
      <c r="FC55" s="326"/>
      <c r="FD55" s="326"/>
      <c r="FE55" s="326"/>
      <c r="FF55" s="326"/>
      <c r="FG55" s="326"/>
      <c r="FH55" s="326"/>
      <c r="FI55" s="326"/>
      <c r="FJ55" s="326"/>
      <c r="FK55" s="326"/>
      <c r="FL55" s="332">
        <f>20</f>
        <v>20</v>
      </c>
      <c r="FM55" s="326"/>
      <c r="FN55" s="326"/>
      <c r="FO55" s="326"/>
      <c r="FP55" s="326"/>
      <c r="FQ55" s="326"/>
      <c r="FR55" s="326"/>
      <c r="FS55" s="326"/>
      <c r="FT55" s="326"/>
      <c r="FU55" s="326"/>
      <c r="FV55" s="326"/>
      <c r="FW55" s="326"/>
      <c r="FX55" s="326"/>
      <c r="FY55" s="326"/>
      <c r="FZ55" s="326"/>
      <c r="GA55" s="326"/>
      <c r="GB55" s="326"/>
      <c r="GC55" s="326"/>
      <c r="GD55" s="327"/>
      <c r="GE55" s="325" t="s">
        <v>887</v>
      </c>
      <c r="GF55" s="325" t="s">
        <v>522</v>
      </c>
      <c r="GG55" s="325" t="s">
        <v>850</v>
      </c>
      <c r="GH55" s="325" t="s">
        <v>585</v>
      </c>
      <c r="GI55" s="328">
        <f t="shared" si="8"/>
        <v>60</v>
      </c>
      <c r="GJ55" s="329" t="s">
        <v>905</v>
      </c>
    </row>
    <row r="56" spans="1:192" s="329" customFormat="1">
      <c r="A56" s="325" t="s">
        <v>916</v>
      </c>
      <c r="B56" s="325" t="s">
        <v>517</v>
      </c>
      <c r="C56" s="325" t="s">
        <v>555</v>
      </c>
      <c r="D56" s="325" t="s">
        <v>633</v>
      </c>
      <c r="E56" s="325" t="s">
        <v>582</v>
      </c>
      <c r="F56" s="325" t="s">
        <v>520</v>
      </c>
      <c r="G56" s="325" t="s">
        <v>917</v>
      </c>
      <c r="H56" s="326"/>
      <c r="I56" s="326"/>
      <c r="J56" s="326"/>
      <c r="K56" s="326"/>
      <c r="L56" s="326"/>
      <c r="M56" s="326"/>
      <c r="N56" s="326"/>
      <c r="O56" s="326"/>
      <c r="P56" s="326"/>
      <c r="Q56" s="326"/>
      <c r="R56" s="326"/>
      <c r="S56" s="326"/>
      <c r="T56" s="326"/>
      <c r="U56" s="326"/>
      <c r="V56" s="326"/>
      <c r="W56" s="326"/>
      <c r="X56" s="326"/>
      <c r="Y56" s="326"/>
      <c r="Z56" s="326"/>
      <c r="AA56" s="326"/>
      <c r="AB56" s="326"/>
      <c r="AC56" s="326"/>
      <c r="AD56" s="326"/>
      <c r="AE56" s="326"/>
      <c r="AF56" s="326"/>
      <c r="AG56" s="326"/>
      <c r="AH56" s="326"/>
      <c r="AI56" s="326"/>
      <c r="AJ56" s="326"/>
      <c r="AK56" s="326"/>
      <c r="AL56" s="326"/>
      <c r="AM56" s="326"/>
      <c r="AN56" s="326"/>
      <c r="AO56" s="326"/>
      <c r="AP56" s="326"/>
      <c r="AQ56" s="326"/>
      <c r="AR56" s="326"/>
      <c r="AS56" s="326"/>
      <c r="AT56" s="326"/>
      <c r="AU56" s="326"/>
      <c r="AV56" s="326"/>
      <c r="AW56" s="326"/>
      <c r="AX56" s="326"/>
      <c r="AY56" s="326"/>
      <c r="AZ56" s="326"/>
      <c r="BA56" s="326"/>
      <c r="BB56" s="326"/>
      <c r="BC56" s="330">
        <f>20-20+10</f>
        <v>10</v>
      </c>
      <c r="BD56" s="330">
        <f>10-10</f>
        <v>0</v>
      </c>
      <c r="BE56" s="330">
        <f>10-10</f>
        <v>0</v>
      </c>
      <c r="BF56" s="326"/>
      <c r="BG56" s="326"/>
      <c r="BH56" s="326"/>
      <c r="BI56" s="326"/>
      <c r="BJ56" s="326"/>
      <c r="BK56" s="326"/>
      <c r="BL56" s="326"/>
      <c r="BM56" s="326"/>
      <c r="BN56" s="330">
        <f>10-10</f>
        <v>0</v>
      </c>
      <c r="BO56" s="330">
        <f>5-5</f>
        <v>0</v>
      </c>
      <c r="BP56" s="330">
        <f>20-20+2</f>
        <v>2</v>
      </c>
      <c r="BQ56" s="330">
        <f>20-20+5</f>
        <v>5</v>
      </c>
      <c r="BR56" s="326"/>
      <c r="BS56" s="330">
        <f>10-10+2</f>
        <v>2</v>
      </c>
      <c r="BT56" s="326"/>
      <c r="BU56" s="326"/>
      <c r="BV56" s="326"/>
      <c r="BW56" s="326"/>
      <c r="BX56" s="326"/>
      <c r="BY56" s="326"/>
      <c r="BZ56" s="326"/>
      <c r="CA56" s="326"/>
      <c r="CB56" s="330">
        <f>5-5+2</f>
        <v>2</v>
      </c>
      <c r="CC56" s="326"/>
      <c r="CD56" s="326"/>
      <c r="CE56" s="326"/>
      <c r="CF56" s="330">
        <f>20-20+5</f>
        <v>5</v>
      </c>
      <c r="CG56" s="330">
        <f>10-10</f>
        <v>0</v>
      </c>
      <c r="CH56" s="326"/>
      <c r="CI56" s="330">
        <f>20-20</f>
        <v>0</v>
      </c>
      <c r="CJ56" s="326"/>
      <c r="CK56" s="326"/>
      <c r="CL56" s="330">
        <f>10-10+1</f>
        <v>1</v>
      </c>
      <c r="CM56" s="330">
        <f>20-20+2</f>
        <v>2</v>
      </c>
      <c r="CN56" s="326"/>
      <c r="CO56" s="330">
        <f>20-20</f>
        <v>0</v>
      </c>
      <c r="CP56" s="326"/>
      <c r="CQ56" s="330">
        <f>20-20+2</f>
        <v>2</v>
      </c>
      <c r="CR56" s="330">
        <f>30-30+10</f>
        <v>10</v>
      </c>
      <c r="CS56" s="326"/>
      <c r="CT56" s="330">
        <f>30-30</f>
        <v>0</v>
      </c>
      <c r="CU56" s="330">
        <f>40-40</f>
        <v>0</v>
      </c>
      <c r="CV56" s="326"/>
      <c r="CW56" s="326"/>
      <c r="CX56" s="330">
        <f>20-20+10</f>
        <v>10</v>
      </c>
      <c r="CY56" s="330">
        <f>50-50+10</f>
        <v>10</v>
      </c>
      <c r="CZ56" s="330">
        <f>60-60+5</f>
        <v>5</v>
      </c>
      <c r="DA56" s="330">
        <f>60-60+10</f>
        <v>10</v>
      </c>
      <c r="DB56" s="330">
        <f>100-100</f>
        <v>0</v>
      </c>
      <c r="DC56" s="326"/>
      <c r="DD56" s="326"/>
      <c r="DE56" s="326"/>
      <c r="DF56" s="326"/>
      <c r="DG56" s="326"/>
      <c r="DH56" s="326"/>
      <c r="DI56" s="330">
        <f>20-20</f>
        <v>0</v>
      </c>
      <c r="DJ56" s="330">
        <f>100-100+10</f>
        <v>10</v>
      </c>
      <c r="DK56" s="330">
        <f>670-670</f>
        <v>0</v>
      </c>
      <c r="DL56" s="330">
        <f>100-100+5</f>
        <v>5</v>
      </c>
      <c r="DM56" s="330">
        <f>100-100</f>
        <v>0</v>
      </c>
      <c r="DN56" s="326"/>
      <c r="DO56" s="326"/>
      <c r="DP56" s="326"/>
      <c r="DQ56" s="326"/>
      <c r="DR56" s="330">
        <f>50-50</f>
        <v>0</v>
      </c>
      <c r="DS56" s="326"/>
      <c r="DT56" s="326"/>
      <c r="DU56" s="326"/>
      <c r="DV56" s="326"/>
      <c r="DW56" s="326"/>
      <c r="DX56" s="326"/>
      <c r="DY56" s="330">
        <f>40-40+20</f>
        <v>20</v>
      </c>
      <c r="DZ56" s="326"/>
      <c r="EA56" s="326"/>
      <c r="EB56" s="326"/>
      <c r="EC56" s="326"/>
      <c r="ED56" s="330">
        <f>60-60</f>
        <v>0</v>
      </c>
      <c r="EE56" s="326"/>
      <c r="EF56" s="330">
        <f>60-60</f>
        <v>0</v>
      </c>
      <c r="EG56" s="326"/>
      <c r="EH56" s="326"/>
      <c r="EI56" s="330">
        <f>40-40</f>
        <v>0</v>
      </c>
      <c r="EJ56" s="326"/>
      <c r="EK56" s="326"/>
      <c r="EL56" s="330">
        <f>20-20</f>
        <v>0</v>
      </c>
      <c r="EM56" s="330">
        <f>20-20</f>
        <v>0</v>
      </c>
      <c r="EN56" s="330">
        <f>20-20</f>
        <v>0</v>
      </c>
      <c r="EO56" s="330">
        <f>40-40</f>
        <v>0</v>
      </c>
      <c r="EP56" s="330">
        <f>100-100+40</f>
        <v>40</v>
      </c>
      <c r="EQ56" s="326"/>
      <c r="ER56" s="330">
        <f>100-100+100</f>
        <v>100</v>
      </c>
      <c r="ES56" s="330">
        <f>100-100</f>
        <v>0</v>
      </c>
      <c r="ET56" s="326"/>
      <c r="EU56" s="326"/>
      <c r="EV56" s="326"/>
      <c r="EW56" s="330">
        <f>100-100</f>
        <v>0</v>
      </c>
      <c r="EX56" s="326"/>
      <c r="EY56" s="326"/>
      <c r="EZ56" s="326"/>
      <c r="FA56" s="326"/>
      <c r="FB56" s="326"/>
      <c r="FC56" s="326"/>
      <c r="FD56" s="326"/>
      <c r="FE56" s="326"/>
      <c r="FF56" s="326"/>
      <c r="FG56" s="330">
        <f>40-40</f>
        <v>0</v>
      </c>
      <c r="FH56" s="330">
        <f>40-40+10</f>
        <v>10</v>
      </c>
      <c r="FI56" s="330">
        <f>60-60+10</f>
        <v>10</v>
      </c>
      <c r="FJ56" s="326"/>
      <c r="FK56" s="326"/>
      <c r="FL56" s="330">
        <f>20-20</f>
        <v>0</v>
      </c>
      <c r="FM56" s="326"/>
      <c r="FN56" s="326"/>
      <c r="FO56" s="326"/>
      <c r="FP56" s="326"/>
      <c r="FQ56" s="326"/>
      <c r="FR56" s="326"/>
      <c r="FS56" s="326"/>
      <c r="FT56" s="326"/>
      <c r="FU56" s="326"/>
      <c r="FV56" s="326"/>
      <c r="FW56" s="326"/>
      <c r="FX56" s="326"/>
      <c r="FY56" s="326"/>
      <c r="FZ56" s="326"/>
      <c r="GA56" s="326"/>
      <c r="GB56" s="326"/>
      <c r="GC56" s="326"/>
      <c r="GD56" s="327" t="s">
        <v>850</v>
      </c>
      <c r="GE56" s="325" t="s">
        <v>887</v>
      </c>
      <c r="GF56" s="325" t="s">
        <v>522</v>
      </c>
      <c r="GG56" s="325" t="s">
        <v>850</v>
      </c>
      <c r="GH56" s="325" t="s">
        <v>585</v>
      </c>
      <c r="GI56" s="328">
        <f t="shared" si="8"/>
        <v>271</v>
      </c>
      <c r="GJ56" s="329" t="s">
        <v>905</v>
      </c>
    </row>
    <row r="57" spans="1:192" s="329" customFormat="1">
      <c r="A57" s="325" t="s">
        <v>916</v>
      </c>
      <c r="B57" s="325" t="s">
        <v>517</v>
      </c>
      <c r="C57" s="325" t="s">
        <v>555</v>
      </c>
      <c r="D57" s="325" t="s">
        <v>3</v>
      </c>
      <c r="E57" s="325" t="s">
        <v>582</v>
      </c>
      <c r="F57" s="325" t="s">
        <v>520</v>
      </c>
      <c r="G57" s="325"/>
      <c r="H57" s="326"/>
      <c r="I57" s="326"/>
      <c r="J57" s="326"/>
      <c r="K57" s="326"/>
      <c r="L57" s="326"/>
      <c r="M57" s="326"/>
      <c r="N57" s="326"/>
      <c r="O57" s="326"/>
      <c r="P57" s="326"/>
      <c r="Q57" s="326"/>
      <c r="R57" s="326"/>
      <c r="S57" s="326"/>
      <c r="T57" s="326"/>
      <c r="U57" s="326"/>
      <c r="V57" s="326"/>
      <c r="W57" s="326"/>
      <c r="X57" s="326"/>
      <c r="Y57" s="326"/>
      <c r="Z57" s="326"/>
      <c r="AA57" s="326"/>
      <c r="AB57" s="326"/>
      <c r="AC57" s="326"/>
      <c r="AD57" s="326"/>
      <c r="AE57" s="326"/>
      <c r="AF57" s="326"/>
      <c r="AG57" s="326"/>
      <c r="AH57" s="326"/>
      <c r="AI57" s="326"/>
      <c r="AJ57" s="326"/>
      <c r="AK57" s="326"/>
      <c r="AL57" s="326"/>
      <c r="AM57" s="326"/>
      <c r="AN57" s="326"/>
      <c r="AO57" s="326"/>
      <c r="AP57" s="326"/>
      <c r="AQ57" s="326"/>
      <c r="AR57" s="326"/>
      <c r="AS57" s="326"/>
      <c r="AT57" s="326"/>
      <c r="AU57" s="326"/>
      <c r="AV57" s="326"/>
      <c r="AW57" s="326"/>
      <c r="AX57" s="326"/>
      <c r="AY57" s="326"/>
      <c r="AZ57" s="326"/>
      <c r="BA57" s="326"/>
      <c r="BB57" s="326"/>
      <c r="BC57" s="326"/>
      <c r="BD57" s="326"/>
      <c r="BE57" s="326"/>
      <c r="BF57" s="326"/>
      <c r="BG57" s="326"/>
      <c r="BH57" s="326"/>
      <c r="BI57" s="326"/>
      <c r="BJ57" s="326"/>
      <c r="BK57" s="326"/>
      <c r="BL57" s="326"/>
      <c r="BM57" s="326"/>
      <c r="BN57" s="326"/>
      <c r="BO57" s="326"/>
      <c r="BP57" s="326"/>
      <c r="BQ57" s="326"/>
      <c r="BR57" s="326"/>
      <c r="BS57" s="326"/>
      <c r="BT57" s="326"/>
      <c r="BU57" s="326"/>
      <c r="BV57" s="326"/>
      <c r="BW57" s="326"/>
      <c r="BX57" s="326"/>
      <c r="BY57" s="326"/>
      <c r="BZ57" s="326"/>
      <c r="CA57" s="326"/>
      <c r="CB57" s="326"/>
      <c r="CC57" s="326"/>
      <c r="CD57" s="326"/>
      <c r="CE57" s="326"/>
      <c r="CF57" s="326"/>
      <c r="CG57" s="326"/>
      <c r="CH57" s="326"/>
      <c r="CI57" s="326"/>
      <c r="CJ57" s="326"/>
      <c r="CK57" s="326"/>
      <c r="CL57" s="326"/>
      <c r="CM57" s="326"/>
      <c r="CN57" s="326"/>
      <c r="CO57" s="326"/>
      <c r="CP57" s="326"/>
      <c r="CQ57" s="326"/>
      <c r="CR57" s="326"/>
      <c r="CS57" s="326"/>
      <c r="CT57" s="326"/>
      <c r="CU57" s="326"/>
      <c r="CV57" s="326"/>
      <c r="CW57" s="326"/>
      <c r="CX57" s="326"/>
      <c r="CY57" s="326"/>
      <c r="CZ57" s="326"/>
      <c r="DA57" s="326"/>
      <c r="DB57" s="326"/>
      <c r="DC57" s="326"/>
      <c r="DD57" s="326"/>
      <c r="DE57" s="326"/>
      <c r="DF57" s="326"/>
      <c r="DG57" s="326"/>
      <c r="DH57" s="326"/>
      <c r="DI57" s="326"/>
      <c r="DJ57" s="326"/>
      <c r="DK57" s="326"/>
      <c r="DL57" s="326"/>
      <c r="DM57" s="326"/>
      <c r="DN57" s="326"/>
      <c r="DO57" s="326"/>
      <c r="DP57" s="326"/>
      <c r="DQ57" s="326"/>
      <c r="DR57" s="326"/>
      <c r="DS57" s="326"/>
      <c r="DT57" s="326"/>
      <c r="DU57" s="326"/>
      <c r="DV57" s="326"/>
      <c r="DW57" s="326"/>
      <c r="DX57" s="326"/>
      <c r="DY57" s="326"/>
      <c r="DZ57" s="326"/>
      <c r="EA57" s="326"/>
      <c r="EB57" s="326"/>
      <c r="EC57" s="326"/>
      <c r="ED57" s="326"/>
      <c r="EE57" s="326"/>
      <c r="EF57" s="326"/>
      <c r="EG57" s="326"/>
      <c r="EH57" s="326"/>
      <c r="EI57" s="326"/>
      <c r="EJ57" s="326"/>
      <c r="EK57" s="326"/>
      <c r="EL57" s="326"/>
      <c r="EM57" s="326"/>
      <c r="EN57" s="326"/>
      <c r="EO57" s="326"/>
      <c r="EP57" s="326"/>
      <c r="EQ57" s="326"/>
      <c r="ER57" s="326"/>
      <c r="ES57" s="326"/>
      <c r="ET57" s="326"/>
      <c r="EU57" s="326"/>
      <c r="EV57" s="326"/>
      <c r="EW57" s="326"/>
      <c r="EX57" s="326"/>
      <c r="EY57" s="326"/>
      <c r="EZ57" s="326"/>
      <c r="FA57" s="326"/>
      <c r="FB57" s="326"/>
      <c r="FC57" s="326"/>
      <c r="FD57" s="326"/>
      <c r="FE57" s="326"/>
      <c r="FF57" s="326"/>
      <c r="FG57" s="326"/>
      <c r="FH57" s="326"/>
      <c r="FI57" s="326"/>
      <c r="FJ57" s="326"/>
      <c r="FK57" s="326"/>
      <c r="FL57" s="326"/>
      <c r="FM57" s="326"/>
      <c r="FN57" s="326"/>
      <c r="FO57" s="326"/>
      <c r="FP57" s="326"/>
      <c r="FQ57" s="326"/>
      <c r="FR57" s="326"/>
      <c r="FS57" s="326"/>
      <c r="FT57" s="326"/>
      <c r="FU57" s="326"/>
      <c r="FV57" s="326"/>
      <c r="FW57" s="326"/>
      <c r="FX57" s="326"/>
      <c r="FY57" s="326"/>
      <c r="FZ57" s="326"/>
      <c r="GA57" s="326"/>
      <c r="GB57" s="326"/>
      <c r="GC57" s="326"/>
      <c r="GD57" s="327"/>
      <c r="GE57" s="325" t="s">
        <v>887</v>
      </c>
      <c r="GF57" s="325" t="s">
        <v>522</v>
      </c>
      <c r="GG57" s="325" t="s">
        <v>850</v>
      </c>
      <c r="GH57" s="325" t="s">
        <v>585</v>
      </c>
      <c r="GI57" s="328">
        <f t="shared" si="8"/>
        <v>0</v>
      </c>
      <c r="GJ57" s="329" t="s">
        <v>905</v>
      </c>
    </row>
    <row r="58" spans="1:192" s="329" customFormat="1">
      <c r="A58" s="325" t="s">
        <v>918</v>
      </c>
      <c r="B58" s="325" t="s">
        <v>517</v>
      </c>
      <c r="C58" s="325" t="s">
        <v>555</v>
      </c>
      <c r="D58" s="325" t="s">
        <v>636</v>
      </c>
      <c r="E58" s="325" t="s">
        <v>586</v>
      </c>
      <c r="F58" s="325" t="s">
        <v>520</v>
      </c>
      <c r="G58" s="325" t="s">
        <v>919</v>
      </c>
      <c r="H58" s="326"/>
      <c r="I58" s="326"/>
      <c r="J58" s="326"/>
      <c r="K58" s="326"/>
      <c r="L58" s="326"/>
      <c r="M58" s="326"/>
      <c r="N58" s="326"/>
      <c r="O58" s="326"/>
      <c r="P58" s="326"/>
      <c r="Q58" s="326"/>
      <c r="R58" s="326"/>
      <c r="S58" s="326"/>
      <c r="T58" s="326"/>
      <c r="U58" s="326"/>
      <c r="V58" s="326"/>
      <c r="W58" s="326"/>
      <c r="X58" s="326"/>
      <c r="Y58" s="326"/>
      <c r="Z58" s="326"/>
      <c r="AA58" s="326"/>
      <c r="AB58" s="326"/>
      <c r="AC58" s="326"/>
      <c r="AD58" s="326"/>
      <c r="AE58" s="326"/>
      <c r="AF58" s="326"/>
      <c r="AG58" s="326"/>
      <c r="AH58" s="326"/>
      <c r="AI58" s="326"/>
      <c r="AJ58" s="326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/>
      <c r="BA58" s="326"/>
      <c r="BB58" s="326"/>
      <c r="BC58" s="326"/>
      <c r="BD58" s="326"/>
      <c r="BE58" s="326"/>
      <c r="BF58" s="326"/>
      <c r="BG58" s="326"/>
      <c r="BH58" s="326"/>
      <c r="BI58" s="326"/>
      <c r="BJ58" s="326"/>
      <c r="BK58" s="326"/>
      <c r="BL58" s="326"/>
      <c r="BM58" s="326"/>
      <c r="BN58" s="326"/>
      <c r="BO58" s="326"/>
      <c r="BP58" s="326"/>
      <c r="BQ58" s="326"/>
      <c r="BR58" s="326"/>
      <c r="BS58" s="326"/>
      <c r="BT58" s="326"/>
      <c r="BU58" s="326"/>
      <c r="BV58" s="326"/>
      <c r="BW58" s="326"/>
      <c r="BX58" s="326"/>
      <c r="BY58" s="326"/>
      <c r="BZ58" s="326"/>
      <c r="CA58" s="326"/>
      <c r="CB58" s="326"/>
      <c r="CC58" s="326"/>
      <c r="CD58" s="326"/>
      <c r="CE58" s="326"/>
      <c r="CF58" s="326"/>
      <c r="CG58" s="326"/>
      <c r="CH58" s="326"/>
      <c r="CI58" s="326"/>
      <c r="CJ58" s="326"/>
      <c r="CK58" s="326"/>
      <c r="CL58" s="326"/>
      <c r="CM58" s="326"/>
      <c r="CN58" s="326"/>
      <c r="CO58" s="326"/>
      <c r="CP58" s="326"/>
      <c r="CQ58" s="326"/>
      <c r="CR58" s="326"/>
      <c r="CS58" s="326"/>
      <c r="CT58" s="326"/>
      <c r="CU58" s="326"/>
      <c r="CV58" s="326"/>
      <c r="CW58" s="326"/>
      <c r="CX58" s="326"/>
      <c r="CY58" s="326"/>
      <c r="CZ58" s="326"/>
      <c r="DA58" s="326"/>
      <c r="DB58" s="332">
        <v>20</v>
      </c>
      <c r="DC58" s="326"/>
      <c r="DD58" s="326"/>
      <c r="DE58" s="326"/>
      <c r="DF58" s="326"/>
      <c r="DG58" s="326"/>
      <c r="DH58" s="326"/>
      <c r="DI58" s="326"/>
      <c r="DJ58" s="326"/>
      <c r="DK58" s="326"/>
      <c r="DL58" s="326"/>
      <c r="DM58" s="326"/>
      <c r="DN58" s="326"/>
      <c r="DO58" s="326"/>
      <c r="DP58" s="326"/>
      <c r="DQ58" s="326"/>
      <c r="DR58" s="326"/>
      <c r="DS58" s="326"/>
      <c r="DT58" s="326"/>
      <c r="DU58" s="326"/>
      <c r="DV58" s="326"/>
      <c r="DW58" s="326"/>
      <c r="DX58" s="326"/>
      <c r="DY58" s="326"/>
      <c r="DZ58" s="326"/>
      <c r="EA58" s="326"/>
      <c r="EB58" s="326"/>
      <c r="EC58" s="326"/>
      <c r="ED58" s="326"/>
      <c r="EE58" s="326"/>
      <c r="EF58" s="326"/>
      <c r="EG58" s="326"/>
      <c r="EH58" s="326"/>
      <c r="EI58" s="332">
        <v>40</v>
      </c>
      <c r="EJ58" s="326"/>
      <c r="EK58" s="326"/>
      <c r="EL58" s="326"/>
      <c r="EM58" s="326"/>
      <c r="EN58" s="326"/>
      <c r="EO58" s="326"/>
      <c r="EP58" s="326"/>
      <c r="EQ58" s="326"/>
      <c r="ER58" s="326"/>
      <c r="ES58" s="326"/>
      <c r="ET58" s="326"/>
      <c r="EU58" s="326"/>
      <c r="EV58" s="326"/>
      <c r="EW58" s="326"/>
      <c r="EX58" s="326"/>
      <c r="EY58" s="326"/>
      <c r="EZ58" s="326"/>
      <c r="FA58" s="326"/>
      <c r="FB58" s="326"/>
      <c r="FC58" s="326"/>
      <c r="FD58" s="326"/>
      <c r="FE58" s="326"/>
      <c r="FF58" s="326"/>
      <c r="FG58" s="326"/>
      <c r="FH58" s="326"/>
      <c r="FI58" s="326"/>
      <c r="FJ58" s="326"/>
      <c r="FK58" s="326"/>
      <c r="FL58" s="326"/>
      <c r="FM58" s="326"/>
      <c r="FN58" s="326"/>
      <c r="FO58" s="326"/>
      <c r="FP58" s="326"/>
      <c r="FQ58" s="326"/>
      <c r="FR58" s="326"/>
      <c r="FS58" s="326"/>
      <c r="FT58" s="326"/>
      <c r="FU58" s="326"/>
      <c r="FV58" s="326"/>
      <c r="FW58" s="326"/>
      <c r="FX58" s="326"/>
      <c r="FY58" s="326"/>
      <c r="FZ58" s="326"/>
      <c r="GA58" s="326"/>
      <c r="GB58" s="326"/>
      <c r="GC58" s="326"/>
      <c r="GD58" s="327"/>
      <c r="GE58" s="325" t="s">
        <v>887</v>
      </c>
      <c r="GF58" s="325" t="s">
        <v>522</v>
      </c>
      <c r="GG58" s="325" t="s">
        <v>850</v>
      </c>
      <c r="GH58" s="325" t="s">
        <v>579</v>
      </c>
      <c r="GI58" s="328">
        <f t="shared" si="8"/>
        <v>60</v>
      </c>
      <c r="GJ58" s="329" t="s">
        <v>920</v>
      </c>
    </row>
    <row r="59" spans="1:192" s="329" customFormat="1">
      <c r="A59" s="325" t="s">
        <v>918</v>
      </c>
      <c r="B59" s="325" t="s">
        <v>517</v>
      </c>
      <c r="C59" s="325" t="s">
        <v>555</v>
      </c>
      <c r="D59" s="325" t="s">
        <v>633</v>
      </c>
      <c r="E59" s="325" t="s">
        <v>586</v>
      </c>
      <c r="F59" s="325" t="s">
        <v>520</v>
      </c>
      <c r="G59" s="325" t="s">
        <v>919</v>
      </c>
      <c r="H59" s="326"/>
      <c r="I59" s="326"/>
      <c r="J59" s="326"/>
      <c r="K59" s="326"/>
      <c r="L59" s="326"/>
      <c r="M59" s="330">
        <f>10-10</f>
        <v>0</v>
      </c>
      <c r="N59" s="330">
        <f>10-10</f>
        <v>0</v>
      </c>
      <c r="O59" s="330">
        <f>10-10</f>
        <v>0</v>
      </c>
      <c r="P59" s="326"/>
      <c r="Q59" s="326"/>
      <c r="R59" s="326"/>
      <c r="S59" s="330">
        <f>20-20</f>
        <v>0</v>
      </c>
      <c r="T59" s="330">
        <f>20-20</f>
        <v>0</v>
      </c>
      <c r="U59" s="326"/>
      <c r="V59" s="326"/>
      <c r="W59" s="326"/>
      <c r="X59" s="330">
        <f>20-20</f>
        <v>0</v>
      </c>
      <c r="Y59" s="330">
        <f>20-20+5</f>
        <v>5</v>
      </c>
      <c r="Z59" s="326"/>
      <c r="AA59" s="330">
        <f>20-20</f>
        <v>0</v>
      </c>
      <c r="AB59" s="330">
        <f>40-40+5</f>
        <v>5</v>
      </c>
      <c r="AC59" s="330">
        <f>40-40+5</f>
        <v>5</v>
      </c>
      <c r="AD59" s="330">
        <f>40-40</f>
        <v>0</v>
      </c>
      <c r="AE59" s="326"/>
      <c r="AF59" s="326"/>
      <c r="AG59" s="326"/>
      <c r="AH59" s="326"/>
      <c r="AI59" s="326"/>
      <c r="AJ59" s="326"/>
      <c r="AK59" s="326"/>
      <c r="AL59" s="326"/>
      <c r="AM59" s="326"/>
      <c r="AN59" s="326"/>
      <c r="AO59" s="326"/>
      <c r="AP59" s="326"/>
      <c r="AQ59" s="326"/>
      <c r="AR59" s="326"/>
      <c r="AS59" s="326"/>
      <c r="AT59" s="326"/>
      <c r="AU59" s="326"/>
      <c r="AV59" s="326"/>
      <c r="AW59" s="326"/>
      <c r="AX59" s="326"/>
      <c r="AY59" s="326"/>
      <c r="AZ59" s="330">
        <f>10-10+5</f>
        <v>5</v>
      </c>
      <c r="BA59" s="330">
        <f t="shared" ref="BA59:BF59" si="11">10-10</f>
        <v>0</v>
      </c>
      <c r="BB59" s="326"/>
      <c r="BC59" s="330">
        <f>10-10+10</f>
        <v>10</v>
      </c>
      <c r="BD59" s="330">
        <f t="shared" si="11"/>
        <v>0</v>
      </c>
      <c r="BE59" s="330">
        <f t="shared" si="11"/>
        <v>0</v>
      </c>
      <c r="BF59" s="330">
        <f t="shared" si="11"/>
        <v>0</v>
      </c>
      <c r="BG59" s="326"/>
      <c r="BH59" s="326"/>
      <c r="BI59" s="326"/>
      <c r="BJ59" s="326"/>
      <c r="BK59" s="326"/>
      <c r="BL59" s="326"/>
      <c r="BM59" s="326"/>
      <c r="BN59" s="330">
        <f>20-20</f>
        <v>0</v>
      </c>
      <c r="BO59" s="330">
        <f>20-20</f>
        <v>0</v>
      </c>
      <c r="BP59" s="330">
        <f>40-40+10</f>
        <v>10</v>
      </c>
      <c r="BQ59" s="330">
        <f>20-20+10</f>
        <v>10</v>
      </c>
      <c r="BR59" s="330">
        <f>20-20</f>
        <v>0</v>
      </c>
      <c r="BS59" s="326"/>
      <c r="BT59" s="326"/>
      <c r="BU59" s="326"/>
      <c r="BV59" s="326"/>
      <c r="BW59" s="326"/>
      <c r="BX59" s="326"/>
      <c r="BY59" s="326"/>
      <c r="BZ59" s="326"/>
      <c r="CA59" s="326"/>
      <c r="CB59" s="330">
        <f>20-20+5</f>
        <v>5</v>
      </c>
      <c r="CC59" s="330">
        <f>20-20+2</f>
        <v>2</v>
      </c>
      <c r="CD59" s="326"/>
      <c r="CE59" s="326"/>
      <c r="CF59" s="330">
        <f>40-40+10</f>
        <v>10</v>
      </c>
      <c r="CG59" s="330">
        <f>40-40</f>
        <v>0</v>
      </c>
      <c r="CH59" s="326"/>
      <c r="CI59" s="330">
        <f>20-20</f>
        <v>0</v>
      </c>
      <c r="CJ59" s="332">
        <v>10</v>
      </c>
      <c r="CK59" s="330">
        <f>20-20+6</f>
        <v>6</v>
      </c>
      <c r="CL59" s="330">
        <f>40-40+1</f>
        <v>1</v>
      </c>
      <c r="CM59" s="330">
        <f>60-60+10</f>
        <v>10</v>
      </c>
      <c r="CN59" s="326"/>
      <c r="CO59" s="330">
        <f>40-40</f>
        <v>0</v>
      </c>
      <c r="CP59" s="330">
        <f>40-40</f>
        <v>0</v>
      </c>
      <c r="CQ59" s="330">
        <f>60-60+10</f>
        <v>10</v>
      </c>
      <c r="CR59" s="330">
        <f>60-60+20</f>
        <v>20</v>
      </c>
      <c r="CS59" s="326"/>
      <c r="CT59" s="330">
        <f>60-60</f>
        <v>0</v>
      </c>
      <c r="CU59" s="326"/>
      <c r="CV59" s="326"/>
      <c r="CW59" s="326"/>
      <c r="CX59" s="330">
        <f>40-40+10</f>
        <v>10</v>
      </c>
      <c r="CY59" s="330">
        <f>40-40+10</f>
        <v>10</v>
      </c>
      <c r="CZ59" s="330">
        <f>40-40+20</f>
        <v>20</v>
      </c>
      <c r="DA59" s="330">
        <f>40-40+10</f>
        <v>10</v>
      </c>
      <c r="DB59" s="330">
        <f>40-40</f>
        <v>0</v>
      </c>
      <c r="DC59" s="326"/>
      <c r="DD59" s="326"/>
      <c r="DE59" s="326"/>
      <c r="DF59" s="326"/>
      <c r="DG59" s="330">
        <f>20-20</f>
        <v>0</v>
      </c>
      <c r="DH59" s="326"/>
      <c r="DI59" s="330">
        <f>60-60</f>
        <v>0</v>
      </c>
      <c r="DJ59" s="330">
        <f>100-100+20</f>
        <v>20</v>
      </c>
      <c r="DK59" s="330">
        <f>60-60</f>
        <v>0</v>
      </c>
      <c r="DL59" s="330">
        <f>100-100+20</f>
        <v>20</v>
      </c>
      <c r="DM59" s="330">
        <f>60-60</f>
        <v>0</v>
      </c>
      <c r="DN59" s="326"/>
      <c r="DO59" s="326"/>
      <c r="DP59" s="326"/>
      <c r="DQ59" s="326"/>
      <c r="DR59" s="330">
        <f>200-200</f>
        <v>0</v>
      </c>
      <c r="DS59" s="326"/>
      <c r="DT59" s="326"/>
      <c r="DU59" s="326"/>
      <c r="DV59" s="326"/>
      <c r="DW59" s="326"/>
      <c r="DX59" s="326"/>
      <c r="DY59" s="330">
        <f>200-200+40</f>
        <v>40</v>
      </c>
      <c r="DZ59" s="326"/>
      <c r="EA59" s="326"/>
      <c r="EB59" s="326"/>
      <c r="EC59" s="326"/>
      <c r="ED59" s="330">
        <f>100-100</f>
        <v>0</v>
      </c>
      <c r="EE59" s="330">
        <f>100-100</f>
        <v>0</v>
      </c>
      <c r="EF59" s="330">
        <f>100-100</f>
        <v>0</v>
      </c>
      <c r="EG59" s="326"/>
      <c r="EH59" s="326"/>
      <c r="EI59" s="330">
        <f>100-100</f>
        <v>0</v>
      </c>
      <c r="EJ59" s="326"/>
      <c r="EK59" s="326"/>
      <c r="EL59" s="330">
        <f>100-100</f>
        <v>0</v>
      </c>
      <c r="EM59" s="330">
        <f>100-100</f>
        <v>0</v>
      </c>
      <c r="EN59" s="326"/>
      <c r="EO59" s="326"/>
      <c r="EP59" s="330">
        <f>100-100+60</f>
        <v>60</v>
      </c>
      <c r="EQ59" s="326"/>
      <c r="ER59" s="330">
        <f>100-100+100</f>
        <v>100</v>
      </c>
      <c r="ES59" s="330">
        <f>100-100</f>
        <v>0</v>
      </c>
      <c r="ET59" s="326"/>
      <c r="EU59" s="326"/>
      <c r="EV59" s="326"/>
      <c r="EW59" s="330">
        <f>100-100</f>
        <v>0</v>
      </c>
      <c r="EX59" s="326"/>
      <c r="EY59" s="326"/>
      <c r="EZ59" s="326"/>
      <c r="FA59" s="326"/>
      <c r="FB59" s="326"/>
      <c r="FC59" s="326"/>
      <c r="FD59" s="326"/>
      <c r="FE59" s="326"/>
      <c r="FF59" s="326"/>
      <c r="FG59" s="330">
        <f>100-100</f>
        <v>0</v>
      </c>
      <c r="FH59" s="330">
        <f>100-100</f>
        <v>0</v>
      </c>
      <c r="FI59" s="330">
        <f>100-100+20</f>
        <v>20</v>
      </c>
      <c r="FJ59" s="326"/>
      <c r="FK59" s="326"/>
      <c r="FL59" s="326"/>
      <c r="FM59" s="326"/>
      <c r="FN59" s="326"/>
      <c r="FO59" s="326"/>
      <c r="FP59" s="326"/>
      <c r="FQ59" s="326"/>
      <c r="FR59" s="326"/>
      <c r="FS59" s="326"/>
      <c r="FT59" s="326"/>
      <c r="FU59" s="326"/>
      <c r="FV59" s="326"/>
      <c r="FW59" s="326"/>
      <c r="FX59" s="326"/>
      <c r="FY59" s="326"/>
      <c r="FZ59" s="326"/>
      <c r="GA59" s="326"/>
      <c r="GB59" s="326"/>
      <c r="GC59" s="326"/>
      <c r="GD59" s="327" t="s">
        <v>850</v>
      </c>
      <c r="GE59" s="325" t="s">
        <v>887</v>
      </c>
      <c r="GF59" s="325" t="s">
        <v>522</v>
      </c>
      <c r="GG59" s="325" t="s">
        <v>850</v>
      </c>
      <c r="GH59" s="325" t="s">
        <v>579</v>
      </c>
      <c r="GI59" s="328">
        <f t="shared" si="8"/>
        <v>434</v>
      </c>
      <c r="GJ59" s="329" t="s">
        <v>920</v>
      </c>
    </row>
    <row r="60" spans="1:192" s="329" customFormat="1">
      <c r="A60" s="325" t="s">
        <v>918</v>
      </c>
      <c r="B60" s="325" t="s">
        <v>517</v>
      </c>
      <c r="C60" s="325" t="s">
        <v>555</v>
      </c>
      <c r="D60" s="325" t="s">
        <v>3</v>
      </c>
      <c r="E60" s="325" t="s">
        <v>586</v>
      </c>
      <c r="F60" s="325" t="s">
        <v>520</v>
      </c>
      <c r="G60" s="325" t="s">
        <v>921</v>
      </c>
      <c r="H60" s="326"/>
      <c r="I60" s="326"/>
      <c r="J60" s="326"/>
      <c r="K60" s="326"/>
      <c r="L60" s="326"/>
      <c r="M60" s="326"/>
      <c r="N60" s="326"/>
      <c r="O60" s="326"/>
      <c r="P60" s="326"/>
      <c r="Q60" s="326"/>
      <c r="R60" s="326"/>
      <c r="S60" s="326"/>
      <c r="T60" s="326"/>
      <c r="U60" s="326"/>
      <c r="V60" s="326"/>
      <c r="W60" s="326"/>
      <c r="X60" s="326"/>
      <c r="Y60" s="326"/>
      <c r="Z60" s="326"/>
      <c r="AA60" s="326"/>
      <c r="AB60" s="326"/>
      <c r="AC60" s="326"/>
      <c r="AD60" s="326"/>
      <c r="AE60" s="326"/>
      <c r="AF60" s="326"/>
      <c r="AG60" s="326"/>
      <c r="AH60" s="326"/>
      <c r="AI60" s="326"/>
      <c r="AJ60" s="326"/>
      <c r="AK60" s="326"/>
      <c r="AL60" s="326"/>
      <c r="AM60" s="326"/>
      <c r="AN60" s="326"/>
      <c r="AO60" s="326"/>
      <c r="AP60" s="326"/>
      <c r="AQ60" s="326"/>
      <c r="AR60" s="326"/>
      <c r="AS60" s="326"/>
      <c r="AT60" s="326"/>
      <c r="AU60" s="326"/>
      <c r="AV60" s="326"/>
      <c r="AW60" s="326"/>
      <c r="AX60" s="326"/>
      <c r="AY60" s="326"/>
      <c r="AZ60" s="326"/>
      <c r="BA60" s="326"/>
      <c r="BB60" s="326"/>
      <c r="BC60" s="326"/>
      <c r="BD60" s="326"/>
      <c r="BE60" s="326"/>
      <c r="BF60" s="326"/>
      <c r="BG60" s="326"/>
      <c r="BH60" s="326"/>
      <c r="BI60" s="326"/>
      <c r="BJ60" s="326"/>
      <c r="BK60" s="326"/>
      <c r="BL60" s="326"/>
      <c r="BM60" s="326"/>
      <c r="BN60" s="326"/>
      <c r="BO60" s="326"/>
      <c r="BP60" s="326"/>
      <c r="BQ60" s="326"/>
      <c r="BR60" s="326"/>
      <c r="BS60" s="326"/>
      <c r="BT60" s="326"/>
      <c r="BU60" s="326"/>
      <c r="BV60" s="326"/>
      <c r="BW60" s="326"/>
      <c r="BX60" s="326"/>
      <c r="BY60" s="326"/>
      <c r="BZ60" s="326"/>
      <c r="CA60" s="326"/>
      <c r="CB60" s="326"/>
      <c r="CC60" s="326"/>
      <c r="CD60" s="326"/>
      <c r="CE60" s="326"/>
      <c r="CF60" s="326"/>
      <c r="CG60" s="326"/>
      <c r="CH60" s="326"/>
      <c r="CI60" s="326"/>
      <c r="CJ60" s="326"/>
      <c r="CK60" s="326"/>
      <c r="CL60" s="326"/>
      <c r="CM60" s="326"/>
      <c r="CN60" s="326"/>
      <c r="CO60" s="326"/>
      <c r="CP60" s="326"/>
      <c r="CQ60" s="326"/>
      <c r="CR60" s="326"/>
      <c r="CS60" s="326"/>
      <c r="CT60" s="326"/>
      <c r="CU60" s="326"/>
      <c r="CV60" s="326"/>
      <c r="CW60" s="326"/>
      <c r="CX60" s="326"/>
      <c r="CY60" s="326"/>
      <c r="CZ60" s="326"/>
      <c r="DA60" s="326"/>
      <c r="DB60" s="326"/>
      <c r="DC60" s="326"/>
      <c r="DD60" s="326"/>
      <c r="DE60" s="326"/>
      <c r="DF60" s="326"/>
      <c r="DG60" s="326"/>
      <c r="DH60" s="326"/>
      <c r="DI60" s="326"/>
      <c r="DJ60" s="326"/>
      <c r="DK60" s="326"/>
      <c r="DL60" s="326"/>
      <c r="DM60" s="326"/>
      <c r="DN60" s="326"/>
      <c r="DO60" s="326"/>
      <c r="DP60" s="326"/>
      <c r="DQ60" s="326"/>
      <c r="DR60" s="326"/>
      <c r="DS60" s="326"/>
      <c r="DT60" s="326"/>
      <c r="DU60" s="326"/>
      <c r="DV60" s="326"/>
      <c r="DW60" s="326"/>
      <c r="DX60" s="326"/>
      <c r="DY60" s="326"/>
      <c r="DZ60" s="326"/>
      <c r="EA60" s="326"/>
      <c r="EB60" s="326"/>
      <c r="EC60" s="326"/>
      <c r="ED60" s="326"/>
      <c r="EE60" s="326"/>
      <c r="EF60" s="326"/>
      <c r="EG60" s="326"/>
      <c r="EH60" s="326"/>
      <c r="EI60" s="326"/>
      <c r="EJ60" s="326"/>
      <c r="EK60" s="326"/>
      <c r="EL60" s="326"/>
      <c r="EM60" s="326"/>
      <c r="EN60" s="326"/>
      <c r="EO60" s="326"/>
      <c r="EP60" s="326"/>
      <c r="EQ60" s="326"/>
      <c r="ER60" s="326"/>
      <c r="ES60" s="326"/>
      <c r="ET60" s="326"/>
      <c r="EU60" s="326"/>
      <c r="EV60" s="326"/>
      <c r="EW60" s="326"/>
      <c r="EX60" s="326"/>
      <c r="EY60" s="326"/>
      <c r="EZ60" s="326"/>
      <c r="FA60" s="326"/>
      <c r="FB60" s="326"/>
      <c r="FC60" s="326"/>
      <c r="FD60" s="326"/>
      <c r="FE60" s="326"/>
      <c r="FF60" s="326"/>
      <c r="FG60" s="326"/>
      <c r="FH60" s="326"/>
      <c r="FI60" s="326"/>
      <c r="FJ60" s="326"/>
      <c r="FK60" s="326"/>
      <c r="FL60" s="326"/>
      <c r="FM60" s="326"/>
      <c r="FN60" s="326"/>
      <c r="FO60" s="326"/>
      <c r="FP60" s="326"/>
      <c r="FQ60" s="326"/>
      <c r="FR60" s="326"/>
      <c r="FS60" s="326"/>
      <c r="FT60" s="326"/>
      <c r="FU60" s="326"/>
      <c r="FV60" s="326"/>
      <c r="FW60" s="326"/>
      <c r="FX60" s="326"/>
      <c r="FY60" s="326"/>
      <c r="FZ60" s="326"/>
      <c r="GA60" s="326"/>
      <c r="GB60" s="326"/>
      <c r="GC60" s="326"/>
      <c r="GD60" s="327"/>
      <c r="GE60" s="325" t="s">
        <v>887</v>
      </c>
      <c r="GF60" s="325" t="s">
        <v>522</v>
      </c>
      <c r="GG60" s="325" t="s">
        <v>850</v>
      </c>
      <c r="GH60" s="325" t="s">
        <v>579</v>
      </c>
      <c r="GI60" s="328">
        <f t="shared" si="8"/>
        <v>0</v>
      </c>
      <c r="GJ60" s="329" t="s">
        <v>920</v>
      </c>
    </row>
    <row r="61" spans="1:192" s="329" customFormat="1">
      <c r="A61" s="325" t="s">
        <v>526</v>
      </c>
      <c r="B61" s="325" t="s">
        <v>517</v>
      </c>
      <c r="C61" s="325" t="s">
        <v>555</v>
      </c>
      <c r="D61" s="325" t="s">
        <v>636</v>
      </c>
      <c r="E61" s="325" t="s">
        <v>589</v>
      </c>
      <c r="F61" s="325" t="s">
        <v>520</v>
      </c>
      <c r="G61" s="325" t="s">
        <v>922</v>
      </c>
      <c r="H61" s="326"/>
      <c r="I61" s="326"/>
      <c r="J61" s="326"/>
      <c r="K61" s="326"/>
      <c r="L61" s="326"/>
      <c r="M61" s="326"/>
      <c r="N61" s="326"/>
      <c r="O61" s="326"/>
      <c r="P61" s="326"/>
      <c r="Q61" s="326"/>
      <c r="R61" s="326"/>
      <c r="S61" s="326"/>
      <c r="T61" s="326"/>
      <c r="U61" s="326"/>
      <c r="V61" s="326"/>
      <c r="W61" s="326"/>
      <c r="X61" s="326"/>
      <c r="Y61" s="326"/>
      <c r="Z61" s="326"/>
      <c r="AA61" s="326"/>
      <c r="AB61" s="326"/>
      <c r="AC61" s="326"/>
      <c r="AD61" s="326"/>
      <c r="AE61" s="326"/>
      <c r="AF61" s="326"/>
      <c r="AG61" s="326"/>
      <c r="AH61" s="326"/>
      <c r="AI61" s="326"/>
      <c r="AJ61" s="326"/>
      <c r="AK61" s="326"/>
      <c r="AL61" s="326"/>
      <c r="AM61" s="326"/>
      <c r="AN61" s="326"/>
      <c r="AO61" s="326"/>
      <c r="AP61" s="326"/>
      <c r="AQ61" s="326"/>
      <c r="AR61" s="326"/>
      <c r="AS61" s="326"/>
      <c r="AT61" s="326"/>
      <c r="AU61" s="326"/>
      <c r="AV61" s="326"/>
      <c r="AW61" s="326"/>
      <c r="AX61" s="326"/>
      <c r="AY61" s="326"/>
      <c r="AZ61" s="326"/>
      <c r="BA61" s="326"/>
      <c r="BB61" s="326"/>
      <c r="BC61" s="326"/>
      <c r="BD61" s="326"/>
      <c r="BE61" s="326"/>
      <c r="BF61" s="326"/>
      <c r="BG61" s="326"/>
      <c r="BH61" s="326"/>
      <c r="BI61" s="326"/>
      <c r="BJ61" s="326"/>
      <c r="BK61" s="326"/>
      <c r="BL61" s="326"/>
      <c r="BM61" s="326"/>
      <c r="BN61" s="326"/>
      <c r="BO61" s="326"/>
      <c r="BP61" s="326"/>
      <c r="BQ61" s="326"/>
      <c r="BR61" s="326"/>
      <c r="BS61" s="326"/>
      <c r="BT61" s="326"/>
      <c r="BU61" s="326"/>
      <c r="BV61" s="326"/>
      <c r="BW61" s="326"/>
      <c r="BX61" s="326"/>
      <c r="BY61" s="326"/>
      <c r="BZ61" s="326"/>
      <c r="CA61" s="326"/>
      <c r="CB61" s="326"/>
      <c r="CC61" s="326"/>
      <c r="CD61" s="326"/>
      <c r="CE61" s="326"/>
      <c r="CF61" s="326"/>
      <c r="CG61" s="326"/>
      <c r="CH61" s="326"/>
      <c r="CI61" s="326"/>
      <c r="CJ61" s="326"/>
      <c r="CK61" s="326"/>
      <c r="CL61" s="326"/>
      <c r="CM61" s="326"/>
      <c r="CN61" s="326"/>
      <c r="CO61" s="326"/>
      <c r="CP61" s="326"/>
      <c r="CQ61" s="326"/>
      <c r="CR61" s="326"/>
      <c r="CS61" s="326"/>
      <c r="CT61" s="326"/>
      <c r="CU61" s="326"/>
      <c r="CV61" s="326"/>
      <c r="CW61" s="326"/>
      <c r="CX61" s="326"/>
      <c r="CY61" s="326"/>
      <c r="CZ61" s="326"/>
      <c r="DA61" s="326"/>
      <c r="DB61" s="326"/>
      <c r="DC61" s="326"/>
      <c r="DD61" s="326"/>
      <c r="DE61" s="326"/>
      <c r="DF61" s="326"/>
      <c r="DG61" s="326"/>
      <c r="DH61" s="326"/>
      <c r="DI61" s="326"/>
      <c r="DJ61" s="326"/>
      <c r="DK61" s="326"/>
      <c r="DL61" s="326"/>
      <c r="DM61" s="326"/>
      <c r="DN61" s="326"/>
      <c r="DO61" s="326"/>
      <c r="DP61" s="326"/>
      <c r="DQ61" s="326"/>
      <c r="DR61" s="326"/>
      <c r="DS61" s="326"/>
      <c r="DT61" s="326"/>
      <c r="DU61" s="326"/>
      <c r="DV61" s="326"/>
      <c r="DW61" s="326"/>
      <c r="DX61" s="326"/>
      <c r="DY61" s="326"/>
      <c r="DZ61" s="326"/>
      <c r="EA61" s="326"/>
      <c r="EB61" s="326"/>
      <c r="EC61" s="326"/>
      <c r="ED61" s="326"/>
      <c r="EE61" s="326"/>
      <c r="EF61" s="326"/>
      <c r="EG61" s="326"/>
      <c r="EH61" s="326"/>
      <c r="EI61" s="326"/>
      <c r="EJ61" s="326"/>
      <c r="EK61" s="326"/>
      <c r="EL61" s="326"/>
      <c r="EM61" s="326"/>
      <c r="EN61" s="326"/>
      <c r="EO61" s="326"/>
      <c r="EP61" s="326"/>
      <c r="EQ61" s="326"/>
      <c r="ER61" s="326"/>
      <c r="ES61" s="326"/>
      <c r="ET61" s="326"/>
      <c r="EU61" s="326"/>
      <c r="EV61" s="326"/>
      <c r="EW61" s="326"/>
      <c r="EX61" s="326"/>
      <c r="EY61" s="326"/>
      <c r="EZ61" s="326"/>
      <c r="FA61" s="326"/>
      <c r="FB61" s="326"/>
      <c r="FC61" s="326"/>
      <c r="FD61" s="326"/>
      <c r="FE61" s="326"/>
      <c r="FF61" s="326"/>
      <c r="FG61" s="326"/>
      <c r="FH61" s="326"/>
      <c r="FI61" s="326"/>
      <c r="FJ61" s="326"/>
      <c r="FK61" s="326"/>
      <c r="FL61" s="326"/>
      <c r="FM61" s="326"/>
      <c r="FN61" s="326"/>
      <c r="FO61" s="326"/>
      <c r="FP61" s="326"/>
      <c r="FQ61" s="326"/>
      <c r="FR61" s="326"/>
      <c r="FS61" s="326"/>
      <c r="FT61" s="326"/>
      <c r="FU61" s="326"/>
      <c r="FV61" s="326"/>
      <c r="FW61" s="326"/>
      <c r="FX61" s="326"/>
      <c r="FY61" s="326"/>
      <c r="FZ61" s="326"/>
      <c r="GA61" s="326"/>
      <c r="GB61" s="326"/>
      <c r="GC61" s="326"/>
      <c r="GD61" s="327"/>
      <c r="GE61" s="325" t="s">
        <v>887</v>
      </c>
      <c r="GF61" s="325" t="s">
        <v>522</v>
      </c>
      <c r="GG61" s="325" t="s">
        <v>850</v>
      </c>
      <c r="GH61" s="325" t="s">
        <v>592</v>
      </c>
      <c r="GI61" s="328">
        <f t="shared" si="8"/>
        <v>0</v>
      </c>
      <c r="GJ61" s="329" t="s">
        <v>905</v>
      </c>
    </row>
    <row r="62" spans="1:192" s="329" customFormat="1">
      <c r="A62" s="325" t="s">
        <v>526</v>
      </c>
      <c r="B62" s="325" t="s">
        <v>517</v>
      </c>
      <c r="C62" s="325" t="s">
        <v>555</v>
      </c>
      <c r="D62" s="325" t="s">
        <v>633</v>
      </c>
      <c r="E62" s="325" t="s">
        <v>589</v>
      </c>
      <c r="F62" s="325" t="s">
        <v>520</v>
      </c>
      <c r="G62" s="325" t="s">
        <v>922</v>
      </c>
      <c r="H62" s="326"/>
      <c r="I62" s="326"/>
      <c r="J62" s="330">
        <f>5-5</f>
        <v>0</v>
      </c>
      <c r="K62" s="326"/>
      <c r="L62" s="326"/>
      <c r="M62" s="330">
        <f>10-10</f>
        <v>0</v>
      </c>
      <c r="N62" s="330">
        <f>5-5</f>
        <v>0</v>
      </c>
      <c r="O62" s="330">
        <f>10-10</f>
        <v>0</v>
      </c>
      <c r="P62" s="326"/>
      <c r="Q62" s="326"/>
      <c r="R62" s="326"/>
      <c r="S62" s="330">
        <f>5-5</f>
        <v>0</v>
      </c>
      <c r="T62" s="330">
        <f>10-10</f>
        <v>0</v>
      </c>
      <c r="U62" s="326"/>
      <c r="V62" s="326"/>
      <c r="W62" s="326"/>
      <c r="X62" s="326"/>
      <c r="Y62" s="330">
        <f>10-10+5</f>
        <v>5</v>
      </c>
      <c r="Z62" s="330">
        <f>10-10</f>
        <v>0</v>
      </c>
      <c r="AA62" s="330">
        <f>10-10</f>
        <v>0</v>
      </c>
      <c r="AB62" s="330">
        <f>40-40+10</f>
        <v>10</v>
      </c>
      <c r="AC62" s="330">
        <f>50-50+5</f>
        <v>5</v>
      </c>
      <c r="AD62" s="330">
        <f>50-50+2</f>
        <v>2</v>
      </c>
      <c r="AE62" s="326"/>
      <c r="AF62" s="330">
        <f>55-55</f>
        <v>0</v>
      </c>
      <c r="AG62" s="330">
        <f>70-70</f>
        <v>0</v>
      </c>
      <c r="AH62" s="326"/>
      <c r="AI62" s="326"/>
      <c r="AJ62" s="326"/>
      <c r="AK62" s="326"/>
      <c r="AL62" s="326"/>
      <c r="AM62" s="326"/>
      <c r="AN62" s="326"/>
      <c r="AO62" s="326"/>
      <c r="AP62" s="326"/>
      <c r="AQ62" s="326"/>
      <c r="AR62" s="326"/>
      <c r="AS62" s="326"/>
      <c r="AT62" s="326"/>
      <c r="AU62" s="326"/>
      <c r="AV62" s="326"/>
      <c r="AW62" s="326"/>
      <c r="AX62" s="330">
        <f>4-4</f>
        <v>0</v>
      </c>
      <c r="AY62" s="326"/>
      <c r="AZ62" s="326"/>
      <c r="BA62" s="330">
        <f>5-5+1</f>
        <v>1</v>
      </c>
      <c r="BB62" s="326"/>
      <c r="BC62" s="326"/>
      <c r="BD62" s="326"/>
      <c r="BE62" s="330">
        <f>10-10</f>
        <v>0</v>
      </c>
      <c r="BF62" s="330">
        <f>10-10</f>
        <v>0</v>
      </c>
      <c r="BG62" s="326"/>
      <c r="BH62" s="326"/>
      <c r="BI62" s="326"/>
      <c r="BJ62" s="326"/>
      <c r="BK62" s="326"/>
      <c r="BL62" s="330">
        <f>4-4+2</f>
        <v>2</v>
      </c>
      <c r="BM62" s="326"/>
      <c r="BN62" s="326"/>
      <c r="BO62" s="330">
        <f>5-5</f>
        <v>0</v>
      </c>
      <c r="BP62" s="326"/>
      <c r="BQ62" s="326"/>
      <c r="BR62" s="330">
        <f>10-10</f>
        <v>0</v>
      </c>
      <c r="BS62" s="330">
        <f>10-10+1</f>
        <v>1</v>
      </c>
      <c r="BT62" s="326"/>
      <c r="BU62" s="326"/>
      <c r="BV62" s="326"/>
      <c r="BW62" s="326"/>
      <c r="BX62" s="326"/>
      <c r="BY62" s="330">
        <f>4-4+2</f>
        <v>2</v>
      </c>
      <c r="BZ62" s="326"/>
      <c r="CA62" s="330">
        <f>5-5+2</f>
        <v>2</v>
      </c>
      <c r="CB62" s="330">
        <f>5-5+2</f>
        <v>2</v>
      </c>
      <c r="CC62" s="330">
        <f>5-5+1</f>
        <v>1</v>
      </c>
      <c r="CD62" s="326"/>
      <c r="CE62" s="326"/>
      <c r="CF62" s="330">
        <f>10-10+8</f>
        <v>8</v>
      </c>
      <c r="CG62" s="330">
        <f>10-10</f>
        <v>0</v>
      </c>
      <c r="CH62" s="330">
        <f>40-40</f>
        <v>0</v>
      </c>
      <c r="CI62" s="330">
        <f>20-20</f>
        <v>0</v>
      </c>
      <c r="CJ62" s="326"/>
      <c r="CK62" s="326"/>
      <c r="CL62" s="330">
        <f>5-5+1</f>
        <v>1</v>
      </c>
      <c r="CM62" s="330">
        <f>10-10+5</f>
        <v>5</v>
      </c>
      <c r="CN62" s="330">
        <f>10-10</f>
        <v>0</v>
      </c>
      <c r="CO62" s="330">
        <f>10-10</f>
        <v>0</v>
      </c>
      <c r="CP62" s="330">
        <f>10-10</f>
        <v>0</v>
      </c>
      <c r="CQ62" s="330">
        <f>5-5+5</f>
        <v>5</v>
      </c>
      <c r="CR62" s="330">
        <f>10-10+10</f>
        <v>10</v>
      </c>
      <c r="CS62" s="330">
        <f>10-10+2</f>
        <v>2</v>
      </c>
      <c r="CT62" s="330">
        <f>10-10</f>
        <v>0</v>
      </c>
      <c r="CU62" s="330">
        <f>10-10</f>
        <v>0</v>
      </c>
      <c r="CV62" s="326"/>
      <c r="CW62" s="330">
        <f>5-5</f>
        <v>0</v>
      </c>
      <c r="CX62" s="330">
        <f>25-25+20</f>
        <v>20</v>
      </c>
      <c r="CY62" s="330">
        <f>10-10+10</f>
        <v>10</v>
      </c>
      <c r="CZ62" s="326"/>
      <c r="DA62" s="330">
        <f>10-10+5</f>
        <v>5</v>
      </c>
      <c r="DB62" s="326"/>
      <c r="DC62" s="326"/>
      <c r="DD62" s="330">
        <f>10-10</f>
        <v>0</v>
      </c>
      <c r="DE62" s="326"/>
      <c r="DF62" s="326"/>
      <c r="DG62" s="326"/>
      <c r="DH62" s="326"/>
      <c r="DI62" s="330">
        <f>5-5</f>
        <v>0</v>
      </c>
      <c r="DJ62" s="330">
        <f>10-10+5</f>
        <v>5</v>
      </c>
      <c r="DK62" s="330">
        <f>10-10</f>
        <v>0</v>
      </c>
      <c r="DL62" s="332">
        <v>10</v>
      </c>
      <c r="DM62" s="326"/>
      <c r="DN62" s="326"/>
      <c r="DO62" s="326"/>
      <c r="DP62" s="326"/>
      <c r="DQ62" s="326"/>
      <c r="DR62" s="326"/>
      <c r="DS62" s="326"/>
      <c r="DT62" s="326"/>
      <c r="DU62" s="326"/>
      <c r="DV62" s="326"/>
      <c r="DW62" s="326"/>
      <c r="DX62" s="326"/>
      <c r="DY62" s="326"/>
      <c r="DZ62" s="326"/>
      <c r="EA62" s="326"/>
      <c r="EB62" s="326"/>
      <c r="EC62" s="326"/>
      <c r="ED62" s="330">
        <f>70-70</f>
        <v>0</v>
      </c>
      <c r="EE62" s="326"/>
      <c r="EF62" s="330">
        <f>70-70+10</f>
        <v>10</v>
      </c>
      <c r="EG62" s="326"/>
      <c r="EH62" s="326"/>
      <c r="EI62" s="326"/>
      <c r="EJ62" s="326"/>
      <c r="EK62" s="326"/>
      <c r="EL62" s="330">
        <f>20-20</f>
        <v>0</v>
      </c>
      <c r="EM62" s="326"/>
      <c r="EN62" s="326"/>
      <c r="EO62" s="326"/>
      <c r="EP62" s="330">
        <f>40-40+40</f>
        <v>40</v>
      </c>
      <c r="EQ62" s="326"/>
      <c r="ER62" s="326"/>
      <c r="ES62" s="330">
        <f>20-20</f>
        <v>0</v>
      </c>
      <c r="ET62" s="326"/>
      <c r="EU62" s="330">
        <f>40-40</f>
        <v>0</v>
      </c>
      <c r="EV62" s="330">
        <f>20-20</f>
        <v>0</v>
      </c>
      <c r="EW62" s="326"/>
      <c r="EX62" s="326"/>
      <c r="EY62" s="326"/>
      <c r="EZ62" s="326"/>
      <c r="FA62" s="326"/>
      <c r="FB62" s="330">
        <f>20-20</f>
        <v>0</v>
      </c>
      <c r="FC62" s="326"/>
      <c r="FD62" s="326"/>
      <c r="FE62" s="330">
        <f>20-20+4</f>
        <v>4</v>
      </c>
      <c r="FF62" s="326"/>
      <c r="FG62" s="326"/>
      <c r="FH62" s="326"/>
      <c r="FI62" s="326"/>
      <c r="FJ62" s="326"/>
      <c r="FK62" s="326"/>
      <c r="FL62" s="326"/>
      <c r="FM62" s="330">
        <f>20-20</f>
        <v>0</v>
      </c>
      <c r="FN62" s="326"/>
      <c r="FO62" s="326"/>
      <c r="FP62" s="326"/>
      <c r="FQ62" s="326"/>
      <c r="FR62" s="326"/>
      <c r="FS62" s="326"/>
      <c r="FT62" s="326"/>
      <c r="FU62" s="330">
        <f>60-60</f>
        <v>0</v>
      </c>
      <c r="FV62" s="326"/>
      <c r="FW62" s="326"/>
      <c r="FX62" s="326"/>
      <c r="FY62" s="326"/>
      <c r="FZ62" s="326"/>
      <c r="GA62" s="326"/>
      <c r="GB62" s="326"/>
      <c r="GC62" s="326"/>
      <c r="GD62" s="327" t="s">
        <v>850</v>
      </c>
      <c r="GE62" s="325" t="s">
        <v>887</v>
      </c>
      <c r="GF62" s="325" t="s">
        <v>522</v>
      </c>
      <c r="GG62" s="325" t="s">
        <v>850</v>
      </c>
      <c r="GH62" s="325" t="s">
        <v>592</v>
      </c>
      <c r="GI62" s="328">
        <f t="shared" si="8"/>
        <v>168</v>
      </c>
      <c r="GJ62" s="329" t="s">
        <v>905</v>
      </c>
    </row>
    <row r="63" spans="1:192" s="329" customFormat="1" ht="10.5">
      <c r="A63" s="325" t="s">
        <v>526</v>
      </c>
      <c r="B63" s="325" t="s">
        <v>517</v>
      </c>
      <c r="C63" s="325" t="s">
        <v>555</v>
      </c>
      <c r="D63" s="325" t="s">
        <v>3</v>
      </c>
      <c r="E63" s="325" t="s">
        <v>589</v>
      </c>
      <c r="F63" s="325" t="s">
        <v>520</v>
      </c>
      <c r="G63" s="325"/>
      <c r="H63" s="326"/>
      <c r="I63" s="326"/>
      <c r="J63" s="326"/>
      <c r="K63" s="326"/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26"/>
      <c r="AI63" s="326"/>
      <c r="AJ63" s="326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54">
        <v>4</v>
      </c>
      <c r="AY63" s="326"/>
      <c r="AZ63" s="326"/>
      <c r="BA63" s="326"/>
      <c r="BB63" s="326"/>
      <c r="BC63" s="326"/>
      <c r="BD63" s="326"/>
      <c r="BE63" s="326"/>
      <c r="BF63" s="326"/>
      <c r="BG63" s="326"/>
      <c r="BH63" s="326"/>
      <c r="BI63" s="326"/>
      <c r="BJ63" s="326"/>
      <c r="BK63" s="326"/>
      <c r="BL63" s="326"/>
      <c r="BM63" s="326"/>
      <c r="BN63" s="326"/>
      <c r="BO63" s="354">
        <v>1</v>
      </c>
      <c r="BP63" s="326"/>
      <c r="BQ63" s="326"/>
      <c r="BR63" s="326"/>
      <c r="BS63" s="326"/>
      <c r="BT63" s="326"/>
      <c r="BU63" s="326"/>
      <c r="BV63" s="326"/>
      <c r="BW63" s="326"/>
      <c r="BX63" s="326"/>
      <c r="BY63" s="326"/>
      <c r="BZ63" s="326"/>
      <c r="CA63" s="326"/>
      <c r="CB63" s="326"/>
      <c r="CC63" s="326"/>
      <c r="CD63" s="326"/>
      <c r="CE63" s="326"/>
      <c r="CF63" s="326"/>
      <c r="CG63" s="354">
        <v>5</v>
      </c>
      <c r="CH63" s="326"/>
      <c r="CI63" s="326"/>
      <c r="CJ63" s="326"/>
      <c r="CK63" s="326"/>
      <c r="CL63" s="326"/>
      <c r="CM63" s="326"/>
      <c r="CN63" s="326"/>
      <c r="CO63" s="326"/>
      <c r="CP63" s="326"/>
      <c r="CQ63" s="326"/>
      <c r="CR63" s="326"/>
      <c r="CS63" s="326"/>
      <c r="CT63" s="326"/>
      <c r="CU63" s="326"/>
      <c r="CV63" s="326"/>
      <c r="CW63" s="326"/>
      <c r="CX63" s="326"/>
      <c r="CY63" s="326"/>
      <c r="CZ63" s="326"/>
      <c r="DA63" s="326"/>
      <c r="DB63" s="326"/>
      <c r="DC63" s="326"/>
      <c r="DD63" s="326"/>
      <c r="DE63" s="326"/>
      <c r="DF63" s="326"/>
      <c r="DG63" s="326"/>
      <c r="DH63" s="326"/>
      <c r="DI63" s="326"/>
      <c r="DJ63" s="326"/>
      <c r="DK63" s="326"/>
      <c r="DL63" s="326"/>
      <c r="DM63" s="326"/>
      <c r="DN63" s="326"/>
      <c r="DO63" s="326"/>
      <c r="DP63" s="326"/>
      <c r="DQ63" s="326"/>
      <c r="DR63" s="326"/>
      <c r="DS63" s="326"/>
      <c r="DT63" s="326"/>
      <c r="DU63" s="326"/>
      <c r="DV63" s="326"/>
      <c r="DW63" s="326"/>
      <c r="DX63" s="326"/>
      <c r="DY63" s="326"/>
      <c r="DZ63" s="326"/>
      <c r="EA63" s="326"/>
      <c r="EB63" s="326"/>
      <c r="EC63" s="326"/>
      <c r="ED63" s="326"/>
      <c r="EE63" s="326"/>
      <c r="EF63" s="326"/>
      <c r="EG63" s="326"/>
      <c r="EH63" s="326"/>
      <c r="EI63" s="326"/>
      <c r="EJ63" s="326"/>
      <c r="EK63" s="326"/>
      <c r="EL63" s="326"/>
      <c r="EM63" s="326"/>
      <c r="EN63" s="326"/>
      <c r="EO63" s="326"/>
      <c r="EP63" s="326"/>
      <c r="EQ63" s="326"/>
      <c r="ER63" s="326"/>
      <c r="ES63" s="326"/>
      <c r="ET63" s="326"/>
      <c r="EU63" s="326"/>
      <c r="EV63" s="326"/>
      <c r="EW63" s="326"/>
      <c r="EX63" s="326"/>
      <c r="EY63" s="326"/>
      <c r="EZ63" s="326"/>
      <c r="FA63" s="326"/>
      <c r="FB63" s="326"/>
      <c r="FC63" s="326"/>
      <c r="FD63" s="326"/>
      <c r="FE63" s="326"/>
      <c r="FF63" s="326"/>
      <c r="FG63" s="326"/>
      <c r="FH63" s="326"/>
      <c r="FI63" s="326"/>
      <c r="FJ63" s="326"/>
      <c r="FK63" s="326"/>
      <c r="FL63" s="326"/>
      <c r="FM63" s="326"/>
      <c r="FN63" s="326"/>
      <c r="FO63" s="326"/>
      <c r="FP63" s="326"/>
      <c r="FQ63" s="326"/>
      <c r="FR63" s="326"/>
      <c r="FS63" s="326"/>
      <c r="FT63" s="326"/>
      <c r="FU63" s="326"/>
      <c r="FV63" s="326"/>
      <c r="FW63" s="326"/>
      <c r="FX63" s="326"/>
      <c r="FY63" s="326"/>
      <c r="FZ63" s="326"/>
      <c r="GA63" s="326"/>
      <c r="GB63" s="326"/>
      <c r="GC63" s="326"/>
      <c r="GD63" s="327"/>
      <c r="GE63" s="325" t="s">
        <v>887</v>
      </c>
      <c r="GF63" s="325" t="s">
        <v>522</v>
      </c>
      <c r="GG63" s="325" t="s">
        <v>850</v>
      </c>
      <c r="GH63" s="325" t="s">
        <v>592</v>
      </c>
      <c r="GI63" s="328">
        <f t="shared" si="8"/>
        <v>10</v>
      </c>
      <c r="GJ63" s="329" t="s">
        <v>905</v>
      </c>
    </row>
    <row r="64" spans="1:192" s="329" customFormat="1">
      <c r="A64" s="325" t="s">
        <v>526</v>
      </c>
      <c r="B64" s="325" t="s">
        <v>525</v>
      </c>
      <c r="C64" s="325" t="s">
        <v>555</v>
      </c>
      <c r="D64" s="325" t="s">
        <v>636</v>
      </c>
      <c r="E64" s="333" t="s">
        <v>589</v>
      </c>
      <c r="F64" s="325" t="s">
        <v>520</v>
      </c>
      <c r="G64" s="325"/>
      <c r="H64" s="326"/>
      <c r="I64" s="326"/>
      <c r="J64" s="326"/>
      <c r="K64" s="326"/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26"/>
      <c r="AI64" s="326"/>
      <c r="AJ64" s="326"/>
      <c r="AK64" s="326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/>
      <c r="BE64" s="326"/>
      <c r="BF64" s="326"/>
      <c r="BG64" s="326"/>
      <c r="BH64" s="326"/>
      <c r="BI64" s="326"/>
      <c r="BJ64" s="326"/>
      <c r="BK64" s="326"/>
      <c r="BL64" s="326"/>
      <c r="BM64" s="326"/>
      <c r="BN64" s="326"/>
      <c r="BO64" s="326"/>
      <c r="BP64" s="326"/>
      <c r="BQ64" s="326"/>
      <c r="BR64" s="326"/>
      <c r="BS64" s="326"/>
      <c r="BT64" s="326"/>
      <c r="BU64" s="326"/>
      <c r="BV64" s="326"/>
      <c r="BW64" s="326"/>
      <c r="BX64" s="326"/>
      <c r="BY64" s="326"/>
      <c r="BZ64" s="326"/>
      <c r="CA64" s="326"/>
      <c r="CB64" s="326"/>
      <c r="CC64" s="326"/>
      <c r="CD64" s="326"/>
      <c r="CE64" s="326"/>
      <c r="CF64" s="326"/>
      <c r="CG64" s="326"/>
      <c r="CH64" s="326"/>
      <c r="CI64" s="326"/>
      <c r="CJ64" s="326"/>
      <c r="CK64" s="326"/>
      <c r="CL64" s="326"/>
      <c r="CM64" s="326"/>
      <c r="CN64" s="326"/>
      <c r="CO64" s="326"/>
      <c r="CP64" s="326"/>
      <c r="CQ64" s="326"/>
      <c r="CR64" s="326"/>
      <c r="CS64" s="326"/>
      <c r="CT64" s="326"/>
      <c r="CU64" s="326"/>
      <c r="CV64" s="326"/>
      <c r="CW64" s="326"/>
      <c r="CX64" s="326"/>
      <c r="CY64" s="326"/>
      <c r="CZ64" s="326"/>
      <c r="DA64" s="326"/>
      <c r="DB64" s="326"/>
      <c r="DC64" s="326"/>
      <c r="DD64" s="326"/>
      <c r="DE64" s="326"/>
      <c r="DF64" s="326"/>
      <c r="DG64" s="326"/>
      <c r="DH64" s="326"/>
      <c r="DI64" s="326"/>
      <c r="DJ64" s="326"/>
      <c r="DK64" s="326"/>
      <c r="DL64" s="326"/>
      <c r="DM64" s="326"/>
      <c r="DN64" s="326"/>
      <c r="DO64" s="326"/>
      <c r="DP64" s="326"/>
      <c r="DQ64" s="326"/>
      <c r="DR64" s="326"/>
      <c r="DS64" s="326"/>
      <c r="DT64" s="326"/>
      <c r="DU64" s="326"/>
      <c r="DV64" s="326"/>
      <c r="DW64" s="326"/>
      <c r="DX64" s="326"/>
      <c r="DY64" s="326"/>
      <c r="DZ64" s="326"/>
      <c r="EA64" s="326"/>
      <c r="EB64" s="326"/>
      <c r="EC64" s="326"/>
      <c r="ED64" s="326"/>
      <c r="EE64" s="326"/>
      <c r="EF64" s="326"/>
      <c r="EG64" s="326"/>
      <c r="EH64" s="326"/>
      <c r="EI64" s="326"/>
      <c r="EJ64" s="326"/>
      <c r="EK64" s="326"/>
      <c r="EL64" s="326"/>
      <c r="EM64" s="326"/>
      <c r="EN64" s="326"/>
      <c r="EO64" s="326"/>
      <c r="EP64" s="326"/>
      <c r="EQ64" s="326"/>
      <c r="ER64" s="326"/>
      <c r="ES64" s="326"/>
      <c r="ET64" s="326"/>
      <c r="EU64" s="326"/>
      <c r="EV64" s="326"/>
      <c r="EW64" s="332">
        <v>20</v>
      </c>
      <c r="EX64" s="326"/>
      <c r="EY64" s="326"/>
      <c r="EZ64" s="326"/>
      <c r="FA64" s="326"/>
      <c r="FB64" s="326"/>
      <c r="FC64" s="326"/>
      <c r="FD64" s="326"/>
      <c r="FE64" s="326"/>
      <c r="FF64" s="326"/>
      <c r="FG64" s="326"/>
      <c r="FH64" s="326"/>
      <c r="FI64" s="326"/>
      <c r="FJ64" s="326"/>
      <c r="FK64" s="326"/>
      <c r="FL64" s="326"/>
      <c r="FM64" s="326"/>
      <c r="FN64" s="326"/>
      <c r="FO64" s="326"/>
      <c r="FP64" s="326"/>
      <c r="FQ64" s="326"/>
      <c r="FR64" s="326"/>
      <c r="FS64" s="326"/>
      <c r="FT64" s="326"/>
      <c r="FU64" s="326"/>
      <c r="FV64" s="326"/>
      <c r="FW64" s="326"/>
      <c r="FX64" s="326"/>
      <c r="FY64" s="326"/>
      <c r="FZ64" s="326"/>
      <c r="GA64" s="326"/>
      <c r="GB64" s="326"/>
      <c r="GC64" s="326"/>
      <c r="GD64" s="327"/>
      <c r="GE64" s="325" t="s">
        <v>887</v>
      </c>
      <c r="GF64" s="325" t="s">
        <v>522</v>
      </c>
      <c r="GG64" s="325" t="s">
        <v>850</v>
      </c>
      <c r="GH64" s="325" t="s">
        <v>592</v>
      </c>
      <c r="GI64" s="328">
        <f t="shared" si="8"/>
        <v>20</v>
      </c>
      <c r="GJ64" s="329" t="s">
        <v>905</v>
      </c>
    </row>
    <row r="65" spans="1:192" s="329" customFormat="1">
      <c r="A65" s="325" t="s">
        <v>526</v>
      </c>
      <c r="B65" s="325" t="s">
        <v>525</v>
      </c>
      <c r="C65" s="325" t="s">
        <v>555</v>
      </c>
      <c r="D65" s="325" t="s">
        <v>633</v>
      </c>
      <c r="E65" s="333" t="s">
        <v>589</v>
      </c>
      <c r="F65" s="325" t="s">
        <v>520</v>
      </c>
      <c r="G65" s="325"/>
      <c r="H65" s="326"/>
      <c r="I65" s="326"/>
      <c r="J65" s="326"/>
      <c r="K65" s="326"/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26"/>
      <c r="AI65" s="326"/>
      <c r="AJ65" s="326"/>
      <c r="AK65" s="326"/>
      <c r="AL65" s="326"/>
      <c r="AM65" s="326"/>
      <c r="AN65" s="326"/>
      <c r="AO65" s="326"/>
      <c r="AP65" s="326"/>
      <c r="AQ65" s="326"/>
      <c r="AR65" s="326"/>
      <c r="AS65" s="326"/>
      <c r="AT65" s="326"/>
      <c r="AU65" s="326"/>
      <c r="AV65" s="326"/>
      <c r="AW65" s="326"/>
      <c r="AX65" s="326"/>
      <c r="AY65" s="326"/>
      <c r="AZ65" s="326"/>
      <c r="BA65" s="326"/>
      <c r="BB65" s="326"/>
      <c r="BC65" s="326"/>
      <c r="BD65" s="326"/>
      <c r="BE65" s="326"/>
      <c r="BF65" s="326"/>
      <c r="BG65" s="326"/>
      <c r="BH65" s="326"/>
      <c r="BI65" s="326"/>
      <c r="BJ65" s="326"/>
      <c r="BK65" s="326"/>
      <c r="BL65" s="326"/>
      <c r="BM65" s="326"/>
      <c r="BN65" s="326"/>
      <c r="BO65" s="326"/>
      <c r="BP65" s="326"/>
      <c r="BQ65" s="326"/>
      <c r="BR65" s="326"/>
      <c r="BS65" s="326"/>
      <c r="BT65" s="326"/>
      <c r="BU65" s="326"/>
      <c r="BV65" s="326"/>
      <c r="BW65" s="326"/>
      <c r="BX65" s="326"/>
      <c r="BY65" s="326"/>
      <c r="BZ65" s="326"/>
      <c r="CA65" s="326"/>
      <c r="CB65" s="326"/>
      <c r="CC65" s="326"/>
      <c r="CD65" s="326"/>
      <c r="CE65" s="326"/>
      <c r="CF65" s="326"/>
      <c r="CG65" s="326"/>
      <c r="CH65" s="326"/>
      <c r="CI65" s="326"/>
      <c r="CJ65" s="326"/>
      <c r="CK65" s="326"/>
      <c r="CL65" s="326"/>
      <c r="CM65" s="326"/>
      <c r="CN65" s="326"/>
      <c r="CO65" s="326"/>
      <c r="CP65" s="326"/>
      <c r="CQ65" s="326"/>
      <c r="CR65" s="326"/>
      <c r="CS65" s="326"/>
      <c r="CT65" s="326"/>
      <c r="CU65" s="326"/>
      <c r="CV65" s="326"/>
      <c r="CW65" s="326"/>
      <c r="CX65" s="326"/>
      <c r="CY65" s="326"/>
      <c r="CZ65" s="326"/>
      <c r="DA65" s="326"/>
      <c r="DB65" s="326"/>
      <c r="DC65" s="326"/>
      <c r="DD65" s="326"/>
      <c r="DE65" s="326"/>
      <c r="DF65" s="326"/>
      <c r="DG65" s="326"/>
      <c r="DH65" s="326"/>
      <c r="DI65" s="326"/>
      <c r="DJ65" s="326"/>
      <c r="DK65" s="326"/>
      <c r="DL65" s="326"/>
      <c r="DM65" s="326"/>
      <c r="DN65" s="326"/>
      <c r="DO65" s="326"/>
      <c r="DP65" s="326"/>
      <c r="DQ65" s="326"/>
      <c r="DR65" s="326"/>
      <c r="DS65" s="326"/>
      <c r="DT65" s="326"/>
      <c r="DU65" s="326"/>
      <c r="DV65" s="326"/>
      <c r="DW65" s="326"/>
      <c r="DX65" s="326"/>
      <c r="DY65" s="326"/>
      <c r="DZ65" s="326"/>
      <c r="EA65" s="326"/>
      <c r="EB65" s="326"/>
      <c r="EC65" s="326"/>
      <c r="ED65" s="326"/>
      <c r="EE65" s="326"/>
      <c r="EF65" s="326"/>
      <c r="EG65" s="326"/>
      <c r="EH65" s="330">
        <f>20-20</f>
        <v>0</v>
      </c>
      <c r="EI65" s="326"/>
      <c r="EJ65" s="326"/>
      <c r="EK65" s="326"/>
      <c r="EL65" s="326"/>
      <c r="EM65" s="330">
        <f>20-20+10</f>
        <v>10</v>
      </c>
      <c r="EN65" s="330">
        <f>20-20</f>
        <v>0</v>
      </c>
      <c r="EO65" s="326"/>
      <c r="EP65" s="326"/>
      <c r="EQ65" s="326"/>
      <c r="ER65" s="330">
        <f>20-20+20</f>
        <v>20</v>
      </c>
      <c r="ES65" s="330">
        <f>20-20</f>
        <v>0</v>
      </c>
      <c r="ET65" s="326"/>
      <c r="EU65" s="326"/>
      <c r="EV65" s="326"/>
      <c r="EW65" s="330">
        <f>20-20</f>
        <v>0</v>
      </c>
      <c r="EX65" s="326"/>
      <c r="EY65" s="330">
        <f>20-20</f>
        <v>0</v>
      </c>
      <c r="EZ65" s="326"/>
      <c r="FA65" s="326"/>
      <c r="FB65" s="326"/>
      <c r="FC65" s="326"/>
      <c r="FD65" s="330">
        <f>20-20</f>
        <v>0</v>
      </c>
      <c r="FE65" s="326"/>
      <c r="FF65" s="326"/>
      <c r="FG65" s="330">
        <f>10-10</f>
        <v>0</v>
      </c>
      <c r="FH65" s="330">
        <f>40-40+20</f>
        <v>20</v>
      </c>
      <c r="FI65" s="330">
        <f>20-20+20</f>
        <v>20</v>
      </c>
      <c r="FJ65" s="330">
        <f>20-20</f>
        <v>0</v>
      </c>
      <c r="FK65" s="326"/>
      <c r="FL65" s="326"/>
      <c r="FM65" s="326"/>
      <c r="FN65" s="326"/>
      <c r="FO65" s="330">
        <f>20-20</f>
        <v>0</v>
      </c>
      <c r="FP65" s="326"/>
      <c r="FQ65" s="326"/>
      <c r="FR65" s="330">
        <f>30-30</f>
        <v>0</v>
      </c>
      <c r="FS65" s="326"/>
      <c r="FT65" s="326"/>
      <c r="FU65" s="330">
        <f>120-120</f>
        <v>0</v>
      </c>
      <c r="FV65" s="326"/>
      <c r="FW65" s="326"/>
      <c r="FX65" s="326"/>
      <c r="FY65" s="326"/>
      <c r="FZ65" s="326"/>
      <c r="GA65" s="326"/>
      <c r="GB65" s="326"/>
      <c r="GC65" s="326"/>
      <c r="GD65" s="327" t="s">
        <v>850</v>
      </c>
      <c r="GE65" s="325" t="s">
        <v>887</v>
      </c>
      <c r="GF65" s="325" t="s">
        <v>522</v>
      </c>
      <c r="GG65" s="325" t="s">
        <v>850</v>
      </c>
      <c r="GH65" s="325" t="s">
        <v>592</v>
      </c>
      <c r="GI65" s="328">
        <f t="shared" si="8"/>
        <v>70</v>
      </c>
      <c r="GJ65" s="329" t="s">
        <v>905</v>
      </c>
    </row>
    <row r="66" spans="1:192" s="329" customFormat="1">
      <c r="A66" s="325" t="s">
        <v>526</v>
      </c>
      <c r="B66" s="325" t="s">
        <v>525</v>
      </c>
      <c r="C66" s="325" t="s">
        <v>555</v>
      </c>
      <c r="D66" s="325" t="s">
        <v>3</v>
      </c>
      <c r="E66" s="333" t="s">
        <v>589</v>
      </c>
      <c r="F66" s="325" t="s">
        <v>520</v>
      </c>
      <c r="G66" s="325"/>
      <c r="H66" s="326"/>
      <c r="I66" s="326"/>
      <c r="J66" s="326"/>
      <c r="K66" s="326"/>
      <c r="L66" s="326"/>
      <c r="M66" s="326"/>
      <c r="N66" s="326"/>
      <c r="O66" s="326"/>
      <c r="P66" s="326"/>
      <c r="Q66" s="326"/>
      <c r="R66" s="326"/>
      <c r="S66" s="326"/>
      <c r="T66" s="326"/>
      <c r="U66" s="326"/>
      <c r="V66" s="326"/>
      <c r="W66" s="326"/>
      <c r="X66" s="326"/>
      <c r="Y66" s="326"/>
      <c r="Z66" s="326"/>
      <c r="AA66" s="326"/>
      <c r="AB66" s="326"/>
      <c r="AC66" s="326"/>
      <c r="AD66" s="326"/>
      <c r="AE66" s="326"/>
      <c r="AF66" s="326"/>
      <c r="AG66" s="326"/>
      <c r="AH66" s="326"/>
      <c r="AI66" s="326"/>
      <c r="AJ66" s="326"/>
      <c r="AK66" s="326"/>
      <c r="AL66" s="326"/>
      <c r="AM66" s="326"/>
      <c r="AN66" s="326"/>
      <c r="AO66" s="326"/>
      <c r="AP66" s="326"/>
      <c r="AQ66" s="326"/>
      <c r="AR66" s="326"/>
      <c r="AS66" s="326"/>
      <c r="AT66" s="326"/>
      <c r="AU66" s="326"/>
      <c r="AV66" s="326"/>
      <c r="AW66" s="326"/>
      <c r="AX66" s="326"/>
      <c r="AY66" s="326"/>
      <c r="AZ66" s="326"/>
      <c r="BA66" s="326"/>
      <c r="BB66" s="326"/>
      <c r="BC66" s="326"/>
      <c r="BD66" s="326"/>
      <c r="BE66" s="326"/>
      <c r="BF66" s="326"/>
      <c r="BG66" s="326"/>
      <c r="BH66" s="326"/>
      <c r="BI66" s="326"/>
      <c r="BJ66" s="326"/>
      <c r="BK66" s="326"/>
      <c r="BL66" s="326"/>
      <c r="BM66" s="326"/>
      <c r="BN66" s="326"/>
      <c r="BO66" s="326"/>
      <c r="BP66" s="326"/>
      <c r="BQ66" s="326"/>
      <c r="BR66" s="326"/>
      <c r="BS66" s="326"/>
      <c r="BT66" s="326"/>
      <c r="BU66" s="326"/>
      <c r="BV66" s="326"/>
      <c r="BW66" s="326"/>
      <c r="BX66" s="326"/>
      <c r="BY66" s="326"/>
      <c r="BZ66" s="326"/>
      <c r="CA66" s="326"/>
      <c r="CB66" s="326"/>
      <c r="CC66" s="326"/>
      <c r="CD66" s="326"/>
      <c r="CE66" s="326"/>
      <c r="CF66" s="326"/>
      <c r="CG66" s="326"/>
      <c r="CH66" s="326"/>
      <c r="CI66" s="326"/>
      <c r="CJ66" s="326"/>
      <c r="CK66" s="326"/>
      <c r="CL66" s="326"/>
      <c r="CM66" s="326"/>
      <c r="CN66" s="326"/>
      <c r="CO66" s="326"/>
      <c r="CP66" s="326"/>
      <c r="CQ66" s="326"/>
      <c r="CR66" s="326"/>
      <c r="CS66" s="326"/>
      <c r="CT66" s="326"/>
      <c r="CU66" s="326"/>
      <c r="CV66" s="326"/>
      <c r="CW66" s="326"/>
      <c r="CX66" s="326"/>
      <c r="CY66" s="326"/>
      <c r="CZ66" s="326"/>
      <c r="DA66" s="326"/>
      <c r="DB66" s="326"/>
      <c r="DC66" s="326"/>
      <c r="DD66" s="326"/>
      <c r="DE66" s="326"/>
      <c r="DF66" s="326"/>
      <c r="DG66" s="326"/>
      <c r="DH66" s="326"/>
      <c r="DI66" s="326"/>
      <c r="DJ66" s="326"/>
      <c r="DK66" s="326"/>
      <c r="DL66" s="326"/>
      <c r="DM66" s="326"/>
      <c r="DN66" s="326"/>
      <c r="DO66" s="326"/>
      <c r="DP66" s="326"/>
      <c r="DQ66" s="326"/>
      <c r="DR66" s="326"/>
      <c r="DS66" s="326"/>
      <c r="DT66" s="326"/>
      <c r="DU66" s="326"/>
      <c r="DV66" s="326"/>
      <c r="DW66" s="326"/>
      <c r="DX66" s="326"/>
      <c r="DY66" s="326"/>
      <c r="DZ66" s="326"/>
      <c r="EA66" s="326"/>
      <c r="EB66" s="326"/>
      <c r="EC66" s="326"/>
      <c r="ED66" s="326"/>
      <c r="EE66" s="326"/>
      <c r="EF66" s="326"/>
      <c r="EG66" s="326"/>
      <c r="EH66" s="326"/>
      <c r="EI66" s="326"/>
      <c r="EJ66" s="326"/>
      <c r="EK66" s="326"/>
      <c r="EL66" s="326"/>
      <c r="EM66" s="326"/>
      <c r="EN66" s="326"/>
      <c r="EO66" s="326"/>
      <c r="EP66" s="326"/>
      <c r="EQ66" s="326"/>
      <c r="ER66" s="326"/>
      <c r="ES66" s="326"/>
      <c r="ET66" s="326"/>
      <c r="EU66" s="326"/>
      <c r="EV66" s="326"/>
      <c r="EW66" s="326"/>
      <c r="EX66" s="326"/>
      <c r="EY66" s="326"/>
      <c r="EZ66" s="326"/>
      <c r="FA66" s="326"/>
      <c r="FB66" s="326"/>
      <c r="FC66" s="326"/>
      <c r="FD66" s="326"/>
      <c r="FE66" s="326"/>
      <c r="FF66" s="326"/>
      <c r="FG66" s="326"/>
      <c r="FH66" s="326"/>
      <c r="FI66" s="326"/>
      <c r="FJ66" s="326"/>
      <c r="FK66" s="326"/>
      <c r="FL66" s="326"/>
      <c r="FM66" s="326"/>
      <c r="FN66" s="326"/>
      <c r="FO66" s="326"/>
      <c r="FP66" s="326"/>
      <c r="FQ66" s="326"/>
      <c r="FR66" s="326"/>
      <c r="FS66" s="326"/>
      <c r="FT66" s="326"/>
      <c r="FU66" s="326"/>
      <c r="FV66" s="326"/>
      <c r="FW66" s="326"/>
      <c r="FX66" s="326"/>
      <c r="FY66" s="326"/>
      <c r="FZ66" s="326"/>
      <c r="GA66" s="326"/>
      <c r="GB66" s="326"/>
      <c r="GC66" s="326"/>
      <c r="GD66" s="327"/>
      <c r="GE66" s="325" t="s">
        <v>887</v>
      </c>
      <c r="GF66" s="325" t="s">
        <v>522</v>
      </c>
      <c r="GG66" s="325" t="s">
        <v>850</v>
      </c>
      <c r="GH66" s="325" t="s">
        <v>592</v>
      </c>
      <c r="GI66" s="328">
        <f t="shared" si="8"/>
        <v>0</v>
      </c>
      <c r="GJ66" s="329" t="s">
        <v>905</v>
      </c>
    </row>
    <row r="67" spans="1:192" s="329" customFormat="1">
      <c r="A67" s="325" t="s">
        <v>898</v>
      </c>
      <c r="B67" s="325" t="s">
        <v>525</v>
      </c>
      <c r="C67" s="325" t="s">
        <v>555</v>
      </c>
      <c r="D67" s="325" t="s">
        <v>636</v>
      </c>
      <c r="E67" s="325" t="s">
        <v>923</v>
      </c>
      <c r="F67" s="325" t="s">
        <v>520</v>
      </c>
      <c r="G67" s="325" t="s">
        <v>924</v>
      </c>
      <c r="H67" s="326"/>
      <c r="I67" s="326"/>
      <c r="J67" s="326"/>
      <c r="K67" s="326"/>
      <c r="L67" s="326"/>
      <c r="M67" s="326"/>
      <c r="N67" s="326"/>
      <c r="O67" s="326"/>
      <c r="P67" s="326"/>
      <c r="Q67" s="326"/>
      <c r="R67" s="326"/>
      <c r="S67" s="326"/>
      <c r="T67" s="326"/>
      <c r="U67" s="326"/>
      <c r="V67" s="326"/>
      <c r="W67" s="326"/>
      <c r="X67" s="326"/>
      <c r="Y67" s="326"/>
      <c r="Z67" s="326"/>
      <c r="AA67" s="326"/>
      <c r="AB67" s="326"/>
      <c r="AC67" s="326"/>
      <c r="AD67" s="326"/>
      <c r="AE67" s="326"/>
      <c r="AF67" s="326"/>
      <c r="AG67" s="326"/>
      <c r="AH67" s="326"/>
      <c r="AI67" s="326"/>
      <c r="AJ67" s="326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326"/>
      <c r="AY67" s="326"/>
      <c r="AZ67" s="326"/>
      <c r="BA67" s="326"/>
      <c r="BB67" s="326"/>
      <c r="BC67" s="326"/>
      <c r="BD67" s="326"/>
      <c r="BE67" s="326"/>
      <c r="BF67" s="326"/>
      <c r="BG67" s="326"/>
      <c r="BH67" s="326"/>
      <c r="BI67" s="326"/>
      <c r="BJ67" s="326"/>
      <c r="BK67" s="326"/>
      <c r="BL67" s="326"/>
      <c r="BM67" s="326"/>
      <c r="BN67" s="326"/>
      <c r="BO67" s="326"/>
      <c r="BP67" s="326"/>
      <c r="BQ67" s="326"/>
      <c r="BR67" s="326"/>
      <c r="BS67" s="326"/>
      <c r="BT67" s="326"/>
      <c r="BU67" s="326"/>
      <c r="BV67" s="326"/>
      <c r="BW67" s="326"/>
      <c r="BX67" s="326"/>
      <c r="BY67" s="326"/>
      <c r="BZ67" s="326"/>
      <c r="CA67" s="326"/>
      <c r="CB67" s="326"/>
      <c r="CC67" s="326"/>
      <c r="CD67" s="326"/>
      <c r="CE67" s="326"/>
      <c r="CF67" s="326"/>
      <c r="CG67" s="326"/>
      <c r="CH67" s="326"/>
      <c r="CI67" s="326"/>
      <c r="CJ67" s="326"/>
      <c r="CK67" s="326"/>
      <c r="CL67" s="326"/>
      <c r="CM67" s="326"/>
      <c r="CN67" s="326"/>
      <c r="CO67" s="326"/>
      <c r="CP67" s="326"/>
      <c r="CQ67" s="326"/>
      <c r="CR67" s="326"/>
      <c r="CS67" s="326"/>
      <c r="CT67" s="326"/>
      <c r="CU67" s="326"/>
      <c r="CV67" s="326"/>
      <c r="CW67" s="326"/>
      <c r="CX67" s="326"/>
      <c r="CY67" s="326"/>
      <c r="CZ67" s="326"/>
      <c r="DA67" s="326"/>
      <c r="DB67" s="332">
        <v>20</v>
      </c>
      <c r="DC67" s="326"/>
      <c r="DD67" s="326"/>
      <c r="DE67" s="326"/>
      <c r="DF67" s="326"/>
      <c r="DG67" s="326"/>
      <c r="DH67" s="326"/>
      <c r="DI67" s="326"/>
      <c r="DJ67" s="326"/>
      <c r="DK67" s="326"/>
      <c r="DL67" s="326"/>
      <c r="DM67" s="326"/>
      <c r="DN67" s="326"/>
      <c r="DO67" s="326"/>
      <c r="DP67" s="326"/>
      <c r="DQ67" s="326"/>
      <c r="DR67" s="326"/>
      <c r="DS67" s="326"/>
      <c r="DT67" s="326"/>
      <c r="DU67" s="326"/>
      <c r="DV67" s="326"/>
      <c r="DW67" s="326"/>
      <c r="DX67" s="326"/>
      <c r="DY67" s="326"/>
      <c r="DZ67" s="326"/>
      <c r="EA67" s="326"/>
      <c r="EB67" s="326"/>
      <c r="EC67" s="326"/>
      <c r="ED67" s="326"/>
      <c r="EE67" s="326"/>
      <c r="EF67" s="326"/>
      <c r="EG67" s="326"/>
      <c r="EH67" s="326"/>
      <c r="EI67" s="326"/>
      <c r="EJ67" s="326"/>
      <c r="EK67" s="326"/>
      <c r="EL67" s="326"/>
      <c r="EM67" s="326"/>
      <c r="EN67" s="326"/>
      <c r="EO67" s="326"/>
      <c r="EP67" s="326"/>
      <c r="EQ67" s="326"/>
      <c r="ER67" s="326"/>
      <c r="ES67" s="326"/>
      <c r="ET67" s="326"/>
      <c r="EU67" s="326"/>
      <c r="EV67" s="326"/>
      <c r="EW67" s="326"/>
      <c r="EX67" s="326"/>
      <c r="EY67" s="326"/>
      <c r="EZ67" s="326"/>
      <c r="FA67" s="326"/>
      <c r="FB67" s="326"/>
      <c r="FC67" s="326"/>
      <c r="FD67" s="326"/>
      <c r="FE67" s="326"/>
      <c r="FF67" s="326"/>
      <c r="FG67" s="326"/>
      <c r="FH67" s="326"/>
      <c r="FI67" s="326"/>
      <c r="FJ67" s="326"/>
      <c r="FK67" s="326"/>
      <c r="FL67" s="326"/>
      <c r="FM67" s="326"/>
      <c r="FN67" s="326"/>
      <c r="FO67" s="326"/>
      <c r="FP67" s="326"/>
      <c r="FQ67" s="326"/>
      <c r="FR67" s="326"/>
      <c r="FS67" s="326"/>
      <c r="FT67" s="326"/>
      <c r="FU67" s="326"/>
      <c r="FV67" s="326"/>
      <c r="FW67" s="326"/>
      <c r="FX67" s="326"/>
      <c r="FY67" s="326"/>
      <c r="FZ67" s="326"/>
      <c r="GA67" s="326"/>
      <c r="GB67" s="326"/>
      <c r="GC67" s="326"/>
      <c r="GD67" s="327"/>
      <c r="GE67" s="325" t="s">
        <v>887</v>
      </c>
      <c r="GF67" s="325" t="s">
        <v>522</v>
      </c>
      <c r="GG67" s="325" t="s">
        <v>599</v>
      </c>
      <c r="GH67" s="325" t="s">
        <v>600</v>
      </c>
      <c r="GI67" s="328">
        <f t="shared" si="8"/>
        <v>20</v>
      </c>
      <c r="GJ67" s="329" t="s">
        <v>913</v>
      </c>
    </row>
    <row r="68" spans="1:192" s="329" customFormat="1">
      <c r="A68" s="325" t="s">
        <v>898</v>
      </c>
      <c r="B68" s="325" t="s">
        <v>525</v>
      </c>
      <c r="C68" s="325" t="s">
        <v>555</v>
      </c>
      <c r="D68" s="325" t="s">
        <v>633</v>
      </c>
      <c r="E68" s="325" t="s">
        <v>923</v>
      </c>
      <c r="F68" s="325" t="s">
        <v>520</v>
      </c>
      <c r="G68" s="325" t="s">
        <v>924</v>
      </c>
      <c r="H68" s="326"/>
      <c r="I68" s="326"/>
      <c r="J68" s="326"/>
      <c r="K68" s="326"/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26"/>
      <c r="Y68" s="326"/>
      <c r="Z68" s="326"/>
      <c r="AA68" s="326"/>
      <c r="AB68" s="326"/>
      <c r="AC68" s="326"/>
      <c r="AD68" s="330">
        <f>20-20+10</f>
        <v>10</v>
      </c>
      <c r="AE68" s="326"/>
      <c r="AF68" s="326"/>
      <c r="AG68" s="326"/>
      <c r="AH68" s="326"/>
      <c r="AI68" s="326"/>
      <c r="AJ68" s="326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/>
      <c r="BH68" s="326"/>
      <c r="BI68" s="326"/>
      <c r="BJ68" s="326"/>
      <c r="BK68" s="326"/>
      <c r="BL68" s="326"/>
      <c r="BM68" s="326"/>
      <c r="BN68" s="326"/>
      <c r="BO68" s="326"/>
      <c r="BP68" s="330">
        <f>10-10+2</f>
        <v>2</v>
      </c>
      <c r="BQ68" s="326"/>
      <c r="BR68" s="326"/>
      <c r="BS68" s="326"/>
      <c r="BT68" s="326"/>
      <c r="BU68" s="326"/>
      <c r="BV68" s="326"/>
      <c r="BW68" s="326"/>
      <c r="BX68" s="326"/>
      <c r="BY68" s="326"/>
      <c r="BZ68" s="326"/>
      <c r="CA68" s="326"/>
      <c r="CB68" s="326"/>
      <c r="CC68" s="326"/>
      <c r="CD68" s="326"/>
      <c r="CE68" s="326"/>
      <c r="CF68" s="326"/>
      <c r="CG68" s="326"/>
      <c r="CH68" s="326"/>
      <c r="CI68" s="326"/>
      <c r="CJ68" s="326"/>
      <c r="CK68" s="326"/>
      <c r="CL68" s="326"/>
      <c r="CM68" s="326"/>
      <c r="CN68" s="326"/>
      <c r="CO68" s="326"/>
      <c r="CP68" s="330">
        <f>30-30</f>
        <v>0</v>
      </c>
      <c r="CQ68" s="326"/>
      <c r="CR68" s="326"/>
      <c r="CS68" s="326"/>
      <c r="CT68" s="326"/>
      <c r="CU68" s="326"/>
      <c r="CV68" s="326"/>
      <c r="CW68" s="326"/>
      <c r="CX68" s="326"/>
      <c r="CY68" s="330">
        <f>20-20+20</f>
        <v>20</v>
      </c>
      <c r="CZ68" s="326"/>
      <c r="DA68" s="330">
        <f>20-20+10</f>
        <v>10</v>
      </c>
      <c r="DB68" s="330">
        <f>30-30</f>
        <v>0</v>
      </c>
      <c r="DC68" s="326"/>
      <c r="DD68" s="326"/>
      <c r="DE68" s="326"/>
      <c r="DF68" s="326"/>
      <c r="DG68" s="330">
        <f>50-50+20</f>
        <v>20</v>
      </c>
      <c r="DH68" s="326"/>
      <c r="DI68" s="326"/>
      <c r="DJ68" s="326"/>
      <c r="DK68" s="326"/>
      <c r="DL68" s="326"/>
      <c r="DM68" s="330">
        <f>100-100+5</f>
        <v>5</v>
      </c>
      <c r="DN68" s="326"/>
      <c r="DO68" s="326"/>
      <c r="DP68" s="326"/>
      <c r="DQ68" s="326"/>
      <c r="DR68" s="326"/>
      <c r="DS68" s="326"/>
      <c r="DT68" s="326"/>
      <c r="DU68" s="326"/>
      <c r="DV68" s="326"/>
      <c r="DW68" s="326"/>
      <c r="DX68" s="326"/>
      <c r="DY68" s="326"/>
      <c r="DZ68" s="326"/>
      <c r="EA68" s="326"/>
      <c r="EB68" s="326"/>
      <c r="EC68" s="326"/>
      <c r="ED68" s="326"/>
      <c r="EE68" s="326"/>
      <c r="EF68" s="326"/>
      <c r="EG68" s="326"/>
      <c r="EH68" s="326"/>
      <c r="EI68" s="326"/>
      <c r="EJ68" s="326"/>
      <c r="EK68" s="326"/>
      <c r="EL68" s="330">
        <f>50-50</f>
        <v>0</v>
      </c>
      <c r="EM68" s="330">
        <f>150-150+10</f>
        <v>10</v>
      </c>
      <c r="EN68" s="326"/>
      <c r="EO68" s="326"/>
      <c r="EP68" s="326"/>
      <c r="EQ68" s="326"/>
      <c r="ER68" s="326"/>
      <c r="ES68" s="326"/>
      <c r="ET68" s="326"/>
      <c r="EU68" s="326"/>
      <c r="EV68" s="326"/>
      <c r="EW68" s="326"/>
      <c r="EX68" s="326"/>
      <c r="EY68" s="330">
        <f>100-100</f>
        <v>0</v>
      </c>
      <c r="EZ68" s="326"/>
      <c r="FA68" s="326"/>
      <c r="FB68" s="326"/>
      <c r="FC68" s="326"/>
      <c r="FD68" s="326"/>
      <c r="FE68" s="326"/>
      <c r="FF68" s="326"/>
      <c r="FG68" s="326"/>
      <c r="FH68" s="326"/>
      <c r="FI68" s="326"/>
      <c r="FJ68" s="330">
        <f>50-50</f>
        <v>0</v>
      </c>
      <c r="FK68" s="326"/>
      <c r="FL68" s="326"/>
      <c r="FM68" s="326"/>
      <c r="FN68" s="326"/>
      <c r="FO68" s="326"/>
      <c r="FP68" s="326"/>
      <c r="FQ68" s="326"/>
      <c r="FR68" s="326"/>
      <c r="FS68" s="326"/>
      <c r="FT68" s="326"/>
      <c r="FU68" s="326"/>
      <c r="FV68" s="326"/>
      <c r="FW68" s="326"/>
      <c r="FX68" s="326"/>
      <c r="FY68" s="326"/>
      <c r="FZ68" s="326"/>
      <c r="GA68" s="326"/>
      <c r="GB68" s="326"/>
      <c r="GC68" s="326"/>
      <c r="GD68" s="327" t="s">
        <v>850</v>
      </c>
      <c r="GE68" s="325" t="s">
        <v>887</v>
      </c>
      <c r="GF68" s="325" t="s">
        <v>522</v>
      </c>
      <c r="GG68" s="325" t="s">
        <v>599</v>
      </c>
      <c r="GH68" s="325" t="s">
        <v>600</v>
      </c>
      <c r="GI68" s="328">
        <f t="shared" si="8"/>
        <v>77</v>
      </c>
      <c r="GJ68" s="329" t="s">
        <v>913</v>
      </c>
    </row>
    <row r="69" spans="1:192" s="329" customFormat="1">
      <c r="A69" s="325" t="s">
        <v>898</v>
      </c>
      <c r="B69" s="325" t="s">
        <v>525</v>
      </c>
      <c r="C69" s="325" t="s">
        <v>555</v>
      </c>
      <c r="D69" s="325" t="s">
        <v>3</v>
      </c>
      <c r="E69" s="325" t="s">
        <v>923</v>
      </c>
      <c r="F69" s="325" t="s">
        <v>520</v>
      </c>
      <c r="G69" s="325" t="s">
        <v>925</v>
      </c>
      <c r="H69" s="326"/>
      <c r="I69" s="326"/>
      <c r="J69" s="326"/>
      <c r="K69" s="326"/>
      <c r="L69" s="326"/>
      <c r="M69" s="326"/>
      <c r="N69" s="326"/>
      <c r="O69" s="326"/>
      <c r="P69" s="326"/>
      <c r="Q69" s="326"/>
      <c r="R69" s="326"/>
      <c r="S69" s="326"/>
      <c r="T69" s="326"/>
      <c r="U69" s="326"/>
      <c r="V69" s="326"/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26"/>
      <c r="AI69" s="326"/>
      <c r="AJ69" s="326"/>
      <c r="AK69" s="326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/>
      <c r="BL69" s="326"/>
      <c r="BM69" s="326"/>
      <c r="BN69" s="326"/>
      <c r="BO69" s="326"/>
      <c r="BP69" s="326"/>
      <c r="BQ69" s="326"/>
      <c r="BR69" s="326"/>
      <c r="BS69" s="326"/>
      <c r="BT69" s="326"/>
      <c r="BU69" s="326"/>
      <c r="BV69" s="326"/>
      <c r="BW69" s="326"/>
      <c r="BX69" s="326"/>
      <c r="BY69" s="326"/>
      <c r="BZ69" s="326"/>
      <c r="CA69" s="326"/>
      <c r="CB69" s="326"/>
      <c r="CC69" s="326"/>
      <c r="CD69" s="326"/>
      <c r="CE69" s="326"/>
      <c r="CF69" s="326"/>
      <c r="CG69" s="326"/>
      <c r="CH69" s="326"/>
      <c r="CI69" s="326"/>
      <c r="CJ69" s="326"/>
      <c r="CK69" s="326"/>
      <c r="CL69" s="326"/>
      <c r="CM69" s="326"/>
      <c r="CN69" s="326"/>
      <c r="CO69" s="326"/>
      <c r="CP69" s="326"/>
      <c r="CQ69" s="326"/>
      <c r="CR69" s="326"/>
      <c r="CS69" s="326"/>
      <c r="CT69" s="326"/>
      <c r="CU69" s="326"/>
      <c r="CV69" s="326"/>
      <c r="CW69" s="326"/>
      <c r="CX69" s="326"/>
      <c r="CY69" s="326"/>
      <c r="CZ69" s="326"/>
      <c r="DA69" s="326"/>
      <c r="DB69" s="326"/>
      <c r="DC69" s="326"/>
      <c r="DD69" s="326"/>
      <c r="DE69" s="326"/>
      <c r="DF69" s="326"/>
      <c r="DG69" s="326"/>
      <c r="DH69" s="326"/>
      <c r="DI69" s="326"/>
      <c r="DJ69" s="326"/>
      <c r="DK69" s="326"/>
      <c r="DL69" s="326"/>
      <c r="DM69" s="326"/>
      <c r="DN69" s="326"/>
      <c r="DO69" s="326"/>
      <c r="DP69" s="326"/>
      <c r="DQ69" s="326"/>
      <c r="DR69" s="326"/>
      <c r="DS69" s="326"/>
      <c r="DT69" s="326"/>
      <c r="DU69" s="326"/>
      <c r="DV69" s="326"/>
      <c r="DW69" s="326"/>
      <c r="DX69" s="326"/>
      <c r="DY69" s="326"/>
      <c r="DZ69" s="326"/>
      <c r="EA69" s="326"/>
      <c r="EB69" s="326"/>
      <c r="EC69" s="326"/>
      <c r="ED69" s="326"/>
      <c r="EE69" s="326"/>
      <c r="EF69" s="326"/>
      <c r="EG69" s="326"/>
      <c r="EH69" s="326"/>
      <c r="EI69" s="326"/>
      <c r="EJ69" s="326"/>
      <c r="EK69" s="326"/>
      <c r="EL69" s="326"/>
      <c r="EM69" s="326"/>
      <c r="EN69" s="326"/>
      <c r="EO69" s="326"/>
      <c r="EP69" s="326"/>
      <c r="EQ69" s="326"/>
      <c r="ER69" s="326"/>
      <c r="ES69" s="326"/>
      <c r="ET69" s="326"/>
      <c r="EU69" s="326"/>
      <c r="EV69" s="326"/>
      <c r="EW69" s="326"/>
      <c r="EX69" s="326"/>
      <c r="EY69" s="326"/>
      <c r="EZ69" s="326"/>
      <c r="FA69" s="326"/>
      <c r="FB69" s="326"/>
      <c r="FC69" s="326"/>
      <c r="FD69" s="326"/>
      <c r="FE69" s="326"/>
      <c r="FF69" s="326"/>
      <c r="FG69" s="326"/>
      <c r="FH69" s="326"/>
      <c r="FI69" s="326"/>
      <c r="FJ69" s="326"/>
      <c r="FK69" s="326"/>
      <c r="FL69" s="326"/>
      <c r="FM69" s="326"/>
      <c r="FN69" s="326"/>
      <c r="FO69" s="326"/>
      <c r="FP69" s="326"/>
      <c r="FQ69" s="326"/>
      <c r="FR69" s="326"/>
      <c r="FS69" s="326"/>
      <c r="FT69" s="326"/>
      <c r="FU69" s="326"/>
      <c r="FV69" s="326"/>
      <c r="FW69" s="326"/>
      <c r="FX69" s="326"/>
      <c r="FY69" s="326"/>
      <c r="FZ69" s="326"/>
      <c r="GA69" s="326"/>
      <c r="GB69" s="326"/>
      <c r="GC69" s="326"/>
      <c r="GD69" s="327"/>
      <c r="GE69" s="325" t="s">
        <v>887</v>
      </c>
      <c r="GF69" s="325" t="s">
        <v>522</v>
      </c>
      <c r="GG69" s="325" t="s">
        <v>599</v>
      </c>
      <c r="GH69" s="325" t="s">
        <v>600</v>
      </c>
      <c r="GI69" s="328">
        <f t="shared" si="8"/>
        <v>0</v>
      </c>
      <c r="GJ69" s="329" t="s">
        <v>913</v>
      </c>
    </row>
    <row r="70" spans="1:192" s="329" customFormat="1">
      <c r="A70" s="325" t="s">
        <v>926</v>
      </c>
      <c r="B70" s="325" t="s">
        <v>517</v>
      </c>
      <c r="C70" s="325" t="s">
        <v>555</v>
      </c>
      <c r="D70" s="325" t="s">
        <v>636</v>
      </c>
      <c r="E70" s="325" t="s">
        <v>594</v>
      </c>
      <c r="F70" s="325" t="s">
        <v>520</v>
      </c>
      <c r="G70" s="325" t="s">
        <v>927</v>
      </c>
      <c r="H70" s="326"/>
      <c r="I70" s="326"/>
      <c r="J70" s="326"/>
      <c r="K70" s="326"/>
      <c r="L70" s="326"/>
      <c r="M70" s="326"/>
      <c r="N70" s="326"/>
      <c r="O70" s="326"/>
      <c r="P70" s="326"/>
      <c r="Q70" s="326"/>
      <c r="R70" s="326"/>
      <c r="S70" s="326"/>
      <c r="T70" s="326"/>
      <c r="U70" s="326"/>
      <c r="V70" s="326"/>
      <c r="W70" s="326"/>
      <c r="X70" s="326"/>
      <c r="Y70" s="326"/>
      <c r="Z70" s="326"/>
      <c r="AA70" s="326"/>
      <c r="AB70" s="326"/>
      <c r="AC70" s="326"/>
      <c r="AD70" s="326"/>
      <c r="AE70" s="326"/>
      <c r="AF70" s="326"/>
      <c r="AG70" s="326"/>
      <c r="AH70" s="326"/>
      <c r="AI70" s="326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6"/>
      <c r="BW70" s="326"/>
      <c r="BX70" s="326"/>
      <c r="BY70" s="326"/>
      <c r="BZ70" s="326"/>
      <c r="CA70" s="326"/>
      <c r="CB70" s="326"/>
      <c r="CC70" s="326"/>
      <c r="CD70" s="326"/>
      <c r="CE70" s="326"/>
      <c r="CF70" s="326"/>
      <c r="CG70" s="326"/>
      <c r="CH70" s="326"/>
      <c r="CI70" s="326"/>
      <c r="CJ70" s="326"/>
      <c r="CK70" s="326"/>
      <c r="CL70" s="326"/>
      <c r="CM70" s="326"/>
      <c r="CN70" s="326"/>
      <c r="CO70" s="326"/>
      <c r="CP70" s="326"/>
      <c r="CQ70" s="326"/>
      <c r="CR70" s="326"/>
      <c r="CS70" s="326"/>
      <c r="CT70" s="326"/>
      <c r="CU70" s="326"/>
      <c r="CV70" s="326"/>
      <c r="CW70" s="326"/>
      <c r="CX70" s="326"/>
      <c r="CY70" s="326"/>
      <c r="CZ70" s="326"/>
      <c r="DA70" s="326"/>
      <c r="DB70" s="332">
        <v>25</v>
      </c>
      <c r="DC70" s="326"/>
      <c r="DD70" s="326"/>
      <c r="DE70" s="326"/>
      <c r="DF70" s="326"/>
      <c r="DG70" s="326"/>
      <c r="DH70" s="326"/>
      <c r="DI70" s="326"/>
      <c r="DJ70" s="326"/>
      <c r="DK70" s="326"/>
      <c r="DL70" s="326"/>
      <c r="DM70" s="326"/>
      <c r="DN70" s="326"/>
      <c r="DO70" s="326"/>
      <c r="DP70" s="326"/>
      <c r="DQ70" s="326"/>
      <c r="DR70" s="326"/>
      <c r="DS70" s="326"/>
      <c r="DT70" s="326"/>
      <c r="DU70" s="326"/>
      <c r="DV70" s="326"/>
      <c r="DW70" s="326"/>
      <c r="DX70" s="326"/>
      <c r="DY70" s="326"/>
      <c r="DZ70" s="326"/>
      <c r="EA70" s="326"/>
      <c r="EB70" s="326"/>
      <c r="EC70" s="326"/>
      <c r="ED70" s="326"/>
      <c r="EE70" s="326"/>
      <c r="EF70" s="326"/>
      <c r="EG70" s="326"/>
      <c r="EH70" s="326"/>
      <c r="EI70" s="326"/>
      <c r="EJ70" s="326"/>
      <c r="EK70" s="326"/>
      <c r="EL70" s="326"/>
      <c r="EM70" s="326"/>
      <c r="EN70" s="326"/>
      <c r="EO70" s="326"/>
      <c r="EP70" s="326"/>
      <c r="EQ70" s="326"/>
      <c r="ER70" s="326"/>
      <c r="ES70" s="326"/>
      <c r="ET70" s="326"/>
      <c r="EU70" s="326"/>
      <c r="EV70" s="326"/>
      <c r="EW70" s="326"/>
      <c r="EX70" s="326"/>
      <c r="EY70" s="326"/>
      <c r="EZ70" s="326"/>
      <c r="FA70" s="326"/>
      <c r="FB70" s="326"/>
      <c r="FC70" s="326"/>
      <c r="FD70" s="326"/>
      <c r="FE70" s="326"/>
      <c r="FF70" s="326"/>
      <c r="FG70" s="326"/>
      <c r="FH70" s="326"/>
      <c r="FI70" s="326"/>
      <c r="FJ70" s="326"/>
      <c r="FK70" s="326"/>
      <c r="FL70" s="326"/>
      <c r="FM70" s="326"/>
      <c r="FN70" s="326"/>
      <c r="FO70" s="326"/>
      <c r="FP70" s="326"/>
      <c r="FQ70" s="326"/>
      <c r="FR70" s="326"/>
      <c r="FS70" s="326"/>
      <c r="FT70" s="326"/>
      <c r="FU70" s="326"/>
      <c r="FV70" s="326"/>
      <c r="FW70" s="326"/>
      <c r="FX70" s="326"/>
      <c r="FY70" s="326"/>
      <c r="FZ70" s="326"/>
      <c r="GA70" s="326"/>
      <c r="GB70" s="326"/>
      <c r="GC70" s="326"/>
      <c r="GD70" s="327"/>
      <c r="GE70" s="325" t="s">
        <v>887</v>
      </c>
      <c r="GF70" s="325" t="s">
        <v>522</v>
      </c>
      <c r="GG70" s="325" t="s">
        <v>724</v>
      </c>
      <c r="GH70" s="325" t="s">
        <v>577</v>
      </c>
      <c r="GI70" s="328">
        <f t="shared" si="8"/>
        <v>25</v>
      </c>
      <c r="GJ70" s="329" t="s">
        <v>913</v>
      </c>
    </row>
    <row r="71" spans="1:192" s="329" customFormat="1">
      <c r="A71" s="325" t="s">
        <v>926</v>
      </c>
      <c r="B71" s="325" t="s">
        <v>517</v>
      </c>
      <c r="C71" s="325" t="s">
        <v>555</v>
      </c>
      <c r="D71" s="325" t="s">
        <v>633</v>
      </c>
      <c r="E71" s="325" t="s">
        <v>594</v>
      </c>
      <c r="F71" s="325" t="s">
        <v>520</v>
      </c>
      <c r="G71" s="325" t="s">
        <v>927</v>
      </c>
      <c r="H71" s="326"/>
      <c r="I71" s="326"/>
      <c r="J71" s="326"/>
      <c r="K71" s="326"/>
      <c r="L71" s="326"/>
      <c r="M71" s="326"/>
      <c r="N71" s="326"/>
      <c r="O71" s="326"/>
      <c r="P71" s="326"/>
      <c r="Q71" s="326"/>
      <c r="R71" s="326"/>
      <c r="S71" s="326"/>
      <c r="T71" s="326"/>
      <c r="U71" s="326"/>
      <c r="V71" s="326"/>
      <c r="W71" s="326"/>
      <c r="X71" s="326"/>
      <c r="Y71" s="326"/>
      <c r="Z71" s="326"/>
      <c r="AA71" s="326"/>
      <c r="AB71" s="326"/>
      <c r="AC71" s="326"/>
      <c r="AD71" s="326"/>
      <c r="AE71" s="326"/>
      <c r="AF71" s="326"/>
      <c r="AG71" s="326"/>
      <c r="AH71" s="326"/>
      <c r="AI71" s="326"/>
      <c r="AJ71" s="326"/>
      <c r="AK71" s="326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30">
        <f>10-10+5</f>
        <v>5</v>
      </c>
      <c r="BA71" s="330">
        <f>10-10+1</f>
        <v>1</v>
      </c>
      <c r="BB71" s="326"/>
      <c r="BC71" s="330">
        <f>10-10+10</f>
        <v>10</v>
      </c>
      <c r="BD71" s="330">
        <f>10-10</f>
        <v>0</v>
      </c>
      <c r="BE71" s="330">
        <f>10-10</f>
        <v>0</v>
      </c>
      <c r="BF71" s="326"/>
      <c r="BG71" s="326"/>
      <c r="BH71" s="326"/>
      <c r="BI71" s="326"/>
      <c r="BJ71" s="326"/>
      <c r="BK71" s="326"/>
      <c r="BL71" s="326"/>
      <c r="BM71" s="326"/>
      <c r="BN71" s="330">
        <f>10-10</f>
        <v>0</v>
      </c>
      <c r="BO71" s="330">
        <f>10-10</f>
        <v>0</v>
      </c>
      <c r="BP71" s="330">
        <f>10-10+3</f>
        <v>3</v>
      </c>
      <c r="BQ71" s="330">
        <f>10-10+3</f>
        <v>3</v>
      </c>
      <c r="BR71" s="326"/>
      <c r="BS71" s="330">
        <f>10-10+1</f>
        <v>1</v>
      </c>
      <c r="BT71" s="326"/>
      <c r="BU71" s="326"/>
      <c r="BV71" s="326"/>
      <c r="BW71" s="326"/>
      <c r="BX71" s="326"/>
      <c r="BY71" s="326"/>
      <c r="BZ71" s="326"/>
      <c r="CA71" s="326"/>
      <c r="CB71" s="330">
        <f>10-10+2</f>
        <v>2</v>
      </c>
      <c r="CC71" s="330">
        <f>10-10+2</f>
        <v>2</v>
      </c>
      <c r="CD71" s="326"/>
      <c r="CE71" s="326"/>
      <c r="CF71" s="330">
        <f>10-10+5</f>
        <v>5</v>
      </c>
      <c r="CG71" s="330">
        <f>10-10</f>
        <v>0</v>
      </c>
      <c r="CH71" s="330">
        <f>10-10</f>
        <v>0</v>
      </c>
      <c r="CI71" s="330">
        <f>10-10</f>
        <v>0</v>
      </c>
      <c r="CJ71" s="326"/>
      <c r="CK71" s="326"/>
      <c r="CL71" s="330">
        <f>10-10+1</f>
        <v>1</v>
      </c>
      <c r="CM71" s="330">
        <f>10-10+2</f>
        <v>2</v>
      </c>
      <c r="CN71" s="330">
        <f t="shared" ref="CN71:CP71" si="12">10-10</f>
        <v>0</v>
      </c>
      <c r="CO71" s="330">
        <f t="shared" si="12"/>
        <v>0</v>
      </c>
      <c r="CP71" s="330">
        <f t="shared" si="12"/>
        <v>0</v>
      </c>
      <c r="CQ71" s="330">
        <f>10-10+5</f>
        <v>5</v>
      </c>
      <c r="CR71" s="330">
        <f>20-20+10</f>
        <v>10</v>
      </c>
      <c r="CS71" s="330">
        <f>10-10+2</f>
        <v>2</v>
      </c>
      <c r="CT71" s="330">
        <f>20-20</f>
        <v>0</v>
      </c>
      <c r="CU71" s="330">
        <f>20-20</f>
        <v>0</v>
      </c>
      <c r="CV71" s="326"/>
      <c r="CW71" s="330">
        <f>20-20</f>
        <v>0</v>
      </c>
      <c r="CX71" s="326"/>
      <c r="CY71" s="326"/>
      <c r="CZ71" s="330">
        <f>150-150+15</f>
        <v>15</v>
      </c>
      <c r="DA71" s="330">
        <f>50-50+20</f>
        <v>20</v>
      </c>
      <c r="DB71" s="330">
        <f>100-100</f>
        <v>0</v>
      </c>
      <c r="DC71" s="326"/>
      <c r="DD71" s="326"/>
      <c r="DE71" s="326"/>
      <c r="DF71" s="326"/>
      <c r="DG71" s="330">
        <f>100-100+20</f>
        <v>20</v>
      </c>
      <c r="DH71" s="326"/>
      <c r="DI71" s="330">
        <f>100-100</f>
        <v>0</v>
      </c>
      <c r="DJ71" s="330">
        <f>200-200+10</f>
        <v>10</v>
      </c>
      <c r="DK71" s="330">
        <f>100-100</f>
        <v>0</v>
      </c>
      <c r="DL71" s="330">
        <f>200-200+5</f>
        <v>5</v>
      </c>
      <c r="DM71" s="330">
        <f>200-200+5</f>
        <v>5</v>
      </c>
      <c r="DN71" s="326"/>
      <c r="DO71" s="326"/>
      <c r="DP71" s="326"/>
      <c r="DQ71" s="326"/>
      <c r="DR71" s="326"/>
      <c r="DS71" s="326"/>
      <c r="DT71" s="326"/>
      <c r="DU71" s="326"/>
      <c r="DV71" s="326"/>
      <c r="DW71" s="326"/>
      <c r="DX71" s="326"/>
      <c r="DY71" s="326"/>
      <c r="DZ71" s="326"/>
      <c r="EA71" s="326"/>
      <c r="EB71" s="326"/>
      <c r="EC71" s="326"/>
      <c r="ED71" s="330">
        <f>200-200</f>
        <v>0</v>
      </c>
      <c r="EE71" s="326"/>
      <c r="EF71" s="330">
        <f>200-200+10</f>
        <v>10</v>
      </c>
      <c r="EG71" s="326"/>
      <c r="EH71" s="326"/>
      <c r="EI71" s="326"/>
      <c r="EJ71" s="326"/>
      <c r="EK71" s="326"/>
      <c r="EL71" s="330">
        <f>200-200</f>
        <v>0</v>
      </c>
      <c r="EM71" s="326"/>
      <c r="EN71" s="326"/>
      <c r="EO71" s="326"/>
      <c r="EP71" s="330">
        <f>200-200+80</f>
        <v>80</v>
      </c>
      <c r="EQ71" s="326"/>
      <c r="ER71" s="326"/>
      <c r="ES71" s="330">
        <f>200-200</f>
        <v>0</v>
      </c>
      <c r="ET71" s="326"/>
      <c r="EU71" s="326"/>
      <c r="EV71" s="330">
        <f>200-200</f>
        <v>0</v>
      </c>
      <c r="EW71" s="326"/>
      <c r="EX71" s="326"/>
      <c r="EY71" s="326"/>
      <c r="EZ71" s="326"/>
      <c r="FA71" s="326"/>
      <c r="FB71" s="326"/>
      <c r="FC71" s="326"/>
      <c r="FD71" s="326"/>
      <c r="FE71" s="326"/>
      <c r="FF71" s="326"/>
      <c r="FG71" s="326"/>
      <c r="FH71" s="326"/>
      <c r="FI71" s="326"/>
      <c r="FJ71" s="326"/>
      <c r="FK71" s="326"/>
      <c r="FL71" s="326"/>
      <c r="FM71" s="326"/>
      <c r="FN71" s="326"/>
      <c r="FO71" s="326"/>
      <c r="FP71" s="326"/>
      <c r="FQ71" s="326"/>
      <c r="FR71" s="326"/>
      <c r="FS71" s="326"/>
      <c r="FT71" s="326"/>
      <c r="FU71" s="326"/>
      <c r="FV71" s="326"/>
      <c r="FW71" s="326"/>
      <c r="FX71" s="326"/>
      <c r="FY71" s="326"/>
      <c r="FZ71" s="326"/>
      <c r="GA71" s="326"/>
      <c r="GB71" s="326"/>
      <c r="GC71" s="326"/>
      <c r="GD71" s="327" t="s">
        <v>850</v>
      </c>
      <c r="GE71" s="325" t="s">
        <v>887</v>
      </c>
      <c r="GF71" s="325" t="s">
        <v>522</v>
      </c>
      <c r="GG71" s="325" t="s">
        <v>724</v>
      </c>
      <c r="GH71" s="325" t="s">
        <v>577</v>
      </c>
      <c r="GI71" s="328">
        <f t="shared" si="8"/>
        <v>217</v>
      </c>
      <c r="GJ71" s="329" t="s">
        <v>913</v>
      </c>
    </row>
    <row r="72" spans="1:192" s="329" customFormat="1" ht="10.5">
      <c r="A72" s="325" t="s">
        <v>926</v>
      </c>
      <c r="B72" s="325" t="s">
        <v>517</v>
      </c>
      <c r="C72" s="325" t="s">
        <v>555</v>
      </c>
      <c r="D72" s="325" t="s">
        <v>3</v>
      </c>
      <c r="E72" s="325" t="s">
        <v>594</v>
      </c>
      <c r="F72" s="325" t="s">
        <v>520</v>
      </c>
      <c r="G72" s="325" t="s">
        <v>928</v>
      </c>
      <c r="H72" s="326"/>
      <c r="I72" s="326"/>
      <c r="J72" s="326"/>
      <c r="K72" s="326"/>
      <c r="L72" s="326"/>
      <c r="M72" s="326"/>
      <c r="N72" s="326"/>
      <c r="O72" s="326"/>
      <c r="P72" s="326"/>
      <c r="Q72" s="326"/>
      <c r="R72" s="326"/>
      <c r="S72" s="326"/>
      <c r="T72" s="326"/>
      <c r="U72" s="326"/>
      <c r="V72" s="326"/>
      <c r="W72" s="326"/>
      <c r="X72" s="326"/>
      <c r="Y72" s="326"/>
      <c r="Z72" s="326"/>
      <c r="AA72" s="326"/>
      <c r="AB72" s="326"/>
      <c r="AC72" s="326"/>
      <c r="AD72" s="326"/>
      <c r="AE72" s="326"/>
      <c r="AF72" s="326"/>
      <c r="AG72" s="326"/>
      <c r="AH72" s="326"/>
      <c r="AI72" s="326"/>
      <c r="AJ72" s="326"/>
      <c r="AK72" s="326"/>
      <c r="AL72" s="326"/>
      <c r="AM72" s="326"/>
      <c r="AN72" s="326"/>
      <c r="AO72" s="326"/>
      <c r="AP72" s="326"/>
      <c r="AQ72" s="326"/>
      <c r="AR72" s="326"/>
      <c r="AS72" s="326"/>
      <c r="AT72" s="326"/>
      <c r="AU72" s="326"/>
      <c r="AV72" s="326"/>
      <c r="AW72" s="326"/>
      <c r="AX72" s="326"/>
      <c r="AY72" s="326"/>
      <c r="AZ72" s="326"/>
      <c r="BA72" s="326"/>
      <c r="BB72" s="326"/>
      <c r="BC72" s="326"/>
      <c r="BD72" s="326"/>
      <c r="BE72" s="354">
        <v>2</v>
      </c>
      <c r="BF72" s="326"/>
      <c r="BG72" s="326"/>
      <c r="BH72" s="326"/>
      <c r="BI72" s="326"/>
      <c r="BJ72" s="326"/>
      <c r="BK72" s="326"/>
      <c r="BL72" s="326"/>
      <c r="BM72" s="326"/>
      <c r="BN72" s="354">
        <v>2</v>
      </c>
      <c r="BO72" s="354">
        <v>1</v>
      </c>
      <c r="BP72" s="326"/>
      <c r="BQ72" s="326"/>
      <c r="BR72" s="326"/>
      <c r="BS72" s="326"/>
      <c r="BT72" s="326"/>
      <c r="BU72" s="326"/>
      <c r="BV72" s="326"/>
      <c r="BW72" s="326"/>
      <c r="BX72" s="326"/>
      <c r="BY72" s="326"/>
      <c r="BZ72" s="326"/>
      <c r="CA72" s="326"/>
      <c r="CB72" s="326"/>
      <c r="CC72" s="326"/>
      <c r="CD72" s="326"/>
      <c r="CE72" s="326"/>
      <c r="CF72" s="326"/>
      <c r="CG72" s="354">
        <v>5</v>
      </c>
      <c r="CH72" s="326"/>
      <c r="CI72" s="326"/>
      <c r="CJ72" s="326"/>
      <c r="CK72" s="326"/>
      <c r="CL72" s="326"/>
      <c r="CM72" s="326"/>
      <c r="CN72" s="326"/>
      <c r="CO72" s="326"/>
      <c r="CP72" s="326"/>
      <c r="CQ72" s="326"/>
      <c r="CR72" s="326"/>
      <c r="CS72" s="326"/>
      <c r="CT72" s="326"/>
      <c r="CU72" s="326"/>
      <c r="CV72" s="326"/>
      <c r="CW72" s="326"/>
      <c r="CX72" s="326"/>
      <c r="CY72" s="326"/>
      <c r="CZ72" s="326"/>
      <c r="DA72" s="326"/>
      <c r="DB72" s="326"/>
      <c r="DC72" s="326"/>
      <c r="DD72" s="326"/>
      <c r="DE72" s="326"/>
      <c r="DF72" s="326"/>
      <c r="DG72" s="326"/>
      <c r="DH72" s="326"/>
      <c r="DI72" s="326"/>
      <c r="DJ72" s="326"/>
      <c r="DK72" s="326"/>
      <c r="DL72" s="326"/>
      <c r="DM72" s="326"/>
      <c r="DN72" s="326"/>
      <c r="DO72" s="326"/>
      <c r="DP72" s="326"/>
      <c r="DQ72" s="326"/>
      <c r="DR72" s="326"/>
      <c r="DS72" s="326"/>
      <c r="DT72" s="326"/>
      <c r="DU72" s="326"/>
      <c r="DV72" s="326"/>
      <c r="DW72" s="326"/>
      <c r="DX72" s="326"/>
      <c r="DY72" s="326"/>
      <c r="DZ72" s="326"/>
      <c r="EA72" s="326"/>
      <c r="EB72" s="326"/>
      <c r="EC72" s="326"/>
      <c r="ED72" s="326"/>
      <c r="EE72" s="326"/>
      <c r="EF72" s="326"/>
      <c r="EG72" s="326"/>
      <c r="EH72" s="326"/>
      <c r="EI72" s="326"/>
      <c r="EJ72" s="326"/>
      <c r="EK72" s="326"/>
      <c r="EL72" s="326"/>
      <c r="EM72" s="326"/>
      <c r="EN72" s="326"/>
      <c r="EO72" s="326"/>
      <c r="EP72" s="326"/>
      <c r="EQ72" s="326"/>
      <c r="ER72" s="326"/>
      <c r="ES72" s="326"/>
      <c r="ET72" s="326"/>
      <c r="EU72" s="326"/>
      <c r="EV72" s="326"/>
      <c r="EW72" s="326"/>
      <c r="EX72" s="326"/>
      <c r="EY72" s="326"/>
      <c r="EZ72" s="326"/>
      <c r="FA72" s="326"/>
      <c r="FB72" s="326"/>
      <c r="FC72" s="326"/>
      <c r="FD72" s="326"/>
      <c r="FE72" s="326"/>
      <c r="FF72" s="326"/>
      <c r="FG72" s="326"/>
      <c r="FH72" s="326"/>
      <c r="FI72" s="326"/>
      <c r="FJ72" s="326"/>
      <c r="FK72" s="326"/>
      <c r="FL72" s="326"/>
      <c r="FM72" s="326"/>
      <c r="FN72" s="326"/>
      <c r="FO72" s="326"/>
      <c r="FP72" s="326"/>
      <c r="FQ72" s="326"/>
      <c r="FR72" s="326"/>
      <c r="FS72" s="326"/>
      <c r="FT72" s="326"/>
      <c r="FU72" s="326"/>
      <c r="FV72" s="326"/>
      <c r="FW72" s="326"/>
      <c r="FX72" s="326"/>
      <c r="FY72" s="326"/>
      <c r="FZ72" s="326"/>
      <c r="GA72" s="326"/>
      <c r="GB72" s="326"/>
      <c r="GC72" s="326"/>
      <c r="GD72" s="327"/>
      <c r="GE72" s="325" t="s">
        <v>887</v>
      </c>
      <c r="GF72" s="325" t="s">
        <v>522</v>
      </c>
      <c r="GG72" s="325" t="s">
        <v>724</v>
      </c>
      <c r="GH72" s="325" t="s">
        <v>577</v>
      </c>
      <c r="GI72" s="328">
        <f t="shared" si="8"/>
        <v>10</v>
      </c>
      <c r="GJ72" s="329" t="s">
        <v>913</v>
      </c>
    </row>
    <row r="73" spans="1:192" s="329" customFormat="1">
      <c r="A73" s="325" t="s">
        <v>526</v>
      </c>
      <c r="B73" s="325" t="s">
        <v>517</v>
      </c>
      <c r="C73" s="325" t="s">
        <v>555</v>
      </c>
      <c r="D73" s="325" t="s">
        <v>636</v>
      </c>
      <c r="E73" s="325" t="s">
        <v>602</v>
      </c>
      <c r="F73" s="325" t="s">
        <v>520</v>
      </c>
      <c r="G73" s="325"/>
      <c r="H73" s="326"/>
      <c r="I73" s="326"/>
      <c r="J73" s="326"/>
      <c r="K73" s="326"/>
      <c r="L73" s="326"/>
      <c r="M73" s="326"/>
      <c r="N73" s="326"/>
      <c r="O73" s="326"/>
      <c r="P73" s="326"/>
      <c r="Q73" s="326"/>
      <c r="R73" s="326"/>
      <c r="S73" s="326"/>
      <c r="T73" s="326"/>
      <c r="U73" s="326"/>
      <c r="V73" s="326"/>
      <c r="W73" s="326"/>
      <c r="X73" s="326"/>
      <c r="Y73" s="326"/>
      <c r="Z73" s="326"/>
      <c r="AA73" s="326"/>
      <c r="AB73" s="326"/>
      <c r="AC73" s="326"/>
      <c r="AD73" s="326"/>
      <c r="AE73" s="326"/>
      <c r="AF73" s="326"/>
      <c r="AG73" s="326"/>
      <c r="AH73" s="326"/>
      <c r="AI73" s="326"/>
      <c r="AJ73" s="326"/>
      <c r="AK73" s="326"/>
      <c r="AL73" s="326"/>
      <c r="AM73" s="326"/>
      <c r="AN73" s="326"/>
      <c r="AO73" s="326"/>
      <c r="AP73" s="326"/>
      <c r="AQ73" s="326"/>
      <c r="AR73" s="326"/>
      <c r="AS73" s="326"/>
      <c r="AT73" s="326"/>
      <c r="AU73" s="326"/>
      <c r="AV73" s="326"/>
      <c r="AW73" s="326"/>
      <c r="AX73" s="326"/>
      <c r="AY73" s="326"/>
      <c r="AZ73" s="326"/>
      <c r="BA73" s="326"/>
      <c r="BB73" s="326"/>
      <c r="BC73" s="326"/>
      <c r="BD73" s="326"/>
      <c r="BE73" s="326"/>
      <c r="BF73" s="326"/>
      <c r="BG73" s="326"/>
      <c r="BH73" s="326"/>
      <c r="BI73" s="326"/>
      <c r="BJ73" s="326"/>
      <c r="BK73" s="326"/>
      <c r="BL73" s="326"/>
      <c r="BM73" s="326"/>
      <c r="BN73" s="326"/>
      <c r="BO73" s="326"/>
      <c r="BP73" s="326"/>
      <c r="BQ73" s="326"/>
      <c r="BR73" s="326"/>
      <c r="BS73" s="326"/>
      <c r="BT73" s="326"/>
      <c r="BU73" s="326"/>
      <c r="BV73" s="326"/>
      <c r="BW73" s="326"/>
      <c r="BX73" s="326"/>
      <c r="BY73" s="326"/>
      <c r="BZ73" s="326"/>
      <c r="CA73" s="326"/>
      <c r="CB73" s="326"/>
      <c r="CC73" s="326"/>
      <c r="CD73" s="326"/>
      <c r="CE73" s="326"/>
      <c r="CF73" s="326"/>
      <c r="CG73" s="326"/>
      <c r="CH73" s="326"/>
      <c r="CI73" s="326"/>
      <c r="CJ73" s="326"/>
      <c r="CK73" s="326"/>
      <c r="CL73" s="326"/>
      <c r="CM73" s="326"/>
      <c r="CN73" s="326"/>
      <c r="CO73" s="326"/>
      <c r="CP73" s="326"/>
      <c r="CQ73" s="326"/>
      <c r="CR73" s="326"/>
      <c r="CS73" s="326"/>
      <c r="CT73" s="326"/>
      <c r="CU73" s="326"/>
      <c r="CV73" s="326"/>
      <c r="CW73" s="326"/>
      <c r="CX73" s="326"/>
      <c r="CY73" s="326"/>
      <c r="CZ73" s="326"/>
      <c r="DA73" s="326"/>
      <c r="DB73" s="332">
        <v>140</v>
      </c>
      <c r="DC73" s="326"/>
      <c r="DD73" s="326"/>
      <c r="DE73" s="326"/>
      <c r="DF73" s="326"/>
      <c r="DG73" s="326"/>
      <c r="DH73" s="326"/>
      <c r="DI73" s="326"/>
      <c r="DJ73" s="326"/>
      <c r="DK73" s="326"/>
      <c r="DL73" s="326"/>
      <c r="DM73" s="326"/>
      <c r="DN73" s="326"/>
      <c r="DO73" s="326"/>
      <c r="DP73" s="326"/>
      <c r="DQ73" s="326"/>
      <c r="DR73" s="326"/>
      <c r="DS73" s="326"/>
      <c r="DT73" s="326"/>
      <c r="DU73" s="326"/>
      <c r="DV73" s="326"/>
      <c r="DW73" s="326"/>
      <c r="DX73" s="326"/>
      <c r="DY73" s="326"/>
      <c r="DZ73" s="326"/>
      <c r="EA73" s="326"/>
      <c r="EB73" s="326"/>
      <c r="EC73" s="326"/>
      <c r="ED73" s="326"/>
      <c r="EE73" s="326"/>
      <c r="EF73" s="326"/>
      <c r="EG73" s="326"/>
      <c r="EH73" s="326"/>
      <c r="EI73" s="332">
        <v>70</v>
      </c>
      <c r="EJ73" s="326"/>
      <c r="EK73" s="326"/>
      <c r="EL73" s="326"/>
      <c r="EM73" s="326"/>
      <c r="EN73" s="326"/>
      <c r="EO73" s="326"/>
      <c r="EP73" s="326"/>
      <c r="EQ73" s="326"/>
      <c r="ER73" s="326"/>
      <c r="ES73" s="326"/>
      <c r="ET73" s="326"/>
      <c r="EU73" s="326"/>
      <c r="EV73" s="326"/>
      <c r="EW73" s="326"/>
      <c r="EX73" s="326"/>
      <c r="EY73" s="326"/>
      <c r="EZ73" s="326"/>
      <c r="FA73" s="326"/>
      <c r="FB73" s="326"/>
      <c r="FC73" s="326"/>
      <c r="FD73" s="326"/>
      <c r="FE73" s="326"/>
      <c r="FF73" s="326"/>
      <c r="FG73" s="326"/>
      <c r="FH73" s="326"/>
      <c r="FI73" s="326"/>
      <c r="FJ73" s="326"/>
      <c r="FK73" s="326"/>
      <c r="FL73" s="332">
        <f>200</f>
        <v>200</v>
      </c>
      <c r="FM73" s="326"/>
      <c r="FN73" s="326"/>
      <c r="FO73" s="326"/>
      <c r="FP73" s="326"/>
      <c r="FQ73" s="326"/>
      <c r="FR73" s="332">
        <f>2</f>
        <v>2</v>
      </c>
      <c r="FS73" s="326"/>
      <c r="FT73" s="326"/>
      <c r="FU73" s="326"/>
      <c r="FV73" s="332">
        <f>10</f>
        <v>10</v>
      </c>
      <c r="FW73" s="326"/>
      <c r="FX73" s="326"/>
      <c r="FY73" s="326"/>
      <c r="FZ73" s="326"/>
      <c r="GA73" s="326"/>
      <c r="GB73" s="326"/>
      <c r="GC73" s="326"/>
      <c r="GD73" s="327"/>
      <c r="GE73" s="325" t="s">
        <v>887</v>
      </c>
      <c r="GF73" s="325" t="s">
        <v>522</v>
      </c>
      <c r="GG73" s="325" t="s">
        <v>850</v>
      </c>
      <c r="GH73" s="325" t="s">
        <v>915</v>
      </c>
      <c r="GI73" s="328">
        <f t="shared" si="8"/>
        <v>422</v>
      </c>
      <c r="GJ73" s="329" t="s">
        <v>911</v>
      </c>
    </row>
    <row r="74" spans="1:192" s="329" customFormat="1">
      <c r="A74" s="325" t="s">
        <v>526</v>
      </c>
      <c r="B74" s="325" t="s">
        <v>517</v>
      </c>
      <c r="C74" s="325" t="s">
        <v>555</v>
      </c>
      <c r="D74" s="325" t="s">
        <v>633</v>
      </c>
      <c r="E74" s="325" t="s">
        <v>602</v>
      </c>
      <c r="F74" s="325" t="s">
        <v>520</v>
      </c>
      <c r="G74" s="325"/>
      <c r="H74" s="330">
        <f>30-30</f>
        <v>0</v>
      </c>
      <c r="I74" s="326"/>
      <c r="J74" s="330">
        <f>20-20</f>
        <v>0</v>
      </c>
      <c r="K74" s="330">
        <f>20-20</f>
        <v>0</v>
      </c>
      <c r="L74" s="330">
        <f>60-60</f>
        <v>0</v>
      </c>
      <c r="M74" s="330">
        <f>40-40</f>
        <v>0</v>
      </c>
      <c r="N74" s="330">
        <f>40-40</f>
        <v>0</v>
      </c>
      <c r="O74" s="330">
        <f>30-30</f>
        <v>0</v>
      </c>
      <c r="P74" s="326"/>
      <c r="Q74" s="326"/>
      <c r="R74" s="330">
        <f>60-60</f>
        <v>0</v>
      </c>
      <c r="S74" s="330">
        <f>16-16</f>
        <v>0</v>
      </c>
      <c r="T74" s="330">
        <f>44-44</f>
        <v>0</v>
      </c>
      <c r="U74" s="326"/>
      <c r="V74" s="326"/>
      <c r="W74" s="330">
        <f>40-40</f>
        <v>0</v>
      </c>
      <c r="X74" s="330">
        <f>40-40+5</f>
        <v>5</v>
      </c>
      <c r="Y74" s="330">
        <f>140-140+10</f>
        <v>10</v>
      </c>
      <c r="Z74" s="326"/>
      <c r="AA74" s="330">
        <f>50-50</f>
        <v>0</v>
      </c>
      <c r="AB74" s="330">
        <f>100-100+10</f>
        <v>10</v>
      </c>
      <c r="AC74" s="330">
        <f>100-100+10</f>
        <v>10</v>
      </c>
      <c r="AD74" s="330">
        <f>100-100</f>
        <v>0</v>
      </c>
      <c r="AE74" s="326"/>
      <c r="AF74" s="330">
        <f>490-490</f>
        <v>0</v>
      </c>
      <c r="AG74" s="330">
        <f>490-490</f>
        <v>0</v>
      </c>
      <c r="AH74" s="330">
        <f>500-500</f>
        <v>0</v>
      </c>
      <c r="AI74" s="326"/>
      <c r="AJ74" s="326"/>
      <c r="AK74" s="330">
        <f>470-470</f>
        <v>0</v>
      </c>
      <c r="AL74" s="330">
        <f>500-500</f>
        <v>0</v>
      </c>
      <c r="AM74" s="330">
        <f>430-430</f>
        <v>0</v>
      </c>
      <c r="AN74" s="330">
        <f>500-500</f>
        <v>0</v>
      </c>
      <c r="AO74" s="330">
        <f>497-497</f>
        <v>0</v>
      </c>
      <c r="AP74" s="326"/>
      <c r="AQ74" s="330">
        <f>500-500</f>
        <v>0</v>
      </c>
      <c r="AR74" s="330">
        <f>500-500</f>
        <v>0</v>
      </c>
      <c r="AS74" s="330">
        <f>200-200</f>
        <v>0</v>
      </c>
      <c r="AT74" s="330">
        <f>200-200</f>
        <v>0</v>
      </c>
      <c r="AU74" s="326"/>
      <c r="AV74" s="326"/>
      <c r="AW74" s="326"/>
      <c r="AX74" s="330">
        <f>52-52</f>
        <v>0</v>
      </c>
      <c r="AY74" s="330">
        <f>46-46</f>
        <v>0</v>
      </c>
      <c r="AZ74" s="332">
        <v>5</v>
      </c>
      <c r="BA74" s="330">
        <f>85-85</f>
        <v>0</v>
      </c>
      <c r="BB74" s="326"/>
      <c r="BC74" s="330">
        <f>60-60+40</f>
        <v>40</v>
      </c>
      <c r="BD74" s="330">
        <f>410-410</f>
        <v>0</v>
      </c>
      <c r="BE74" s="330">
        <f>75-75</f>
        <v>0</v>
      </c>
      <c r="BF74" s="330">
        <f>100-100</f>
        <v>0</v>
      </c>
      <c r="BG74" s="326"/>
      <c r="BH74" s="326"/>
      <c r="BI74" s="326"/>
      <c r="BJ74" s="326"/>
      <c r="BK74" s="326"/>
      <c r="BL74" s="330">
        <f>82-82+2</f>
        <v>2</v>
      </c>
      <c r="BM74" s="330">
        <f>85-85</f>
        <v>0</v>
      </c>
      <c r="BN74" s="330">
        <f>50-50</f>
        <v>0</v>
      </c>
      <c r="BO74" s="330">
        <f>55-55</f>
        <v>0</v>
      </c>
      <c r="BP74" s="330">
        <f>10-10+10</f>
        <v>10</v>
      </c>
      <c r="BQ74" s="330">
        <f>25-25+10</f>
        <v>10</v>
      </c>
      <c r="BR74" s="330">
        <f>100-100</f>
        <v>0</v>
      </c>
      <c r="BS74" s="330">
        <f>160-160+10</f>
        <v>10</v>
      </c>
      <c r="BT74" s="326"/>
      <c r="BU74" s="326"/>
      <c r="BV74" s="326"/>
      <c r="BW74" s="326"/>
      <c r="BX74" s="326"/>
      <c r="BY74" s="330">
        <f>464-464</f>
        <v>0</v>
      </c>
      <c r="BZ74" s="326"/>
      <c r="CA74" s="330">
        <f>10-10+2</f>
        <v>2</v>
      </c>
      <c r="CB74" s="330">
        <f>335-335+5</f>
        <v>5</v>
      </c>
      <c r="CC74" s="330">
        <f>38-38+5</f>
        <v>5</v>
      </c>
      <c r="CD74" s="326"/>
      <c r="CE74" s="330">
        <f>430-430</f>
        <v>0</v>
      </c>
      <c r="CF74" s="330">
        <f>10-10+10</f>
        <v>10</v>
      </c>
      <c r="CG74" s="330">
        <f>383-383</f>
        <v>0</v>
      </c>
      <c r="CH74" s="330">
        <f>490-490</f>
        <v>0</v>
      </c>
      <c r="CI74" s="330">
        <f>470-470</f>
        <v>0</v>
      </c>
      <c r="CJ74" s="326"/>
      <c r="CK74" s="330">
        <f>329-329</f>
        <v>0</v>
      </c>
      <c r="CL74" s="330">
        <f>131-131</f>
        <v>0</v>
      </c>
      <c r="CM74" s="330">
        <f>340-340+10</f>
        <v>10</v>
      </c>
      <c r="CN74" s="330">
        <f>473-473</f>
        <v>0</v>
      </c>
      <c r="CO74" s="330">
        <f>500-500</f>
        <v>0</v>
      </c>
      <c r="CP74" s="330">
        <f>440-440</f>
        <v>0</v>
      </c>
      <c r="CQ74" s="330">
        <f>100-100+10</f>
        <v>10</v>
      </c>
      <c r="CR74" s="330">
        <f>200-200+50</f>
        <v>50</v>
      </c>
      <c r="CS74" s="330">
        <f>375-375+10</f>
        <v>10</v>
      </c>
      <c r="CT74" s="330">
        <f>420-420</f>
        <v>0</v>
      </c>
      <c r="CU74" s="330">
        <f>475-475</f>
        <v>0</v>
      </c>
      <c r="CV74" s="326"/>
      <c r="CW74" s="330">
        <f>491-491</f>
        <v>0</v>
      </c>
      <c r="CX74" s="330">
        <f>314-314+20</f>
        <v>20</v>
      </c>
      <c r="CY74" s="330">
        <f>77-77+20</f>
        <v>20</v>
      </c>
      <c r="CZ74" s="330">
        <f>140-140+40</f>
        <v>40</v>
      </c>
      <c r="DA74" s="330">
        <f>288-288+20</f>
        <v>20</v>
      </c>
      <c r="DB74" s="330">
        <f>200-200</f>
        <v>0</v>
      </c>
      <c r="DC74" s="326"/>
      <c r="DD74" s="330">
        <f>500-500</f>
        <v>0</v>
      </c>
      <c r="DE74" s="326"/>
      <c r="DF74" s="326"/>
      <c r="DG74" s="330">
        <f>140-140+120</f>
        <v>120</v>
      </c>
      <c r="DH74" s="326"/>
      <c r="DI74" s="330">
        <f>240-240</f>
        <v>0</v>
      </c>
      <c r="DJ74" s="330">
        <f>50-50+50</f>
        <v>50</v>
      </c>
      <c r="DK74" s="330">
        <f>345-345</f>
        <v>0</v>
      </c>
      <c r="DL74" s="330">
        <f>90-90+20</f>
        <v>20</v>
      </c>
      <c r="DM74" s="330">
        <f>480-480</f>
        <v>0</v>
      </c>
      <c r="DN74" s="326"/>
      <c r="DO74" s="326"/>
      <c r="DP74" s="330">
        <f>390-390</f>
        <v>0</v>
      </c>
      <c r="DQ74" s="326"/>
      <c r="DR74" s="330">
        <f>200-200</f>
        <v>0</v>
      </c>
      <c r="DS74" s="326"/>
      <c r="DT74" s="326"/>
      <c r="DU74" s="326"/>
      <c r="DV74" s="326"/>
      <c r="DW74" s="326"/>
      <c r="DX74" s="326"/>
      <c r="DY74" s="330">
        <f>200-200+100</f>
        <v>100</v>
      </c>
      <c r="DZ74" s="326"/>
      <c r="EA74" s="326"/>
      <c r="EB74" s="326"/>
      <c r="EC74" s="326"/>
      <c r="ED74" s="330">
        <f>360-360</f>
        <v>0</v>
      </c>
      <c r="EE74" s="326"/>
      <c r="EF74" s="330">
        <f>430-430</f>
        <v>0</v>
      </c>
      <c r="EG74" s="326"/>
      <c r="EH74" s="330">
        <f>180-180</f>
        <v>0</v>
      </c>
      <c r="EI74" s="330">
        <f>200-200</f>
        <v>0</v>
      </c>
      <c r="EJ74" s="326"/>
      <c r="EK74" s="330">
        <f>480-480</f>
        <v>0</v>
      </c>
      <c r="EL74" s="330">
        <f>360-360</f>
        <v>0</v>
      </c>
      <c r="EM74" s="330">
        <f>380-380</f>
        <v>0</v>
      </c>
      <c r="EN74" s="330">
        <f>490-490</f>
        <v>0</v>
      </c>
      <c r="EO74" s="326"/>
      <c r="EP74" s="330">
        <f>250-250+200</f>
        <v>200</v>
      </c>
      <c r="EQ74" s="326"/>
      <c r="ER74" s="330">
        <f>100-100+100</f>
        <v>100</v>
      </c>
      <c r="ES74" s="330">
        <f>320-320</f>
        <v>0</v>
      </c>
      <c r="ET74" s="326"/>
      <c r="EU74" s="330">
        <f>500-500</f>
        <v>0</v>
      </c>
      <c r="EV74" s="330">
        <f>500-500</f>
        <v>0</v>
      </c>
      <c r="EW74" s="330">
        <f>390-390</f>
        <v>0</v>
      </c>
      <c r="EX74" s="326"/>
      <c r="EY74" s="330">
        <f>390-390</f>
        <v>0</v>
      </c>
      <c r="EZ74" s="326"/>
      <c r="FA74" s="330">
        <f>360-360</f>
        <v>0</v>
      </c>
      <c r="FB74" s="330">
        <f>460-460</f>
        <v>0</v>
      </c>
      <c r="FC74" s="330">
        <f>500-500</f>
        <v>0</v>
      </c>
      <c r="FD74" s="330">
        <f>500-500</f>
        <v>0</v>
      </c>
      <c r="FE74" s="330">
        <f>450-450</f>
        <v>0</v>
      </c>
      <c r="FF74" s="326"/>
      <c r="FG74" s="330">
        <f>180-180</f>
        <v>0</v>
      </c>
      <c r="FH74" s="330">
        <f>300-300+40</f>
        <v>40</v>
      </c>
      <c r="FI74" s="330">
        <f>400-400+40</f>
        <v>40</v>
      </c>
      <c r="FJ74" s="326"/>
      <c r="FK74" s="332">
        <f>100-100+100</f>
        <v>100</v>
      </c>
      <c r="FL74" s="330">
        <f>200-200</f>
        <v>0</v>
      </c>
      <c r="FM74" s="330">
        <f>375-375</f>
        <v>0</v>
      </c>
      <c r="FN74" s="330">
        <f>100-100</f>
        <v>0</v>
      </c>
      <c r="FO74" s="330">
        <f>185-185</f>
        <v>0</v>
      </c>
      <c r="FP74" s="326"/>
      <c r="FQ74" s="326"/>
      <c r="FR74" s="330">
        <f>485-485</f>
        <v>0</v>
      </c>
      <c r="FS74" s="326"/>
      <c r="FT74" s="326"/>
      <c r="FU74" s="330">
        <f>64-64</f>
        <v>0</v>
      </c>
      <c r="FV74" s="332">
        <f>110-110+2</f>
        <v>2</v>
      </c>
      <c r="FW74" s="326"/>
      <c r="FX74" s="326"/>
      <c r="FY74" s="326"/>
      <c r="FZ74" s="326"/>
      <c r="GA74" s="326"/>
      <c r="GB74" s="326"/>
      <c r="GC74" s="326"/>
      <c r="GD74" s="327" t="s">
        <v>850</v>
      </c>
      <c r="GE74" s="325" t="s">
        <v>887</v>
      </c>
      <c r="GF74" s="325" t="s">
        <v>522</v>
      </c>
      <c r="GG74" s="325" t="s">
        <v>850</v>
      </c>
      <c r="GH74" s="325" t="s">
        <v>915</v>
      </c>
      <c r="GI74" s="328">
        <f t="shared" si="8"/>
        <v>1086</v>
      </c>
      <c r="GJ74" s="329" t="s">
        <v>911</v>
      </c>
    </row>
    <row r="75" spans="1:192" s="329" customFormat="1" ht="10.5">
      <c r="A75" s="325" t="s">
        <v>526</v>
      </c>
      <c r="B75" s="325" t="s">
        <v>517</v>
      </c>
      <c r="C75" s="325" t="s">
        <v>555</v>
      </c>
      <c r="D75" s="325" t="s">
        <v>3</v>
      </c>
      <c r="E75" s="325" t="s">
        <v>602</v>
      </c>
      <c r="F75" s="325" t="s">
        <v>520</v>
      </c>
      <c r="G75" s="325"/>
      <c r="H75" s="326"/>
      <c r="I75" s="326"/>
      <c r="J75" s="326"/>
      <c r="K75" s="326"/>
      <c r="L75" s="326"/>
      <c r="M75" s="326"/>
      <c r="N75" s="326"/>
      <c r="O75" s="326"/>
      <c r="P75" s="326"/>
      <c r="Q75" s="326"/>
      <c r="R75" s="326"/>
      <c r="S75" s="326"/>
      <c r="T75" s="326"/>
      <c r="U75" s="326"/>
      <c r="V75" s="326"/>
      <c r="W75" s="326"/>
      <c r="X75" s="326"/>
      <c r="Y75" s="326"/>
      <c r="Z75" s="326"/>
      <c r="AA75" s="326"/>
      <c r="AB75" s="326"/>
      <c r="AC75" s="326"/>
      <c r="AD75" s="326"/>
      <c r="AE75" s="326"/>
      <c r="AF75" s="326"/>
      <c r="AG75" s="326"/>
      <c r="AH75" s="326"/>
      <c r="AI75" s="326"/>
      <c r="AJ75" s="326"/>
      <c r="AK75" s="326"/>
      <c r="AL75" s="326"/>
      <c r="AM75" s="326"/>
      <c r="AN75" s="326"/>
      <c r="AO75" s="326"/>
      <c r="AP75" s="326"/>
      <c r="AQ75" s="326"/>
      <c r="AR75" s="326"/>
      <c r="AS75" s="326"/>
      <c r="AT75" s="326"/>
      <c r="AU75" s="326"/>
      <c r="AV75" s="326"/>
      <c r="AW75" s="326"/>
      <c r="AX75" s="354">
        <v>4</v>
      </c>
      <c r="AY75" s="326"/>
      <c r="AZ75" s="326"/>
      <c r="BA75" s="326"/>
      <c r="BB75" s="326"/>
      <c r="BC75" s="326"/>
      <c r="BD75" s="326"/>
      <c r="BE75" s="354">
        <v>5</v>
      </c>
      <c r="BF75" s="326"/>
      <c r="BG75" s="326"/>
      <c r="BH75" s="326"/>
      <c r="BI75" s="326"/>
      <c r="BJ75" s="326"/>
      <c r="BK75" s="326"/>
      <c r="BL75" s="326"/>
      <c r="BM75" s="326"/>
      <c r="BN75" s="354">
        <v>2</v>
      </c>
      <c r="BO75" s="354">
        <v>1</v>
      </c>
      <c r="BP75" s="326"/>
      <c r="BQ75" s="326"/>
      <c r="BR75" s="326"/>
      <c r="BS75" s="326"/>
      <c r="BT75" s="326"/>
      <c r="BU75" s="326"/>
      <c r="BV75" s="326"/>
      <c r="BW75" s="326"/>
      <c r="BX75" s="326"/>
      <c r="BY75" s="326"/>
      <c r="BZ75" s="326"/>
      <c r="CA75" s="326"/>
      <c r="CB75" s="326"/>
      <c r="CC75" s="326"/>
      <c r="CD75" s="326"/>
      <c r="CE75" s="326"/>
      <c r="CF75" s="326"/>
      <c r="CG75" s="354">
        <v>10</v>
      </c>
      <c r="CH75" s="326"/>
      <c r="CI75" s="326"/>
      <c r="CJ75" s="326"/>
      <c r="CK75" s="326"/>
      <c r="CL75" s="326"/>
      <c r="CM75" s="326"/>
      <c r="CN75" s="326"/>
      <c r="CO75" s="326"/>
      <c r="CP75" s="326"/>
      <c r="CQ75" s="326"/>
      <c r="CR75" s="326"/>
      <c r="CS75" s="326"/>
      <c r="CT75" s="326"/>
      <c r="CU75" s="326"/>
      <c r="CV75" s="326"/>
      <c r="CW75" s="326"/>
      <c r="CX75" s="326"/>
      <c r="CY75" s="326"/>
      <c r="CZ75" s="326"/>
      <c r="DA75" s="326"/>
      <c r="DB75" s="326"/>
      <c r="DC75" s="326"/>
      <c r="DD75" s="326"/>
      <c r="DE75" s="326"/>
      <c r="DF75" s="326"/>
      <c r="DG75" s="326"/>
      <c r="DH75" s="326"/>
      <c r="DI75" s="326"/>
      <c r="DJ75" s="326"/>
      <c r="DK75" s="326"/>
      <c r="DL75" s="326"/>
      <c r="DM75" s="326"/>
      <c r="DN75" s="326"/>
      <c r="DO75" s="326"/>
      <c r="DP75" s="326"/>
      <c r="DQ75" s="326"/>
      <c r="DR75" s="326"/>
      <c r="DS75" s="326"/>
      <c r="DT75" s="326"/>
      <c r="DU75" s="326"/>
      <c r="DV75" s="326"/>
      <c r="DW75" s="326"/>
      <c r="DX75" s="326"/>
      <c r="DY75" s="326"/>
      <c r="DZ75" s="326"/>
      <c r="EA75" s="326"/>
      <c r="EB75" s="326"/>
      <c r="EC75" s="326"/>
      <c r="ED75" s="326"/>
      <c r="EE75" s="326"/>
      <c r="EF75" s="326"/>
      <c r="EG75" s="326"/>
      <c r="EH75" s="326"/>
      <c r="EI75" s="326"/>
      <c r="EJ75" s="326"/>
      <c r="EK75" s="326"/>
      <c r="EL75" s="326"/>
      <c r="EM75" s="326"/>
      <c r="EN75" s="326"/>
      <c r="EO75" s="326"/>
      <c r="EP75" s="326"/>
      <c r="EQ75" s="326"/>
      <c r="ER75" s="326"/>
      <c r="ES75" s="326"/>
      <c r="ET75" s="326"/>
      <c r="EU75" s="326"/>
      <c r="EV75" s="326"/>
      <c r="EW75" s="326"/>
      <c r="EX75" s="326"/>
      <c r="EY75" s="326"/>
      <c r="EZ75" s="326"/>
      <c r="FA75" s="326"/>
      <c r="FB75" s="326"/>
      <c r="FC75" s="326"/>
      <c r="FD75" s="326"/>
      <c r="FE75" s="326"/>
      <c r="FF75" s="326"/>
      <c r="FG75" s="326"/>
      <c r="FH75" s="326"/>
      <c r="FI75" s="326"/>
      <c r="FJ75" s="326"/>
      <c r="FK75" s="326"/>
      <c r="FL75" s="326"/>
      <c r="FM75" s="326"/>
      <c r="FN75" s="332">
        <f>100</f>
        <v>100</v>
      </c>
      <c r="FO75" s="326"/>
      <c r="FP75" s="326"/>
      <c r="FQ75" s="326"/>
      <c r="FR75" s="326"/>
      <c r="FS75" s="326"/>
      <c r="FT75" s="326"/>
      <c r="FU75" s="326"/>
      <c r="FV75" s="326"/>
      <c r="FW75" s="326"/>
      <c r="FX75" s="326"/>
      <c r="FY75" s="326"/>
      <c r="FZ75" s="326"/>
      <c r="GA75" s="326"/>
      <c r="GB75" s="326"/>
      <c r="GC75" s="326"/>
      <c r="GD75" s="327"/>
      <c r="GE75" s="325" t="s">
        <v>887</v>
      </c>
      <c r="GF75" s="325" t="s">
        <v>522</v>
      </c>
      <c r="GG75" s="325" t="s">
        <v>850</v>
      </c>
      <c r="GH75" s="325" t="s">
        <v>915</v>
      </c>
      <c r="GI75" s="328">
        <f t="shared" si="8"/>
        <v>122</v>
      </c>
      <c r="GJ75" s="329" t="s">
        <v>911</v>
      </c>
    </row>
    <row r="76" spans="1:192" s="351" customFormat="1">
      <c r="A76" s="347" t="s">
        <v>526</v>
      </c>
      <c r="B76" s="347" t="s">
        <v>517</v>
      </c>
      <c r="C76" s="347" t="s">
        <v>555</v>
      </c>
      <c r="D76" s="347" t="s">
        <v>636</v>
      </c>
      <c r="E76" s="347" t="s">
        <v>603</v>
      </c>
      <c r="F76" s="347" t="s">
        <v>520</v>
      </c>
      <c r="G76" s="347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  <c r="AA76" s="348"/>
      <c r="AB76" s="348"/>
      <c r="AC76" s="348"/>
      <c r="AD76" s="348"/>
      <c r="AE76" s="348"/>
      <c r="AF76" s="348"/>
      <c r="AG76" s="348"/>
      <c r="AH76" s="348"/>
      <c r="AI76" s="348"/>
      <c r="AJ76" s="348"/>
      <c r="AK76" s="348"/>
      <c r="AL76" s="348"/>
      <c r="AM76" s="348"/>
      <c r="AN76" s="348"/>
      <c r="AO76" s="348"/>
      <c r="AP76" s="348"/>
      <c r="AQ76" s="348"/>
      <c r="AR76" s="348"/>
      <c r="AS76" s="348"/>
      <c r="AT76" s="348"/>
      <c r="AU76" s="348"/>
      <c r="AV76" s="348"/>
      <c r="AW76" s="348"/>
      <c r="AX76" s="348"/>
      <c r="AY76" s="348"/>
      <c r="AZ76" s="348"/>
      <c r="BA76" s="348"/>
      <c r="BB76" s="348"/>
      <c r="BC76" s="348"/>
      <c r="BD76" s="348"/>
      <c r="BE76" s="348"/>
      <c r="BF76" s="348"/>
      <c r="BG76" s="348"/>
      <c r="BH76" s="348"/>
      <c r="BI76" s="348"/>
      <c r="BJ76" s="348"/>
      <c r="BK76" s="348"/>
      <c r="BL76" s="348"/>
      <c r="BM76" s="348"/>
      <c r="BN76" s="348"/>
      <c r="BO76" s="348"/>
      <c r="BP76" s="348"/>
      <c r="BQ76" s="348"/>
      <c r="BR76" s="348"/>
      <c r="BS76" s="348"/>
      <c r="BT76" s="348"/>
      <c r="BU76" s="348"/>
      <c r="BV76" s="348"/>
      <c r="BW76" s="348"/>
      <c r="BX76" s="348"/>
      <c r="BY76" s="348"/>
      <c r="BZ76" s="348"/>
      <c r="CA76" s="348"/>
      <c r="CB76" s="348"/>
      <c r="CC76" s="348"/>
      <c r="CD76" s="348"/>
      <c r="CE76" s="348"/>
      <c r="CF76" s="348"/>
      <c r="CG76" s="348"/>
      <c r="CH76" s="348"/>
      <c r="CI76" s="348"/>
      <c r="CJ76" s="348"/>
      <c r="CK76" s="348"/>
      <c r="CL76" s="348"/>
      <c r="CM76" s="348"/>
      <c r="CN76" s="348"/>
      <c r="CO76" s="348"/>
      <c r="CP76" s="348"/>
      <c r="CQ76" s="348"/>
      <c r="CR76" s="348"/>
      <c r="CS76" s="348"/>
      <c r="CT76" s="348"/>
      <c r="CU76" s="348"/>
      <c r="CV76" s="348"/>
      <c r="CW76" s="348"/>
      <c r="CX76" s="348"/>
      <c r="CY76" s="348"/>
      <c r="CZ76" s="348"/>
      <c r="DA76" s="348"/>
      <c r="DB76" s="348"/>
      <c r="DC76" s="348"/>
      <c r="DD76" s="348"/>
      <c r="DE76" s="348"/>
      <c r="DF76" s="348"/>
      <c r="DG76" s="348"/>
      <c r="DH76" s="348"/>
      <c r="DI76" s="348"/>
      <c r="DJ76" s="348"/>
      <c r="DK76" s="348"/>
      <c r="DL76" s="348"/>
      <c r="DM76" s="348"/>
      <c r="DN76" s="348"/>
      <c r="DO76" s="348"/>
      <c r="DP76" s="348"/>
      <c r="DQ76" s="348"/>
      <c r="DR76" s="348"/>
      <c r="DS76" s="348"/>
      <c r="DT76" s="348"/>
      <c r="DU76" s="348"/>
      <c r="DV76" s="348"/>
      <c r="DW76" s="348"/>
      <c r="DX76" s="348"/>
      <c r="DY76" s="348"/>
      <c r="DZ76" s="348"/>
      <c r="EA76" s="348"/>
      <c r="EB76" s="348"/>
      <c r="EC76" s="348"/>
      <c r="ED76" s="348"/>
      <c r="EE76" s="348"/>
      <c r="EF76" s="348"/>
      <c r="EG76" s="348"/>
      <c r="EH76" s="348"/>
      <c r="EI76" s="348"/>
      <c r="EJ76" s="348"/>
      <c r="EK76" s="348"/>
      <c r="EL76" s="348"/>
      <c r="EM76" s="348"/>
      <c r="EN76" s="348"/>
      <c r="EO76" s="348"/>
      <c r="EP76" s="348"/>
      <c r="EQ76" s="348"/>
      <c r="ER76" s="348"/>
      <c r="ES76" s="348"/>
      <c r="ET76" s="348"/>
      <c r="EU76" s="348"/>
      <c r="EV76" s="348"/>
      <c r="EW76" s="348"/>
      <c r="EX76" s="348"/>
      <c r="EY76" s="348"/>
      <c r="EZ76" s="348"/>
      <c r="FA76" s="348"/>
      <c r="FB76" s="348"/>
      <c r="FC76" s="348"/>
      <c r="FD76" s="348"/>
      <c r="FE76" s="348"/>
      <c r="FF76" s="348"/>
      <c r="FG76" s="348"/>
      <c r="FH76" s="348"/>
      <c r="FI76" s="348"/>
      <c r="FJ76" s="348"/>
      <c r="FK76" s="348"/>
      <c r="FL76" s="348"/>
      <c r="FM76" s="348"/>
      <c r="FN76" s="348"/>
      <c r="FO76" s="348"/>
      <c r="FP76" s="348"/>
      <c r="FQ76" s="348"/>
      <c r="FR76" s="348"/>
      <c r="FS76" s="348"/>
      <c r="FT76" s="348"/>
      <c r="FU76" s="348"/>
      <c r="FV76" s="348"/>
      <c r="FW76" s="348"/>
      <c r="FX76" s="348"/>
      <c r="FY76" s="348"/>
      <c r="FZ76" s="348"/>
      <c r="GA76" s="348"/>
      <c r="GB76" s="348"/>
      <c r="GC76" s="348"/>
      <c r="GD76" s="349"/>
      <c r="GE76" s="347" t="s">
        <v>887</v>
      </c>
      <c r="GF76" s="347" t="s">
        <v>522</v>
      </c>
      <c r="GG76" s="347" t="s">
        <v>850</v>
      </c>
      <c r="GH76" s="347" t="s">
        <v>915</v>
      </c>
      <c r="GI76" s="350">
        <f t="shared" si="8"/>
        <v>0</v>
      </c>
      <c r="GJ76" s="351" t="s">
        <v>911</v>
      </c>
    </row>
    <row r="77" spans="1:192" s="351" customFormat="1">
      <c r="A77" s="347" t="s">
        <v>526</v>
      </c>
      <c r="B77" s="347" t="s">
        <v>517</v>
      </c>
      <c r="C77" s="347" t="s">
        <v>555</v>
      </c>
      <c r="D77" s="347" t="s">
        <v>633</v>
      </c>
      <c r="E77" s="347" t="s">
        <v>603</v>
      </c>
      <c r="F77" s="347" t="s">
        <v>520</v>
      </c>
      <c r="G77" s="347"/>
      <c r="H77" s="352">
        <f>5-5</f>
        <v>0</v>
      </c>
      <c r="I77" s="348"/>
      <c r="J77" s="352">
        <f t="shared" ref="J77:O77" si="13">5-5</f>
        <v>0</v>
      </c>
      <c r="K77" s="352">
        <f t="shared" si="13"/>
        <v>0</v>
      </c>
      <c r="L77" s="352">
        <f t="shared" si="13"/>
        <v>0</v>
      </c>
      <c r="M77" s="352">
        <f t="shared" si="13"/>
        <v>0</v>
      </c>
      <c r="N77" s="352">
        <f t="shared" si="13"/>
        <v>0</v>
      </c>
      <c r="O77" s="352">
        <f t="shared" si="13"/>
        <v>0</v>
      </c>
      <c r="P77" s="348"/>
      <c r="Q77" s="352">
        <f>5-5</f>
        <v>0</v>
      </c>
      <c r="R77" s="348"/>
      <c r="S77" s="352">
        <f>5-5</f>
        <v>0</v>
      </c>
      <c r="T77" s="352">
        <f>5-5</f>
        <v>0</v>
      </c>
      <c r="U77" s="348"/>
      <c r="V77" s="348"/>
      <c r="W77" s="352">
        <f>5-5</f>
        <v>0</v>
      </c>
      <c r="X77" s="352">
        <f>5-5</f>
        <v>0</v>
      </c>
      <c r="Y77" s="352">
        <f>5-5</f>
        <v>0</v>
      </c>
      <c r="Z77" s="348"/>
      <c r="AA77" s="352">
        <f>5-5</f>
        <v>0</v>
      </c>
      <c r="AB77" s="348"/>
      <c r="AC77" s="348"/>
      <c r="AD77" s="348"/>
      <c r="AE77" s="348"/>
      <c r="AF77" s="348"/>
      <c r="AG77" s="348"/>
      <c r="AH77" s="348"/>
      <c r="AI77" s="348"/>
      <c r="AJ77" s="348"/>
      <c r="AK77" s="348"/>
      <c r="AL77" s="348"/>
      <c r="AM77" s="348"/>
      <c r="AN77" s="348"/>
      <c r="AO77" s="348"/>
      <c r="AP77" s="348"/>
      <c r="AQ77" s="348"/>
      <c r="AR77" s="348"/>
      <c r="AS77" s="348"/>
      <c r="AT77" s="348"/>
      <c r="AU77" s="348"/>
      <c r="AV77" s="348"/>
      <c r="AW77" s="348"/>
      <c r="AX77" s="348"/>
      <c r="AY77" s="348"/>
      <c r="AZ77" s="348"/>
      <c r="BA77" s="352">
        <f>40-40</f>
        <v>0</v>
      </c>
      <c r="BB77" s="348"/>
      <c r="BC77" s="352">
        <f>5-5</f>
        <v>0</v>
      </c>
      <c r="BD77" s="352">
        <f>10-10</f>
        <v>0</v>
      </c>
      <c r="BE77" s="352">
        <f>20-20</f>
        <v>0</v>
      </c>
      <c r="BF77" s="352">
        <f>20-20</f>
        <v>0</v>
      </c>
      <c r="BG77" s="348"/>
      <c r="BH77" s="348"/>
      <c r="BI77" s="348"/>
      <c r="BJ77" s="348"/>
      <c r="BK77" s="348"/>
      <c r="BL77" s="348"/>
      <c r="BM77" s="348"/>
      <c r="BN77" s="348"/>
      <c r="BO77" s="348"/>
      <c r="BP77" s="348"/>
      <c r="BQ77" s="348"/>
      <c r="BR77" s="348"/>
      <c r="BS77" s="348"/>
      <c r="BT77" s="348"/>
      <c r="BU77" s="348"/>
      <c r="BV77" s="348"/>
      <c r="BW77" s="348"/>
      <c r="BX77" s="348"/>
      <c r="BY77" s="348"/>
      <c r="BZ77" s="348"/>
      <c r="CA77" s="348"/>
      <c r="CB77" s="352">
        <f>10-10</f>
        <v>0</v>
      </c>
      <c r="CC77" s="352">
        <f>10-10</f>
        <v>0</v>
      </c>
      <c r="CD77" s="348"/>
      <c r="CE77" s="348"/>
      <c r="CF77" s="352">
        <f>10-10</f>
        <v>0</v>
      </c>
      <c r="CG77" s="352">
        <f>10-10</f>
        <v>0</v>
      </c>
      <c r="CH77" s="352">
        <f>20-20</f>
        <v>0</v>
      </c>
      <c r="CI77" s="352">
        <f>20-20</f>
        <v>0</v>
      </c>
      <c r="CJ77" s="348"/>
      <c r="CK77" s="348"/>
      <c r="CL77" s="348"/>
      <c r="CM77" s="348"/>
      <c r="CN77" s="348"/>
      <c r="CO77" s="348"/>
      <c r="CP77" s="348"/>
      <c r="CQ77" s="352">
        <f>20-20</f>
        <v>0</v>
      </c>
      <c r="CR77" s="352">
        <f>20-20</f>
        <v>0</v>
      </c>
      <c r="CS77" s="352">
        <f>20-20</f>
        <v>0</v>
      </c>
      <c r="CT77" s="352">
        <f>20-20</f>
        <v>0</v>
      </c>
      <c r="CU77" s="352">
        <f>20-20</f>
        <v>0</v>
      </c>
      <c r="CV77" s="348"/>
      <c r="CW77" s="352">
        <f>30-30</f>
        <v>0</v>
      </c>
      <c r="CX77" s="348"/>
      <c r="CY77" s="352">
        <f>30-30</f>
        <v>0</v>
      </c>
      <c r="CZ77" s="352">
        <f>30-30</f>
        <v>0</v>
      </c>
      <c r="DA77" s="352">
        <f>30-30</f>
        <v>0</v>
      </c>
      <c r="DB77" s="352">
        <f>20-20</f>
        <v>0</v>
      </c>
      <c r="DC77" s="348"/>
      <c r="DD77" s="348"/>
      <c r="DE77" s="348"/>
      <c r="DF77" s="348"/>
      <c r="DG77" s="352">
        <f>20-20</f>
        <v>0</v>
      </c>
      <c r="DH77" s="348"/>
      <c r="DI77" s="348"/>
      <c r="DJ77" s="352">
        <f>30-30</f>
        <v>0</v>
      </c>
      <c r="DK77" s="352">
        <f>30-30</f>
        <v>0</v>
      </c>
      <c r="DL77" s="352">
        <f>30-30</f>
        <v>0</v>
      </c>
      <c r="DM77" s="352">
        <f>30-30</f>
        <v>0</v>
      </c>
      <c r="DN77" s="348"/>
      <c r="DO77" s="348"/>
      <c r="DP77" s="348"/>
      <c r="DQ77" s="348"/>
      <c r="DR77" s="348"/>
      <c r="DS77" s="348"/>
      <c r="DT77" s="348"/>
      <c r="DU77" s="348"/>
      <c r="DV77" s="348"/>
      <c r="DW77" s="348"/>
      <c r="DX77" s="348"/>
      <c r="DY77" s="348"/>
      <c r="DZ77" s="348"/>
      <c r="EA77" s="348"/>
      <c r="EB77" s="348"/>
      <c r="EC77" s="348"/>
      <c r="ED77" s="352">
        <f>50-50</f>
        <v>0</v>
      </c>
      <c r="EE77" s="348"/>
      <c r="EF77" s="352">
        <f>50-50</f>
        <v>0</v>
      </c>
      <c r="EG77" s="348"/>
      <c r="EH77" s="348"/>
      <c r="EI77" s="348"/>
      <c r="EJ77" s="348"/>
      <c r="EK77" s="352">
        <f t="shared" ref="EK77:ES77" si="14">50-50</f>
        <v>0</v>
      </c>
      <c r="EL77" s="352">
        <f t="shared" si="14"/>
        <v>0</v>
      </c>
      <c r="EM77" s="352">
        <f t="shared" si="14"/>
        <v>0</v>
      </c>
      <c r="EN77" s="352">
        <f t="shared" si="14"/>
        <v>0</v>
      </c>
      <c r="EO77" s="352">
        <f t="shared" si="14"/>
        <v>0</v>
      </c>
      <c r="EP77" s="352">
        <f t="shared" si="14"/>
        <v>0</v>
      </c>
      <c r="EQ77" s="348"/>
      <c r="ER77" s="352">
        <f t="shared" si="14"/>
        <v>0</v>
      </c>
      <c r="ES77" s="352">
        <f t="shared" si="14"/>
        <v>0</v>
      </c>
      <c r="ET77" s="348"/>
      <c r="EU77" s="352">
        <f>50-50</f>
        <v>0</v>
      </c>
      <c r="EV77" s="352">
        <f>50-50</f>
        <v>0</v>
      </c>
      <c r="EW77" s="352">
        <f>50-50</f>
        <v>0</v>
      </c>
      <c r="EX77" s="348"/>
      <c r="EY77" s="352">
        <f>50-50</f>
        <v>0</v>
      </c>
      <c r="EZ77" s="348"/>
      <c r="FA77" s="352">
        <f>50-50</f>
        <v>0</v>
      </c>
      <c r="FB77" s="352">
        <f>20-20</f>
        <v>0</v>
      </c>
      <c r="FC77" s="348"/>
      <c r="FD77" s="352">
        <f>50-50</f>
        <v>0</v>
      </c>
      <c r="FE77" s="352">
        <f>20-20</f>
        <v>0</v>
      </c>
      <c r="FF77" s="348"/>
      <c r="FG77" s="348"/>
      <c r="FH77" s="352">
        <f>60-60</f>
        <v>0</v>
      </c>
      <c r="FI77" s="348"/>
      <c r="FJ77" s="348"/>
      <c r="FK77" s="348"/>
      <c r="FL77" s="348"/>
      <c r="FM77" s="348"/>
      <c r="FN77" s="348"/>
      <c r="FO77" s="348"/>
      <c r="FP77" s="348"/>
      <c r="FQ77" s="348"/>
      <c r="FR77" s="348"/>
      <c r="FS77" s="348"/>
      <c r="FT77" s="348"/>
      <c r="FU77" s="348"/>
      <c r="FV77" s="348"/>
      <c r="FW77" s="348"/>
      <c r="FX77" s="348"/>
      <c r="FY77" s="348"/>
      <c r="FZ77" s="348"/>
      <c r="GA77" s="348"/>
      <c r="GB77" s="348"/>
      <c r="GC77" s="348"/>
      <c r="GD77" s="349" t="s">
        <v>850</v>
      </c>
      <c r="GE77" s="347" t="s">
        <v>887</v>
      </c>
      <c r="GF77" s="347" t="s">
        <v>522</v>
      </c>
      <c r="GG77" s="347" t="s">
        <v>850</v>
      </c>
      <c r="GH77" s="347" t="s">
        <v>915</v>
      </c>
      <c r="GI77" s="350">
        <f t="shared" si="8"/>
        <v>0</v>
      </c>
      <c r="GJ77" s="351" t="s">
        <v>911</v>
      </c>
    </row>
    <row r="78" spans="1:192" s="351" customFormat="1">
      <c r="A78" s="347" t="s">
        <v>526</v>
      </c>
      <c r="B78" s="347" t="s">
        <v>517</v>
      </c>
      <c r="C78" s="347" t="s">
        <v>555</v>
      </c>
      <c r="D78" s="347" t="s">
        <v>3</v>
      </c>
      <c r="E78" s="347" t="s">
        <v>603</v>
      </c>
      <c r="F78" s="347" t="s">
        <v>520</v>
      </c>
      <c r="G78" s="347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  <c r="AA78" s="348"/>
      <c r="AB78" s="348"/>
      <c r="AC78" s="348"/>
      <c r="AD78" s="348"/>
      <c r="AE78" s="348"/>
      <c r="AF78" s="348"/>
      <c r="AG78" s="348"/>
      <c r="AH78" s="348"/>
      <c r="AI78" s="348"/>
      <c r="AJ78" s="348"/>
      <c r="AK78" s="348"/>
      <c r="AL78" s="348"/>
      <c r="AM78" s="348"/>
      <c r="AN78" s="348"/>
      <c r="AO78" s="348"/>
      <c r="AP78" s="348"/>
      <c r="AQ78" s="348"/>
      <c r="AR78" s="348"/>
      <c r="AS78" s="348"/>
      <c r="AT78" s="348"/>
      <c r="AU78" s="348"/>
      <c r="AV78" s="348"/>
      <c r="AW78" s="348"/>
      <c r="AX78" s="348"/>
      <c r="AY78" s="348"/>
      <c r="AZ78" s="348"/>
      <c r="BA78" s="348"/>
      <c r="BB78" s="348"/>
      <c r="BC78" s="348"/>
      <c r="BD78" s="348"/>
      <c r="BE78" s="348"/>
      <c r="BF78" s="348"/>
      <c r="BG78" s="348"/>
      <c r="BH78" s="348"/>
      <c r="BI78" s="348"/>
      <c r="BJ78" s="348"/>
      <c r="BK78" s="348"/>
      <c r="BL78" s="348"/>
      <c r="BM78" s="348"/>
      <c r="BN78" s="348"/>
      <c r="BO78" s="348"/>
      <c r="BP78" s="348"/>
      <c r="BQ78" s="348"/>
      <c r="BR78" s="348"/>
      <c r="BS78" s="348"/>
      <c r="BT78" s="348"/>
      <c r="BU78" s="348"/>
      <c r="BV78" s="348"/>
      <c r="BW78" s="348"/>
      <c r="BX78" s="348"/>
      <c r="BY78" s="348"/>
      <c r="BZ78" s="348"/>
      <c r="CA78" s="348"/>
      <c r="CB78" s="348"/>
      <c r="CC78" s="348"/>
      <c r="CD78" s="348"/>
      <c r="CE78" s="348"/>
      <c r="CF78" s="348"/>
      <c r="CG78" s="348"/>
      <c r="CH78" s="348"/>
      <c r="CI78" s="348"/>
      <c r="CJ78" s="348"/>
      <c r="CK78" s="348"/>
      <c r="CL78" s="348"/>
      <c r="CM78" s="348"/>
      <c r="CN78" s="348"/>
      <c r="CO78" s="348"/>
      <c r="CP78" s="348"/>
      <c r="CQ78" s="348"/>
      <c r="CR78" s="348"/>
      <c r="CS78" s="348"/>
      <c r="CT78" s="348"/>
      <c r="CU78" s="348"/>
      <c r="CV78" s="348"/>
      <c r="CW78" s="348"/>
      <c r="CX78" s="348"/>
      <c r="CY78" s="348"/>
      <c r="CZ78" s="348"/>
      <c r="DA78" s="348"/>
      <c r="DB78" s="348"/>
      <c r="DC78" s="348"/>
      <c r="DD78" s="348"/>
      <c r="DE78" s="348"/>
      <c r="DF78" s="348"/>
      <c r="DG78" s="348"/>
      <c r="DH78" s="348"/>
      <c r="DI78" s="348"/>
      <c r="DJ78" s="348"/>
      <c r="DK78" s="348"/>
      <c r="DL78" s="348"/>
      <c r="DM78" s="348"/>
      <c r="DN78" s="348"/>
      <c r="DO78" s="348"/>
      <c r="DP78" s="348"/>
      <c r="DQ78" s="348"/>
      <c r="DR78" s="348"/>
      <c r="DS78" s="348"/>
      <c r="DT78" s="348"/>
      <c r="DU78" s="348"/>
      <c r="DV78" s="348"/>
      <c r="DW78" s="348"/>
      <c r="DX78" s="348"/>
      <c r="DY78" s="348"/>
      <c r="DZ78" s="348"/>
      <c r="EA78" s="348"/>
      <c r="EB78" s="348"/>
      <c r="EC78" s="348"/>
      <c r="ED78" s="348"/>
      <c r="EE78" s="348"/>
      <c r="EF78" s="348"/>
      <c r="EG78" s="348"/>
      <c r="EH78" s="348"/>
      <c r="EI78" s="348"/>
      <c r="EJ78" s="348"/>
      <c r="EK78" s="348"/>
      <c r="EL78" s="348"/>
      <c r="EM78" s="348"/>
      <c r="EN78" s="348"/>
      <c r="EO78" s="348"/>
      <c r="EP78" s="348"/>
      <c r="EQ78" s="348"/>
      <c r="ER78" s="348"/>
      <c r="ES78" s="348"/>
      <c r="ET78" s="348"/>
      <c r="EU78" s="348"/>
      <c r="EV78" s="348"/>
      <c r="EW78" s="348"/>
      <c r="EX78" s="348"/>
      <c r="EY78" s="348"/>
      <c r="EZ78" s="348"/>
      <c r="FA78" s="348"/>
      <c r="FB78" s="348"/>
      <c r="FC78" s="348"/>
      <c r="FD78" s="348"/>
      <c r="FE78" s="348"/>
      <c r="FF78" s="348"/>
      <c r="FG78" s="348"/>
      <c r="FH78" s="348"/>
      <c r="FI78" s="348"/>
      <c r="FJ78" s="348"/>
      <c r="FK78" s="348"/>
      <c r="FL78" s="348"/>
      <c r="FM78" s="348"/>
      <c r="FN78" s="348"/>
      <c r="FO78" s="348"/>
      <c r="FP78" s="348"/>
      <c r="FQ78" s="348"/>
      <c r="FR78" s="348"/>
      <c r="FS78" s="348"/>
      <c r="FT78" s="348"/>
      <c r="FU78" s="348"/>
      <c r="FV78" s="348"/>
      <c r="FW78" s="348"/>
      <c r="FX78" s="348"/>
      <c r="FY78" s="348"/>
      <c r="FZ78" s="348"/>
      <c r="GA78" s="348"/>
      <c r="GB78" s="348"/>
      <c r="GC78" s="348"/>
      <c r="GD78" s="349"/>
      <c r="GE78" s="347" t="s">
        <v>887</v>
      </c>
      <c r="GF78" s="347" t="s">
        <v>522</v>
      </c>
      <c r="GG78" s="347" t="s">
        <v>850</v>
      </c>
      <c r="GH78" s="347" t="s">
        <v>915</v>
      </c>
      <c r="GI78" s="350">
        <f t="shared" si="8"/>
        <v>0</v>
      </c>
      <c r="GJ78" s="351" t="s">
        <v>911</v>
      </c>
    </row>
    <row r="79" spans="1:192" s="329" customFormat="1">
      <c r="A79" s="325" t="s">
        <v>526</v>
      </c>
      <c r="B79" s="325" t="s">
        <v>517</v>
      </c>
      <c r="C79" s="325" t="s">
        <v>555</v>
      </c>
      <c r="D79" s="325" t="s">
        <v>636</v>
      </c>
      <c r="E79" s="325" t="s">
        <v>929</v>
      </c>
      <c r="F79" s="325" t="s">
        <v>520</v>
      </c>
      <c r="G79" s="325"/>
      <c r="H79" s="326"/>
      <c r="I79" s="326"/>
      <c r="J79" s="326"/>
      <c r="K79" s="326"/>
      <c r="L79" s="326"/>
      <c r="M79" s="326"/>
      <c r="N79" s="326"/>
      <c r="O79" s="326"/>
      <c r="P79" s="326"/>
      <c r="Q79" s="326"/>
      <c r="R79" s="326"/>
      <c r="S79" s="326"/>
      <c r="T79" s="326"/>
      <c r="U79" s="326"/>
      <c r="V79" s="326"/>
      <c r="W79" s="326"/>
      <c r="X79" s="326"/>
      <c r="Y79" s="326"/>
      <c r="Z79" s="326"/>
      <c r="AA79" s="326"/>
      <c r="AB79" s="326"/>
      <c r="AC79" s="326"/>
      <c r="AD79" s="326"/>
      <c r="AE79" s="326"/>
      <c r="AF79" s="326"/>
      <c r="AG79" s="326"/>
      <c r="AH79" s="326"/>
      <c r="AI79" s="326"/>
      <c r="AJ79" s="326"/>
      <c r="AK79" s="326"/>
      <c r="AL79" s="326"/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/>
      <c r="BI79" s="326"/>
      <c r="BJ79" s="326"/>
      <c r="BK79" s="326"/>
      <c r="BL79" s="326"/>
      <c r="BM79" s="326"/>
      <c r="BN79" s="326"/>
      <c r="BO79" s="326"/>
      <c r="BP79" s="326"/>
      <c r="BQ79" s="326"/>
      <c r="BR79" s="326"/>
      <c r="BS79" s="326"/>
      <c r="BT79" s="326"/>
      <c r="BU79" s="326"/>
      <c r="BV79" s="326"/>
      <c r="BW79" s="326"/>
      <c r="BX79" s="326"/>
      <c r="BY79" s="326"/>
      <c r="BZ79" s="326"/>
      <c r="CA79" s="326"/>
      <c r="CB79" s="326"/>
      <c r="CC79" s="326"/>
      <c r="CD79" s="326"/>
      <c r="CE79" s="326"/>
      <c r="CF79" s="326"/>
      <c r="CG79" s="326"/>
      <c r="CH79" s="326"/>
      <c r="CI79" s="326"/>
      <c r="CJ79" s="326"/>
      <c r="CK79" s="326"/>
      <c r="CL79" s="326"/>
      <c r="CM79" s="326"/>
      <c r="CN79" s="326"/>
      <c r="CO79" s="326"/>
      <c r="CP79" s="326"/>
      <c r="CQ79" s="326"/>
      <c r="CR79" s="326"/>
      <c r="CS79" s="326"/>
      <c r="CT79" s="326"/>
      <c r="CU79" s="326"/>
      <c r="CV79" s="326"/>
      <c r="CW79" s="326"/>
      <c r="CX79" s="326"/>
      <c r="CY79" s="326"/>
      <c r="CZ79" s="326"/>
      <c r="DA79" s="326"/>
      <c r="DB79" s="332">
        <v>5</v>
      </c>
      <c r="DC79" s="326"/>
      <c r="DD79" s="326"/>
      <c r="DE79" s="326"/>
      <c r="DF79" s="326"/>
      <c r="DG79" s="326"/>
      <c r="DH79" s="326"/>
      <c r="DI79" s="326"/>
      <c r="DJ79" s="326"/>
      <c r="DK79" s="326"/>
      <c r="DL79" s="326"/>
      <c r="DM79" s="326"/>
      <c r="DN79" s="326"/>
      <c r="DO79" s="326"/>
      <c r="DP79" s="326"/>
      <c r="DQ79" s="326"/>
      <c r="DR79" s="326"/>
      <c r="DS79" s="326"/>
      <c r="DT79" s="326"/>
      <c r="DU79" s="326"/>
      <c r="DV79" s="326"/>
      <c r="DW79" s="326"/>
      <c r="DX79" s="326"/>
      <c r="DY79" s="326"/>
      <c r="DZ79" s="326"/>
      <c r="EA79" s="326"/>
      <c r="EB79" s="326"/>
      <c r="EC79" s="326"/>
      <c r="ED79" s="326"/>
      <c r="EE79" s="326"/>
      <c r="EF79" s="326"/>
      <c r="EG79" s="326"/>
      <c r="EH79" s="326"/>
      <c r="EI79" s="332">
        <v>20</v>
      </c>
      <c r="EJ79" s="326"/>
      <c r="EK79" s="326"/>
      <c r="EL79" s="326"/>
      <c r="EM79" s="326"/>
      <c r="EN79" s="326"/>
      <c r="EO79" s="326"/>
      <c r="EP79" s="326"/>
      <c r="EQ79" s="326"/>
      <c r="ER79" s="326"/>
      <c r="ES79" s="326"/>
      <c r="ET79" s="326"/>
      <c r="EU79" s="326"/>
      <c r="EV79" s="326"/>
      <c r="EW79" s="332">
        <v>10</v>
      </c>
      <c r="EX79" s="326"/>
      <c r="EY79" s="326"/>
      <c r="EZ79" s="326"/>
      <c r="FA79" s="326"/>
      <c r="FB79" s="326"/>
      <c r="FC79" s="326"/>
      <c r="FD79" s="326"/>
      <c r="FE79" s="326"/>
      <c r="FF79" s="326"/>
      <c r="FG79" s="326"/>
      <c r="FH79" s="326"/>
      <c r="FI79" s="326"/>
      <c r="FJ79" s="326"/>
      <c r="FK79" s="326"/>
      <c r="FL79" s="326"/>
      <c r="FM79" s="326"/>
      <c r="FN79" s="326"/>
      <c r="FO79" s="326"/>
      <c r="FP79" s="326"/>
      <c r="FQ79" s="326"/>
      <c r="FR79" s="326"/>
      <c r="FS79" s="326"/>
      <c r="FT79" s="326"/>
      <c r="FU79" s="326"/>
      <c r="FV79" s="326"/>
      <c r="FW79" s="326"/>
      <c r="FX79" s="326"/>
      <c r="FY79" s="326"/>
      <c r="FZ79" s="326"/>
      <c r="GA79" s="326"/>
      <c r="GB79" s="326"/>
      <c r="GC79" s="326"/>
      <c r="GD79" s="327"/>
      <c r="GE79" s="325" t="s">
        <v>887</v>
      </c>
      <c r="GF79" s="325" t="s">
        <v>522</v>
      </c>
      <c r="GG79" s="325" t="s">
        <v>850</v>
      </c>
      <c r="GH79" s="325" t="s">
        <v>565</v>
      </c>
      <c r="GI79" s="328">
        <f t="shared" si="8"/>
        <v>35</v>
      </c>
      <c r="GJ79" s="329" t="s">
        <v>906</v>
      </c>
    </row>
    <row r="80" spans="1:192" s="329" customFormat="1">
      <c r="A80" s="325" t="s">
        <v>526</v>
      </c>
      <c r="B80" s="325" t="s">
        <v>517</v>
      </c>
      <c r="C80" s="325" t="s">
        <v>555</v>
      </c>
      <c r="D80" s="325" t="s">
        <v>633</v>
      </c>
      <c r="E80" s="325" t="s">
        <v>929</v>
      </c>
      <c r="F80" s="325" t="s">
        <v>520</v>
      </c>
      <c r="G80" s="325"/>
      <c r="H80" s="326"/>
      <c r="I80" s="326"/>
      <c r="J80" s="330">
        <f>10-10</f>
        <v>0</v>
      </c>
      <c r="K80" s="330">
        <f>10-10</f>
        <v>0</v>
      </c>
      <c r="L80" s="326"/>
      <c r="M80" s="330">
        <f>10-10</f>
        <v>0</v>
      </c>
      <c r="N80" s="330">
        <f>10-10</f>
        <v>0</v>
      </c>
      <c r="O80" s="330">
        <f>10-10</f>
        <v>0</v>
      </c>
      <c r="P80" s="330">
        <f>10-10</f>
        <v>0</v>
      </c>
      <c r="Q80" s="326"/>
      <c r="R80" s="326"/>
      <c r="S80" s="330">
        <f>10-10</f>
        <v>0</v>
      </c>
      <c r="T80" s="330">
        <f>10-10</f>
        <v>0</v>
      </c>
      <c r="U80" s="330">
        <f>10-10</f>
        <v>0</v>
      </c>
      <c r="V80" s="326"/>
      <c r="W80" s="326"/>
      <c r="X80" s="330">
        <f>10-10</f>
        <v>0</v>
      </c>
      <c r="Y80" s="330">
        <f>20-20+5</f>
        <v>5</v>
      </c>
      <c r="Z80" s="326"/>
      <c r="AA80" s="330">
        <f>20-20</f>
        <v>0</v>
      </c>
      <c r="AB80" s="326"/>
      <c r="AC80" s="330">
        <f>20-20+5</f>
        <v>5</v>
      </c>
      <c r="AD80" s="330">
        <f>10-10+3</f>
        <v>3</v>
      </c>
      <c r="AE80" s="326"/>
      <c r="AF80" s="330">
        <f>50-50</f>
        <v>0</v>
      </c>
      <c r="AG80" s="330">
        <f>50-50</f>
        <v>0</v>
      </c>
      <c r="AH80" s="330">
        <f>50-50+2</f>
        <v>2</v>
      </c>
      <c r="AI80" s="330">
        <f>50-50</f>
        <v>0</v>
      </c>
      <c r="AJ80" s="330">
        <f>50-50</f>
        <v>0</v>
      </c>
      <c r="AK80" s="326"/>
      <c r="AL80" s="326"/>
      <c r="AM80" s="326"/>
      <c r="AN80" s="326"/>
      <c r="AO80" s="326"/>
      <c r="AP80" s="326"/>
      <c r="AQ80" s="326"/>
      <c r="AR80" s="326"/>
      <c r="AS80" s="326"/>
      <c r="AT80" s="326"/>
      <c r="AU80" s="326"/>
      <c r="AV80" s="326"/>
      <c r="AW80" s="326"/>
      <c r="AX80" s="326"/>
      <c r="AY80" s="326"/>
      <c r="AZ80" s="326"/>
      <c r="BA80" s="330">
        <f>10-10+1</f>
        <v>1</v>
      </c>
      <c r="BB80" s="326"/>
      <c r="BC80" s="330">
        <f>10-10+7</f>
        <v>7</v>
      </c>
      <c r="BD80" s="330">
        <f>10-10</f>
        <v>0</v>
      </c>
      <c r="BE80" s="330">
        <f>10-10</f>
        <v>0</v>
      </c>
      <c r="BF80" s="326"/>
      <c r="BG80" s="326"/>
      <c r="BH80" s="326"/>
      <c r="BI80" s="326"/>
      <c r="BJ80" s="326"/>
      <c r="BK80" s="326"/>
      <c r="BL80" s="326"/>
      <c r="BM80" s="326"/>
      <c r="BN80" s="330">
        <f>10-10</f>
        <v>0</v>
      </c>
      <c r="BO80" s="330">
        <f>10-10</f>
        <v>0</v>
      </c>
      <c r="BP80" s="330">
        <f>10-10+3</f>
        <v>3</v>
      </c>
      <c r="BQ80" s="330">
        <f>10-10+2</f>
        <v>2</v>
      </c>
      <c r="BR80" s="330">
        <f>10-10</f>
        <v>0</v>
      </c>
      <c r="BS80" s="326"/>
      <c r="BT80" s="326"/>
      <c r="BU80" s="326"/>
      <c r="BV80" s="326"/>
      <c r="BW80" s="326"/>
      <c r="BX80" s="326"/>
      <c r="BY80" s="326"/>
      <c r="BZ80" s="326"/>
      <c r="CA80" s="326"/>
      <c r="CB80" s="330">
        <f>10-10+1</f>
        <v>1</v>
      </c>
      <c r="CC80" s="330">
        <f>10-10+1</f>
        <v>1</v>
      </c>
      <c r="CD80" s="326"/>
      <c r="CE80" s="326"/>
      <c r="CF80" s="330">
        <f>10-10+2</f>
        <v>2</v>
      </c>
      <c r="CG80" s="330">
        <f>10-10</f>
        <v>0</v>
      </c>
      <c r="CH80" s="330">
        <f>10-10</f>
        <v>0</v>
      </c>
      <c r="CI80" s="330">
        <f>10-10</f>
        <v>0</v>
      </c>
      <c r="CJ80" s="326"/>
      <c r="CK80" s="326"/>
      <c r="CL80" s="330">
        <f>20-20+1</f>
        <v>1</v>
      </c>
      <c r="CM80" s="330">
        <f>20-20+1</f>
        <v>1</v>
      </c>
      <c r="CN80" s="330">
        <f>20-20</f>
        <v>0</v>
      </c>
      <c r="CO80" s="330">
        <f>20-20</f>
        <v>0</v>
      </c>
      <c r="CP80" s="326"/>
      <c r="CQ80" s="330">
        <f>20-20+2</f>
        <v>2</v>
      </c>
      <c r="CR80" s="330">
        <f>30-30+5</f>
        <v>5</v>
      </c>
      <c r="CS80" s="330">
        <f>20-20+1</f>
        <v>1</v>
      </c>
      <c r="CT80" s="330">
        <f>30-30</f>
        <v>0</v>
      </c>
      <c r="CU80" s="330">
        <f>30-30</f>
        <v>0</v>
      </c>
      <c r="CV80" s="326"/>
      <c r="CW80" s="326"/>
      <c r="CX80" s="330">
        <f>10-10+5</f>
        <v>5</v>
      </c>
      <c r="CY80" s="326"/>
      <c r="CZ80" s="330">
        <f>30-30+8</f>
        <v>8</v>
      </c>
      <c r="DA80" s="330">
        <f>20-20+5</f>
        <v>5</v>
      </c>
      <c r="DB80" s="330">
        <f>30-30</f>
        <v>0</v>
      </c>
      <c r="DC80" s="326"/>
      <c r="DD80" s="330">
        <f>10-10</f>
        <v>0</v>
      </c>
      <c r="DE80" s="326"/>
      <c r="DF80" s="326"/>
      <c r="DG80" s="330">
        <f>20-20+5</f>
        <v>5</v>
      </c>
      <c r="DH80" s="326"/>
      <c r="DI80" s="330">
        <f>10-10</f>
        <v>0</v>
      </c>
      <c r="DJ80" s="330">
        <f>30-30+5</f>
        <v>5</v>
      </c>
      <c r="DK80" s="330">
        <f>20-20</f>
        <v>0</v>
      </c>
      <c r="DL80" s="330">
        <f>30-30+2</f>
        <v>2</v>
      </c>
      <c r="DM80" s="330">
        <f>20-20</f>
        <v>0</v>
      </c>
      <c r="DN80" s="326"/>
      <c r="DO80" s="326"/>
      <c r="DP80" s="330">
        <f>50-50</f>
        <v>0</v>
      </c>
      <c r="DQ80" s="326"/>
      <c r="DR80" s="330">
        <f>50-50</f>
        <v>0</v>
      </c>
      <c r="DS80" s="326"/>
      <c r="DT80" s="326"/>
      <c r="DU80" s="326"/>
      <c r="DV80" s="326"/>
      <c r="DW80" s="326"/>
      <c r="DX80" s="326"/>
      <c r="DY80" s="330">
        <f>50-50+20</f>
        <v>20</v>
      </c>
      <c r="DZ80" s="326"/>
      <c r="EA80" s="330">
        <f>50-50</f>
        <v>0</v>
      </c>
      <c r="EB80" s="330">
        <f>50-50</f>
        <v>0</v>
      </c>
      <c r="EC80" s="326"/>
      <c r="ED80" s="330">
        <f>50-50</f>
        <v>0</v>
      </c>
      <c r="EE80" s="330">
        <f>50-50</f>
        <v>0</v>
      </c>
      <c r="EF80" s="330">
        <f>50-50</f>
        <v>0</v>
      </c>
      <c r="EG80" s="326"/>
      <c r="EH80" s="326"/>
      <c r="EI80" s="330">
        <f>50-50</f>
        <v>0</v>
      </c>
      <c r="EJ80" s="326"/>
      <c r="EK80" s="330">
        <f>50-50</f>
        <v>0</v>
      </c>
      <c r="EL80" s="330">
        <f>30-30</f>
        <v>0</v>
      </c>
      <c r="EM80" s="330">
        <f>40-40</f>
        <v>0</v>
      </c>
      <c r="EN80" s="330">
        <f>40-40</f>
        <v>0</v>
      </c>
      <c r="EO80" s="330">
        <f>40-40</f>
        <v>0</v>
      </c>
      <c r="EP80" s="330">
        <f>40-40+20</f>
        <v>20</v>
      </c>
      <c r="EQ80" s="326"/>
      <c r="ER80" s="330">
        <f>30-30+30</f>
        <v>30</v>
      </c>
      <c r="ES80" s="330">
        <f>20-20</f>
        <v>0</v>
      </c>
      <c r="ET80" s="330">
        <f>40-40</f>
        <v>0</v>
      </c>
      <c r="EU80" s="330">
        <f>30-30</f>
        <v>0</v>
      </c>
      <c r="EV80" s="330">
        <f>20-20</f>
        <v>0</v>
      </c>
      <c r="EW80" s="330">
        <f>30-30</f>
        <v>0</v>
      </c>
      <c r="EX80" s="330">
        <f>30-30</f>
        <v>0</v>
      </c>
      <c r="EY80" s="330">
        <f>30-30</f>
        <v>0</v>
      </c>
      <c r="EZ80" s="326"/>
      <c r="FA80" s="330">
        <f>20-20</f>
        <v>0</v>
      </c>
      <c r="FB80" s="326"/>
      <c r="FC80" s="326"/>
      <c r="FD80" s="330">
        <f>20-20</f>
        <v>0</v>
      </c>
      <c r="FE80" s="326"/>
      <c r="FF80" s="326"/>
      <c r="FG80" s="330">
        <f>20-20</f>
        <v>0</v>
      </c>
      <c r="FH80" s="330">
        <f>20-20+10</f>
        <v>10</v>
      </c>
      <c r="FI80" s="330">
        <f>20-20+10</f>
        <v>10</v>
      </c>
      <c r="FJ80" s="326"/>
      <c r="FK80" s="326"/>
      <c r="FL80" s="326"/>
      <c r="FM80" s="326"/>
      <c r="FN80" s="326"/>
      <c r="FO80" s="326"/>
      <c r="FP80" s="326"/>
      <c r="FQ80" s="326"/>
      <c r="FR80" s="326"/>
      <c r="FS80" s="326"/>
      <c r="FT80" s="326"/>
      <c r="FU80" s="326"/>
      <c r="FV80" s="326"/>
      <c r="FW80" s="326"/>
      <c r="FX80" s="326"/>
      <c r="FY80" s="326"/>
      <c r="FZ80" s="326"/>
      <c r="GA80" s="326"/>
      <c r="GB80" s="326"/>
      <c r="GC80" s="326"/>
      <c r="GD80" s="327" t="s">
        <v>850</v>
      </c>
      <c r="GE80" s="325" t="s">
        <v>887</v>
      </c>
      <c r="GF80" s="325" t="s">
        <v>522</v>
      </c>
      <c r="GG80" s="325" t="s">
        <v>850</v>
      </c>
      <c r="GH80" s="325" t="s">
        <v>565</v>
      </c>
      <c r="GI80" s="328">
        <f t="shared" si="8"/>
        <v>162</v>
      </c>
      <c r="GJ80" s="329" t="s">
        <v>906</v>
      </c>
    </row>
    <row r="81" spans="1:192" s="329" customFormat="1">
      <c r="A81" s="325" t="s">
        <v>526</v>
      </c>
      <c r="B81" s="325" t="s">
        <v>517</v>
      </c>
      <c r="C81" s="325" t="s">
        <v>555</v>
      </c>
      <c r="D81" s="325" t="s">
        <v>3</v>
      </c>
      <c r="E81" s="325" t="s">
        <v>929</v>
      </c>
      <c r="F81" s="325" t="s">
        <v>520</v>
      </c>
      <c r="G81" s="325"/>
      <c r="H81" s="326"/>
      <c r="I81" s="326"/>
      <c r="J81" s="326"/>
      <c r="K81" s="326"/>
      <c r="L81" s="326"/>
      <c r="M81" s="326"/>
      <c r="N81" s="326"/>
      <c r="O81" s="326"/>
      <c r="P81" s="326"/>
      <c r="Q81" s="326"/>
      <c r="R81" s="326"/>
      <c r="S81" s="326"/>
      <c r="T81" s="326"/>
      <c r="U81" s="326"/>
      <c r="V81" s="326"/>
      <c r="W81" s="326"/>
      <c r="X81" s="326"/>
      <c r="Y81" s="326"/>
      <c r="Z81" s="326"/>
      <c r="AA81" s="326"/>
      <c r="AB81" s="326"/>
      <c r="AC81" s="326"/>
      <c r="AD81" s="326"/>
      <c r="AE81" s="326"/>
      <c r="AF81" s="326"/>
      <c r="AG81" s="326"/>
      <c r="AH81" s="326"/>
      <c r="AI81" s="326"/>
      <c r="AJ81" s="326"/>
      <c r="AK81" s="326"/>
      <c r="AL81" s="326"/>
      <c r="AM81" s="326"/>
      <c r="AN81" s="326"/>
      <c r="AO81" s="326"/>
      <c r="AP81" s="326"/>
      <c r="AQ81" s="326"/>
      <c r="AR81" s="326"/>
      <c r="AS81" s="326"/>
      <c r="AT81" s="326"/>
      <c r="AU81" s="326"/>
      <c r="AV81" s="326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/>
      <c r="BN81" s="326"/>
      <c r="BO81" s="326"/>
      <c r="BP81" s="326"/>
      <c r="BQ81" s="326"/>
      <c r="BR81" s="326"/>
      <c r="BS81" s="326"/>
      <c r="BT81" s="326"/>
      <c r="BU81" s="326"/>
      <c r="BV81" s="326"/>
      <c r="BW81" s="326"/>
      <c r="BX81" s="326"/>
      <c r="BY81" s="326"/>
      <c r="BZ81" s="326"/>
      <c r="CA81" s="326"/>
      <c r="CB81" s="326"/>
      <c r="CC81" s="326"/>
      <c r="CD81" s="326"/>
      <c r="CE81" s="326"/>
      <c r="CF81" s="326"/>
      <c r="CG81" s="326"/>
      <c r="CH81" s="326"/>
      <c r="CI81" s="326"/>
      <c r="CJ81" s="326"/>
      <c r="CK81" s="326"/>
      <c r="CL81" s="326"/>
      <c r="CM81" s="326"/>
      <c r="CN81" s="326"/>
      <c r="CO81" s="326"/>
      <c r="CP81" s="326"/>
      <c r="CQ81" s="326"/>
      <c r="CR81" s="326"/>
      <c r="CS81" s="326"/>
      <c r="CT81" s="326"/>
      <c r="CU81" s="326"/>
      <c r="CV81" s="326"/>
      <c r="CW81" s="326"/>
      <c r="CX81" s="326"/>
      <c r="CY81" s="326"/>
      <c r="CZ81" s="326"/>
      <c r="DA81" s="326"/>
      <c r="DB81" s="326"/>
      <c r="DC81" s="326"/>
      <c r="DD81" s="326"/>
      <c r="DE81" s="326"/>
      <c r="DF81" s="326"/>
      <c r="DG81" s="326"/>
      <c r="DH81" s="326"/>
      <c r="DI81" s="326"/>
      <c r="DJ81" s="326"/>
      <c r="DK81" s="326"/>
      <c r="DL81" s="326"/>
      <c r="DM81" s="326"/>
      <c r="DN81" s="326"/>
      <c r="DO81" s="326"/>
      <c r="DP81" s="326"/>
      <c r="DQ81" s="326"/>
      <c r="DR81" s="326"/>
      <c r="DS81" s="326"/>
      <c r="DT81" s="326"/>
      <c r="DU81" s="326"/>
      <c r="DV81" s="326"/>
      <c r="DW81" s="326"/>
      <c r="DX81" s="326"/>
      <c r="DY81" s="326"/>
      <c r="DZ81" s="326"/>
      <c r="EA81" s="326"/>
      <c r="EB81" s="326"/>
      <c r="EC81" s="326"/>
      <c r="ED81" s="326"/>
      <c r="EE81" s="326"/>
      <c r="EF81" s="326"/>
      <c r="EG81" s="326"/>
      <c r="EH81" s="326"/>
      <c r="EI81" s="326"/>
      <c r="EJ81" s="326"/>
      <c r="EK81" s="326"/>
      <c r="EL81" s="326"/>
      <c r="EM81" s="326"/>
      <c r="EN81" s="326"/>
      <c r="EO81" s="326"/>
      <c r="EP81" s="326"/>
      <c r="EQ81" s="326"/>
      <c r="ER81" s="326"/>
      <c r="ES81" s="326"/>
      <c r="ET81" s="326"/>
      <c r="EU81" s="326"/>
      <c r="EV81" s="326"/>
      <c r="EW81" s="326"/>
      <c r="EX81" s="326"/>
      <c r="EY81" s="326"/>
      <c r="EZ81" s="326"/>
      <c r="FA81" s="326"/>
      <c r="FB81" s="326"/>
      <c r="FC81" s="326"/>
      <c r="FD81" s="326"/>
      <c r="FE81" s="326"/>
      <c r="FF81" s="326"/>
      <c r="FG81" s="326"/>
      <c r="FH81" s="326"/>
      <c r="FI81" s="326"/>
      <c r="FJ81" s="326"/>
      <c r="FK81" s="326"/>
      <c r="FL81" s="326"/>
      <c r="FM81" s="326"/>
      <c r="FN81" s="326"/>
      <c r="FO81" s="326"/>
      <c r="FP81" s="326"/>
      <c r="FQ81" s="326"/>
      <c r="FR81" s="326"/>
      <c r="FS81" s="326"/>
      <c r="FT81" s="326"/>
      <c r="FU81" s="326"/>
      <c r="FV81" s="326"/>
      <c r="FW81" s="326"/>
      <c r="FX81" s="326"/>
      <c r="FY81" s="326"/>
      <c r="FZ81" s="326"/>
      <c r="GA81" s="326"/>
      <c r="GB81" s="326"/>
      <c r="GC81" s="326"/>
      <c r="GD81" s="327"/>
      <c r="GE81" s="325" t="s">
        <v>887</v>
      </c>
      <c r="GF81" s="325" t="s">
        <v>522</v>
      </c>
      <c r="GG81" s="325" t="s">
        <v>850</v>
      </c>
      <c r="GH81" s="325" t="s">
        <v>565</v>
      </c>
      <c r="GI81" s="328">
        <f t="shared" si="8"/>
        <v>0</v>
      </c>
      <c r="GJ81" s="329" t="s">
        <v>906</v>
      </c>
    </row>
    <row r="82" spans="1:192" s="329" customFormat="1">
      <c r="A82" s="325" t="s">
        <v>526</v>
      </c>
      <c r="B82" s="325" t="s">
        <v>517</v>
      </c>
      <c r="C82" s="325" t="s">
        <v>555</v>
      </c>
      <c r="D82" s="325" t="s">
        <v>636</v>
      </c>
      <c r="E82" s="325" t="s">
        <v>930</v>
      </c>
      <c r="F82" s="325" t="s">
        <v>520</v>
      </c>
      <c r="G82" s="325"/>
      <c r="H82" s="326"/>
      <c r="I82" s="326"/>
      <c r="J82" s="326"/>
      <c r="K82" s="326"/>
      <c r="L82" s="326"/>
      <c r="M82" s="326"/>
      <c r="N82" s="326"/>
      <c r="O82" s="326"/>
      <c r="P82" s="326"/>
      <c r="Q82" s="326"/>
      <c r="R82" s="326"/>
      <c r="S82" s="326"/>
      <c r="T82" s="326"/>
      <c r="U82" s="326"/>
      <c r="V82" s="326"/>
      <c r="W82" s="326"/>
      <c r="X82" s="326"/>
      <c r="Y82" s="326"/>
      <c r="Z82" s="326"/>
      <c r="AA82" s="326"/>
      <c r="AB82" s="326"/>
      <c r="AC82" s="326"/>
      <c r="AD82" s="326"/>
      <c r="AE82" s="326"/>
      <c r="AF82" s="326"/>
      <c r="AG82" s="326"/>
      <c r="AH82" s="326"/>
      <c r="AI82" s="326"/>
      <c r="AJ82" s="326"/>
      <c r="AK82" s="326"/>
      <c r="AL82" s="326"/>
      <c r="AM82" s="326"/>
      <c r="AN82" s="326"/>
      <c r="AO82" s="326"/>
      <c r="AP82" s="326"/>
      <c r="AQ82" s="326"/>
      <c r="AR82" s="326"/>
      <c r="AS82" s="326"/>
      <c r="AT82" s="326"/>
      <c r="AU82" s="326"/>
      <c r="AV82" s="326"/>
      <c r="AW82" s="326"/>
      <c r="AX82" s="326"/>
      <c r="AY82" s="326"/>
      <c r="AZ82" s="326"/>
      <c r="BA82" s="326"/>
      <c r="BB82" s="326"/>
      <c r="BC82" s="326"/>
      <c r="BD82" s="326"/>
      <c r="BE82" s="326"/>
      <c r="BF82" s="326"/>
      <c r="BG82" s="326"/>
      <c r="BH82" s="326"/>
      <c r="BI82" s="326"/>
      <c r="BJ82" s="326"/>
      <c r="BK82" s="326"/>
      <c r="BL82" s="326"/>
      <c r="BM82" s="326"/>
      <c r="BN82" s="326"/>
      <c r="BO82" s="326"/>
      <c r="BP82" s="326"/>
      <c r="BQ82" s="326"/>
      <c r="BR82" s="326"/>
      <c r="BS82" s="326"/>
      <c r="BT82" s="326"/>
      <c r="BU82" s="326"/>
      <c r="BV82" s="326"/>
      <c r="BW82" s="326"/>
      <c r="BX82" s="326"/>
      <c r="BY82" s="326"/>
      <c r="BZ82" s="326"/>
      <c r="CA82" s="326"/>
      <c r="CB82" s="326"/>
      <c r="CC82" s="326"/>
      <c r="CD82" s="326"/>
      <c r="CE82" s="326"/>
      <c r="CF82" s="326"/>
      <c r="CG82" s="326"/>
      <c r="CH82" s="326"/>
      <c r="CI82" s="326"/>
      <c r="CJ82" s="326"/>
      <c r="CK82" s="326"/>
      <c r="CL82" s="326"/>
      <c r="CM82" s="326"/>
      <c r="CN82" s="326"/>
      <c r="CO82" s="326"/>
      <c r="CP82" s="326"/>
      <c r="CQ82" s="326"/>
      <c r="CR82" s="326"/>
      <c r="CS82" s="326"/>
      <c r="CT82" s="326"/>
      <c r="CU82" s="326"/>
      <c r="CV82" s="326"/>
      <c r="CW82" s="326"/>
      <c r="CX82" s="326"/>
      <c r="CY82" s="326"/>
      <c r="CZ82" s="326"/>
      <c r="DA82" s="326"/>
      <c r="DB82" s="326"/>
      <c r="DC82" s="326"/>
      <c r="DD82" s="326"/>
      <c r="DE82" s="326"/>
      <c r="DF82" s="326"/>
      <c r="DG82" s="326"/>
      <c r="DH82" s="326"/>
      <c r="DI82" s="326"/>
      <c r="DJ82" s="326"/>
      <c r="DK82" s="326"/>
      <c r="DL82" s="326"/>
      <c r="DM82" s="326"/>
      <c r="DN82" s="326"/>
      <c r="DO82" s="326"/>
      <c r="DP82" s="326"/>
      <c r="DQ82" s="326"/>
      <c r="DR82" s="326"/>
      <c r="DS82" s="326"/>
      <c r="DT82" s="326"/>
      <c r="DU82" s="326"/>
      <c r="DV82" s="326"/>
      <c r="DW82" s="326"/>
      <c r="DX82" s="326"/>
      <c r="DY82" s="326"/>
      <c r="DZ82" s="326"/>
      <c r="EA82" s="326"/>
      <c r="EB82" s="326"/>
      <c r="EC82" s="326"/>
      <c r="ED82" s="326"/>
      <c r="EE82" s="326"/>
      <c r="EF82" s="326"/>
      <c r="EG82" s="326"/>
      <c r="EH82" s="326"/>
      <c r="EI82" s="326"/>
      <c r="EJ82" s="326"/>
      <c r="EK82" s="326"/>
      <c r="EL82" s="326"/>
      <c r="EM82" s="326"/>
      <c r="EN82" s="326"/>
      <c r="EO82" s="326"/>
      <c r="EP82" s="326"/>
      <c r="EQ82" s="326"/>
      <c r="ER82" s="326"/>
      <c r="ES82" s="326"/>
      <c r="ET82" s="326"/>
      <c r="EU82" s="326"/>
      <c r="EV82" s="326"/>
      <c r="EW82" s="332">
        <v>10</v>
      </c>
      <c r="EX82" s="326"/>
      <c r="EY82" s="326"/>
      <c r="EZ82" s="326"/>
      <c r="FA82" s="326"/>
      <c r="FB82" s="326"/>
      <c r="FC82" s="326"/>
      <c r="FD82" s="326"/>
      <c r="FE82" s="326"/>
      <c r="FF82" s="326"/>
      <c r="FG82" s="326"/>
      <c r="FH82" s="326"/>
      <c r="FI82" s="326"/>
      <c r="FJ82" s="326"/>
      <c r="FK82" s="326"/>
      <c r="FL82" s="326"/>
      <c r="FM82" s="326"/>
      <c r="FN82" s="326"/>
      <c r="FO82" s="326"/>
      <c r="FP82" s="326"/>
      <c r="FQ82" s="326"/>
      <c r="FR82" s="326"/>
      <c r="FS82" s="326"/>
      <c r="FT82" s="326"/>
      <c r="FU82" s="326"/>
      <c r="FV82" s="326"/>
      <c r="FW82" s="326"/>
      <c r="FX82" s="326"/>
      <c r="FY82" s="326"/>
      <c r="FZ82" s="326"/>
      <c r="GA82" s="326"/>
      <c r="GB82" s="326"/>
      <c r="GC82" s="326"/>
      <c r="GD82" s="327"/>
      <c r="GE82" s="325" t="s">
        <v>887</v>
      </c>
      <c r="GF82" s="325" t="s">
        <v>522</v>
      </c>
      <c r="GG82" s="325" t="s">
        <v>850</v>
      </c>
      <c r="GH82" s="325" t="s">
        <v>908</v>
      </c>
      <c r="GI82" s="328">
        <f t="shared" si="8"/>
        <v>10</v>
      </c>
      <c r="GJ82" s="329" t="s">
        <v>906</v>
      </c>
    </row>
    <row r="83" spans="1:192" s="329" customFormat="1">
      <c r="A83" s="325" t="s">
        <v>526</v>
      </c>
      <c r="B83" s="325" t="s">
        <v>517</v>
      </c>
      <c r="C83" s="325" t="s">
        <v>555</v>
      </c>
      <c r="D83" s="325" t="s">
        <v>633</v>
      </c>
      <c r="E83" s="325" t="s">
        <v>930</v>
      </c>
      <c r="F83" s="325" t="s">
        <v>520</v>
      </c>
      <c r="G83" s="325"/>
      <c r="H83" s="326"/>
      <c r="I83" s="326"/>
      <c r="J83" s="326"/>
      <c r="K83" s="326"/>
      <c r="L83" s="326"/>
      <c r="M83" s="326"/>
      <c r="N83" s="326"/>
      <c r="O83" s="326"/>
      <c r="P83" s="326"/>
      <c r="Q83" s="326"/>
      <c r="R83" s="326"/>
      <c r="S83" s="326"/>
      <c r="T83" s="326"/>
      <c r="U83" s="326"/>
      <c r="V83" s="326"/>
      <c r="W83" s="326"/>
      <c r="X83" s="326"/>
      <c r="Y83" s="326"/>
      <c r="Z83" s="326"/>
      <c r="AA83" s="326"/>
      <c r="AB83" s="326"/>
      <c r="AC83" s="326"/>
      <c r="AD83" s="326"/>
      <c r="AE83" s="326"/>
      <c r="AF83" s="326"/>
      <c r="AG83" s="326"/>
      <c r="AH83" s="326"/>
      <c r="AI83" s="326"/>
      <c r="AJ83" s="326"/>
      <c r="AK83" s="326"/>
      <c r="AL83" s="326"/>
      <c r="AM83" s="326"/>
      <c r="AN83" s="326"/>
      <c r="AO83" s="326"/>
      <c r="AP83" s="326"/>
      <c r="AQ83" s="326"/>
      <c r="AR83" s="326"/>
      <c r="AS83" s="326"/>
      <c r="AT83" s="326"/>
      <c r="AU83" s="326"/>
      <c r="AV83" s="326"/>
      <c r="AW83" s="326"/>
      <c r="AX83" s="326"/>
      <c r="AY83" s="326"/>
      <c r="AZ83" s="326"/>
      <c r="BA83" s="326"/>
      <c r="BB83" s="326"/>
      <c r="BC83" s="326"/>
      <c r="BD83" s="326"/>
      <c r="BE83" s="326"/>
      <c r="BF83" s="326"/>
      <c r="BG83" s="326"/>
      <c r="BH83" s="326"/>
      <c r="BI83" s="326"/>
      <c r="BJ83" s="326"/>
      <c r="BK83" s="326"/>
      <c r="BL83" s="326"/>
      <c r="BM83" s="326"/>
      <c r="BN83" s="326"/>
      <c r="BO83" s="326"/>
      <c r="BP83" s="326"/>
      <c r="BQ83" s="326"/>
      <c r="BR83" s="326"/>
      <c r="BS83" s="326"/>
      <c r="BT83" s="326"/>
      <c r="BU83" s="326"/>
      <c r="BV83" s="326"/>
      <c r="BW83" s="326"/>
      <c r="BX83" s="326"/>
      <c r="BY83" s="326"/>
      <c r="BZ83" s="326"/>
      <c r="CA83" s="326"/>
      <c r="CB83" s="326"/>
      <c r="CC83" s="326"/>
      <c r="CD83" s="326"/>
      <c r="CE83" s="326"/>
      <c r="CF83" s="326"/>
      <c r="CG83" s="326"/>
      <c r="CH83" s="326"/>
      <c r="CI83" s="326"/>
      <c r="CJ83" s="326"/>
      <c r="CK83" s="326"/>
      <c r="CL83" s="326"/>
      <c r="CM83" s="326"/>
      <c r="CN83" s="326"/>
      <c r="CO83" s="326"/>
      <c r="CP83" s="326"/>
      <c r="CQ83" s="326"/>
      <c r="CR83" s="326"/>
      <c r="CS83" s="326"/>
      <c r="CT83" s="326"/>
      <c r="CU83" s="326"/>
      <c r="CV83" s="326"/>
      <c r="CW83" s="326"/>
      <c r="CX83" s="326"/>
      <c r="CY83" s="326"/>
      <c r="CZ83" s="326"/>
      <c r="DA83" s="326"/>
      <c r="DB83" s="326"/>
      <c r="DC83" s="326"/>
      <c r="DD83" s="326"/>
      <c r="DE83" s="326"/>
      <c r="DF83" s="326"/>
      <c r="DG83" s="326"/>
      <c r="DH83" s="326"/>
      <c r="DI83" s="326"/>
      <c r="DJ83" s="326"/>
      <c r="DK83" s="326"/>
      <c r="DL83" s="326"/>
      <c r="DM83" s="326"/>
      <c r="DN83" s="326"/>
      <c r="DO83" s="326"/>
      <c r="DP83" s="326"/>
      <c r="DQ83" s="326"/>
      <c r="DR83" s="326"/>
      <c r="DS83" s="326"/>
      <c r="DT83" s="326"/>
      <c r="DU83" s="326"/>
      <c r="DV83" s="326"/>
      <c r="DW83" s="326"/>
      <c r="DX83" s="326"/>
      <c r="DY83" s="330">
        <f>10-10+10</f>
        <v>10</v>
      </c>
      <c r="DZ83" s="326"/>
      <c r="EA83" s="330">
        <f>10-10</f>
        <v>0</v>
      </c>
      <c r="EB83" s="330">
        <f>10-10+10</f>
        <v>10</v>
      </c>
      <c r="EC83" s="326"/>
      <c r="ED83" s="330">
        <f>10-10</f>
        <v>0</v>
      </c>
      <c r="EE83" s="330">
        <f>10-10</f>
        <v>0</v>
      </c>
      <c r="EF83" s="330">
        <f>10-10</f>
        <v>0</v>
      </c>
      <c r="EG83" s="326"/>
      <c r="EH83" s="326"/>
      <c r="EI83" s="326"/>
      <c r="EJ83" s="326"/>
      <c r="EK83" s="326"/>
      <c r="EL83" s="330">
        <f>20-20</f>
        <v>0</v>
      </c>
      <c r="EM83" s="330">
        <f>20-20</f>
        <v>0</v>
      </c>
      <c r="EN83" s="330">
        <f>20-20</f>
        <v>0</v>
      </c>
      <c r="EO83" s="326"/>
      <c r="EP83" s="330">
        <f>20-20+20</f>
        <v>20</v>
      </c>
      <c r="EQ83" s="326"/>
      <c r="ER83" s="330">
        <f>20-20+20</f>
        <v>20</v>
      </c>
      <c r="ES83" s="326"/>
      <c r="ET83" s="326"/>
      <c r="EU83" s="330">
        <f>20-20</f>
        <v>0</v>
      </c>
      <c r="EV83" s="326"/>
      <c r="EW83" s="330">
        <f>20-20</f>
        <v>0</v>
      </c>
      <c r="EX83" s="330">
        <f>20-20</f>
        <v>0</v>
      </c>
      <c r="EY83" s="330">
        <f>20-20</f>
        <v>0</v>
      </c>
      <c r="EZ83" s="326"/>
      <c r="FA83" s="330">
        <f>20-20</f>
        <v>0</v>
      </c>
      <c r="FB83" s="330">
        <f>20-20</f>
        <v>0</v>
      </c>
      <c r="FC83" s="326"/>
      <c r="FD83" s="330">
        <f>20-20</f>
        <v>0</v>
      </c>
      <c r="FE83" s="330">
        <f>20-20</f>
        <v>0</v>
      </c>
      <c r="FF83" s="326"/>
      <c r="FG83" s="330">
        <f>20-20</f>
        <v>0</v>
      </c>
      <c r="FH83" s="330">
        <f>20-20+10</f>
        <v>10</v>
      </c>
      <c r="FI83" s="326"/>
      <c r="FJ83" s="326"/>
      <c r="FK83" s="326"/>
      <c r="FL83" s="326"/>
      <c r="FM83" s="326"/>
      <c r="FN83" s="326"/>
      <c r="FO83" s="326"/>
      <c r="FP83" s="326"/>
      <c r="FQ83" s="326"/>
      <c r="FR83" s="326"/>
      <c r="FS83" s="326"/>
      <c r="FT83" s="326"/>
      <c r="FU83" s="326"/>
      <c r="FV83" s="326"/>
      <c r="FW83" s="326"/>
      <c r="FX83" s="326"/>
      <c r="FY83" s="326"/>
      <c r="FZ83" s="326"/>
      <c r="GA83" s="326"/>
      <c r="GB83" s="326"/>
      <c r="GC83" s="326"/>
      <c r="GD83" s="327" t="s">
        <v>850</v>
      </c>
      <c r="GE83" s="325" t="s">
        <v>887</v>
      </c>
      <c r="GF83" s="325" t="s">
        <v>522</v>
      </c>
      <c r="GG83" s="325" t="s">
        <v>850</v>
      </c>
      <c r="GH83" s="325" t="s">
        <v>908</v>
      </c>
      <c r="GI83" s="328">
        <f t="shared" si="8"/>
        <v>70</v>
      </c>
      <c r="GJ83" s="329" t="s">
        <v>906</v>
      </c>
    </row>
    <row r="84" spans="1:192" s="329" customFormat="1">
      <c r="A84" s="325" t="s">
        <v>526</v>
      </c>
      <c r="B84" s="325" t="s">
        <v>517</v>
      </c>
      <c r="C84" s="325" t="s">
        <v>555</v>
      </c>
      <c r="D84" s="325" t="s">
        <v>3</v>
      </c>
      <c r="E84" s="325" t="s">
        <v>930</v>
      </c>
      <c r="F84" s="325" t="s">
        <v>520</v>
      </c>
      <c r="G84" s="325"/>
      <c r="H84" s="326"/>
      <c r="I84" s="326"/>
      <c r="J84" s="326"/>
      <c r="K84" s="326"/>
      <c r="L84" s="326"/>
      <c r="M84" s="326"/>
      <c r="N84" s="326"/>
      <c r="O84" s="326"/>
      <c r="P84" s="326"/>
      <c r="Q84" s="326"/>
      <c r="R84" s="326"/>
      <c r="S84" s="326"/>
      <c r="T84" s="326"/>
      <c r="U84" s="326"/>
      <c r="V84" s="326"/>
      <c r="W84" s="326"/>
      <c r="X84" s="326"/>
      <c r="Y84" s="326"/>
      <c r="Z84" s="326"/>
      <c r="AA84" s="326"/>
      <c r="AB84" s="326"/>
      <c r="AC84" s="326"/>
      <c r="AD84" s="326"/>
      <c r="AE84" s="326"/>
      <c r="AF84" s="326"/>
      <c r="AG84" s="326"/>
      <c r="AH84" s="326"/>
      <c r="AI84" s="326"/>
      <c r="AJ84" s="326"/>
      <c r="AK84" s="326"/>
      <c r="AL84" s="326"/>
      <c r="AM84" s="326"/>
      <c r="AN84" s="326"/>
      <c r="AO84" s="326"/>
      <c r="AP84" s="326"/>
      <c r="AQ84" s="326"/>
      <c r="AR84" s="326"/>
      <c r="AS84" s="326"/>
      <c r="AT84" s="326"/>
      <c r="AU84" s="326"/>
      <c r="AV84" s="326"/>
      <c r="AW84" s="326"/>
      <c r="AX84" s="326"/>
      <c r="AY84" s="326"/>
      <c r="AZ84" s="326"/>
      <c r="BA84" s="326"/>
      <c r="BB84" s="326"/>
      <c r="BC84" s="326"/>
      <c r="BD84" s="326"/>
      <c r="BE84" s="326"/>
      <c r="BF84" s="326"/>
      <c r="BG84" s="326"/>
      <c r="BH84" s="326"/>
      <c r="BI84" s="326"/>
      <c r="BJ84" s="326"/>
      <c r="BK84" s="326"/>
      <c r="BL84" s="326"/>
      <c r="BM84" s="326"/>
      <c r="BN84" s="326"/>
      <c r="BO84" s="326"/>
      <c r="BP84" s="326"/>
      <c r="BQ84" s="326"/>
      <c r="BR84" s="326"/>
      <c r="BS84" s="326"/>
      <c r="BT84" s="326"/>
      <c r="BU84" s="326"/>
      <c r="BV84" s="326"/>
      <c r="BW84" s="326"/>
      <c r="BX84" s="326"/>
      <c r="BY84" s="326"/>
      <c r="BZ84" s="326"/>
      <c r="CA84" s="326"/>
      <c r="CB84" s="326"/>
      <c r="CC84" s="326"/>
      <c r="CD84" s="326"/>
      <c r="CE84" s="326"/>
      <c r="CF84" s="326"/>
      <c r="CG84" s="326"/>
      <c r="CH84" s="326"/>
      <c r="CI84" s="326"/>
      <c r="CJ84" s="326"/>
      <c r="CK84" s="326"/>
      <c r="CL84" s="326"/>
      <c r="CM84" s="326"/>
      <c r="CN84" s="326"/>
      <c r="CO84" s="326"/>
      <c r="CP84" s="326"/>
      <c r="CQ84" s="326"/>
      <c r="CR84" s="326"/>
      <c r="CS84" s="326"/>
      <c r="CT84" s="326"/>
      <c r="CU84" s="326"/>
      <c r="CV84" s="326"/>
      <c r="CW84" s="326"/>
      <c r="CX84" s="326"/>
      <c r="CY84" s="326"/>
      <c r="CZ84" s="326"/>
      <c r="DA84" s="326"/>
      <c r="DB84" s="326"/>
      <c r="DC84" s="326"/>
      <c r="DD84" s="326"/>
      <c r="DE84" s="326"/>
      <c r="DF84" s="326"/>
      <c r="DG84" s="326"/>
      <c r="DH84" s="326"/>
      <c r="DI84" s="326"/>
      <c r="DJ84" s="326"/>
      <c r="DK84" s="326"/>
      <c r="DL84" s="326"/>
      <c r="DM84" s="326"/>
      <c r="DN84" s="326"/>
      <c r="DO84" s="326"/>
      <c r="DP84" s="326"/>
      <c r="DQ84" s="326"/>
      <c r="DR84" s="326"/>
      <c r="DS84" s="326"/>
      <c r="DT84" s="326"/>
      <c r="DU84" s="326"/>
      <c r="DV84" s="326"/>
      <c r="DW84" s="326"/>
      <c r="DX84" s="326"/>
      <c r="DY84" s="326"/>
      <c r="DZ84" s="326"/>
      <c r="EA84" s="326"/>
      <c r="EB84" s="326"/>
      <c r="EC84" s="326"/>
      <c r="ED84" s="326"/>
      <c r="EE84" s="326"/>
      <c r="EF84" s="326"/>
      <c r="EG84" s="326"/>
      <c r="EH84" s="326"/>
      <c r="EI84" s="326"/>
      <c r="EJ84" s="326"/>
      <c r="EK84" s="326"/>
      <c r="EL84" s="326"/>
      <c r="EM84" s="326"/>
      <c r="EN84" s="326"/>
      <c r="EO84" s="326"/>
      <c r="EP84" s="326"/>
      <c r="EQ84" s="326"/>
      <c r="ER84" s="326"/>
      <c r="ES84" s="326"/>
      <c r="ET84" s="326"/>
      <c r="EU84" s="326"/>
      <c r="EV84" s="326"/>
      <c r="EW84" s="326"/>
      <c r="EX84" s="326"/>
      <c r="EY84" s="326"/>
      <c r="EZ84" s="326"/>
      <c r="FA84" s="326"/>
      <c r="FB84" s="326"/>
      <c r="FC84" s="326"/>
      <c r="FD84" s="326"/>
      <c r="FE84" s="326"/>
      <c r="FF84" s="326"/>
      <c r="FG84" s="326"/>
      <c r="FH84" s="326"/>
      <c r="FI84" s="326"/>
      <c r="FJ84" s="326"/>
      <c r="FK84" s="326"/>
      <c r="FL84" s="326"/>
      <c r="FM84" s="326"/>
      <c r="FN84" s="326"/>
      <c r="FO84" s="326"/>
      <c r="FP84" s="326"/>
      <c r="FQ84" s="326"/>
      <c r="FR84" s="326"/>
      <c r="FS84" s="326"/>
      <c r="FT84" s="326"/>
      <c r="FU84" s="326"/>
      <c r="FV84" s="326"/>
      <c r="FW84" s="326"/>
      <c r="FX84" s="326"/>
      <c r="FY84" s="326"/>
      <c r="FZ84" s="326"/>
      <c r="GA84" s="326"/>
      <c r="GB84" s="326"/>
      <c r="GC84" s="326"/>
      <c r="GD84" s="327"/>
      <c r="GE84" s="325" t="s">
        <v>887</v>
      </c>
      <c r="GF84" s="325" t="s">
        <v>522</v>
      </c>
      <c r="GG84" s="325" t="s">
        <v>850</v>
      </c>
      <c r="GH84" s="325" t="s">
        <v>908</v>
      </c>
      <c r="GI84" s="328">
        <f t="shared" si="8"/>
        <v>0</v>
      </c>
      <c r="GJ84" s="329" t="s">
        <v>906</v>
      </c>
    </row>
    <row r="85" spans="1:192" s="329" customFormat="1">
      <c r="A85" s="325" t="s">
        <v>526</v>
      </c>
      <c r="B85" s="325" t="s">
        <v>517</v>
      </c>
      <c r="C85" s="325" t="s">
        <v>555</v>
      </c>
      <c r="D85" s="325" t="s">
        <v>636</v>
      </c>
      <c r="E85" s="325" t="s">
        <v>604</v>
      </c>
      <c r="F85" s="325" t="s">
        <v>520</v>
      </c>
      <c r="G85" s="325" t="s">
        <v>931</v>
      </c>
      <c r="H85" s="326"/>
      <c r="I85" s="326"/>
      <c r="J85" s="326"/>
      <c r="K85" s="326"/>
      <c r="L85" s="326"/>
      <c r="M85" s="326"/>
      <c r="N85" s="326"/>
      <c r="O85" s="326"/>
      <c r="P85" s="326"/>
      <c r="Q85" s="326"/>
      <c r="R85" s="326"/>
      <c r="S85" s="326"/>
      <c r="T85" s="326"/>
      <c r="U85" s="326"/>
      <c r="V85" s="326"/>
      <c r="W85" s="326"/>
      <c r="X85" s="326"/>
      <c r="Y85" s="326"/>
      <c r="Z85" s="326"/>
      <c r="AA85" s="326"/>
      <c r="AB85" s="326"/>
      <c r="AC85" s="326"/>
      <c r="AD85" s="326"/>
      <c r="AE85" s="326"/>
      <c r="AF85" s="326"/>
      <c r="AG85" s="326"/>
      <c r="AH85" s="326"/>
      <c r="AI85" s="326"/>
      <c r="AJ85" s="326"/>
      <c r="AK85" s="326"/>
      <c r="AL85" s="326"/>
      <c r="AM85" s="326"/>
      <c r="AN85" s="326"/>
      <c r="AO85" s="326"/>
      <c r="AP85" s="326"/>
      <c r="AQ85" s="326"/>
      <c r="AR85" s="326"/>
      <c r="AS85" s="326"/>
      <c r="AT85" s="32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6"/>
      <c r="BK85" s="326"/>
      <c r="BL85" s="326"/>
      <c r="BM85" s="326"/>
      <c r="BN85" s="326"/>
      <c r="BO85" s="326"/>
      <c r="BP85" s="326"/>
      <c r="BQ85" s="326"/>
      <c r="BR85" s="326"/>
      <c r="BS85" s="326"/>
      <c r="BT85" s="326"/>
      <c r="BU85" s="326"/>
      <c r="BV85" s="326"/>
      <c r="BW85" s="326"/>
      <c r="BX85" s="326"/>
      <c r="BY85" s="326"/>
      <c r="BZ85" s="326"/>
      <c r="CA85" s="326"/>
      <c r="CB85" s="326"/>
      <c r="CC85" s="326"/>
      <c r="CD85" s="326"/>
      <c r="CE85" s="326"/>
      <c r="CF85" s="326"/>
      <c r="CG85" s="326"/>
      <c r="CH85" s="326"/>
      <c r="CI85" s="326"/>
      <c r="CJ85" s="326"/>
      <c r="CK85" s="326"/>
      <c r="CL85" s="326"/>
      <c r="CM85" s="326"/>
      <c r="CN85" s="326"/>
      <c r="CO85" s="326"/>
      <c r="CP85" s="326"/>
      <c r="CQ85" s="326"/>
      <c r="CR85" s="326"/>
      <c r="CS85" s="326"/>
      <c r="CT85" s="326"/>
      <c r="CU85" s="326"/>
      <c r="CV85" s="326"/>
      <c r="CW85" s="326"/>
      <c r="CX85" s="326"/>
      <c r="CY85" s="326"/>
      <c r="CZ85" s="326"/>
      <c r="DA85" s="326"/>
      <c r="DB85" s="332">
        <v>5</v>
      </c>
      <c r="DC85" s="326"/>
      <c r="DD85" s="326"/>
      <c r="DE85" s="326"/>
      <c r="DF85" s="326"/>
      <c r="DG85" s="326"/>
      <c r="DH85" s="326"/>
      <c r="DI85" s="326"/>
      <c r="DJ85" s="326"/>
      <c r="DK85" s="326"/>
      <c r="DL85" s="326"/>
      <c r="DM85" s="326"/>
      <c r="DN85" s="326"/>
      <c r="DO85" s="326"/>
      <c r="DP85" s="326"/>
      <c r="DQ85" s="326"/>
      <c r="DR85" s="326"/>
      <c r="DS85" s="326"/>
      <c r="DT85" s="326"/>
      <c r="DU85" s="326"/>
      <c r="DV85" s="326"/>
      <c r="DW85" s="326"/>
      <c r="DX85" s="326"/>
      <c r="DY85" s="326"/>
      <c r="DZ85" s="326"/>
      <c r="EA85" s="326"/>
      <c r="EB85" s="326"/>
      <c r="EC85" s="326"/>
      <c r="ED85" s="326"/>
      <c r="EE85" s="326"/>
      <c r="EF85" s="326"/>
      <c r="EG85" s="326"/>
      <c r="EH85" s="326"/>
      <c r="EI85" s="326"/>
      <c r="EJ85" s="326"/>
      <c r="EK85" s="326"/>
      <c r="EL85" s="326"/>
      <c r="EM85" s="326"/>
      <c r="EN85" s="326"/>
      <c r="EO85" s="326"/>
      <c r="EP85" s="326"/>
      <c r="EQ85" s="326"/>
      <c r="ER85" s="326"/>
      <c r="ES85" s="326"/>
      <c r="ET85" s="326"/>
      <c r="EU85" s="326"/>
      <c r="EV85" s="326"/>
      <c r="EW85" s="326"/>
      <c r="EX85" s="326"/>
      <c r="EY85" s="326"/>
      <c r="EZ85" s="326"/>
      <c r="FA85" s="326"/>
      <c r="FB85" s="326"/>
      <c r="FC85" s="326"/>
      <c r="FD85" s="326"/>
      <c r="FE85" s="326"/>
      <c r="FF85" s="326"/>
      <c r="FG85" s="326"/>
      <c r="FH85" s="326"/>
      <c r="FI85" s="326"/>
      <c r="FJ85" s="326"/>
      <c r="FK85" s="326"/>
      <c r="FL85" s="326"/>
      <c r="FM85" s="326"/>
      <c r="FN85" s="326"/>
      <c r="FO85" s="326"/>
      <c r="FP85" s="326"/>
      <c r="FQ85" s="326"/>
      <c r="FR85" s="326"/>
      <c r="FS85" s="326"/>
      <c r="FT85" s="326"/>
      <c r="FU85" s="326"/>
      <c r="FV85" s="326"/>
      <c r="FW85" s="326"/>
      <c r="FX85" s="326"/>
      <c r="FY85" s="326"/>
      <c r="FZ85" s="326"/>
      <c r="GA85" s="326"/>
      <c r="GB85" s="326"/>
      <c r="GC85" s="326"/>
      <c r="GD85" s="327"/>
      <c r="GE85" s="325" t="s">
        <v>887</v>
      </c>
      <c r="GF85" s="325" t="s">
        <v>522</v>
      </c>
      <c r="GG85" s="325" t="s">
        <v>850</v>
      </c>
      <c r="GH85" s="325" t="s">
        <v>607</v>
      </c>
      <c r="GI85" s="328">
        <f t="shared" si="8"/>
        <v>5</v>
      </c>
      <c r="GJ85" s="329" t="s">
        <v>905</v>
      </c>
    </row>
    <row r="86" spans="1:192" s="329" customFormat="1">
      <c r="A86" s="325" t="s">
        <v>526</v>
      </c>
      <c r="B86" s="325" t="s">
        <v>517</v>
      </c>
      <c r="C86" s="325" t="s">
        <v>555</v>
      </c>
      <c r="D86" s="325" t="s">
        <v>633</v>
      </c>
      <c r="E86" s="325" t="s">
        <v>604</v>
      </c>
      <c r="F86" s="325" t="s">
        <v>520</v>
      </c>
      <c r="G86" s="325" t="s">
        <v>931</v>
      </c>
      <c r="H86" s="326"/>
      <c r="I86" s="326"/>
      <c r="J86" s="326"/>
      <c r="K86" s="326"/>
      <c r="L86" s="326"/>
      <c r="M86" s="326"/>
      <c r="N86" s="326"/>
      <c r="O86" s="326"/>
      <c r="P86" s="326"/>
      <c r="Q86" s="326"/>
      <c r="R86" s="326"/>
      <c r="S86" s="326"/>
      <c r="T86" s="326"/>
      <c r="U86" s="326"/>
      <c r="V86" s="326"/>
      <c r="W86" s="326"/>
      <c r="X86" s="326"/>
      <c r="Y86" s="326"/>
      <c r="Z86" s="326"/>
      <c r="AA86" s="326"/>
      <c r="AB86" s="326"/>
      <c r="AC86" s="326"/>
      <c r="AD86" s="326"/>
      <c r="AE86" s="326"/>
      <c r="AF86" s="326"/>
      <c r="AG86" s="326"/>
      <c r="AH86" s="326"/>
      <c r="AI86" s="326"/>
      <c r="AJ86" s="326"/>
      <c r="AK86" s="326"/>
      <c r="AL86" s="326"/>
      <c r="AM86" s="326"/>
      <c r="AN86" s="326"/>
      <c r="AO86" s="326"/>
      <c r="AP86" s="326"/>
      <c r="AQ86" s="326"/>
      <c r="AR86" s="326"/>
      <c r="AS86" s="326"/>
      <c r="AT86" s="326"/>
      <c r="AU86" s="326"/>
      <c r="AV86" s="326"/>
      <c r="AW86" s="326"/>
      <c r="AX86" s="326"/>
      <c r="AY86" s="326"/>
      <c r="AZ86" s="326"/>
      <c r="BA86" s="326"/>
      <c r="BB86" s="326"/>
      <c r="BC86" s="326"/>
      <c r="BD86" s="326"/>
      <c r="BE86" s="326"/>
      <c r="BF86" s="326"/>
      <c r="BG86" s="326"/>
      <c r="BH86" s="326"/>
      <c r="BI86" s="326"/>
      <c r="BJ86" s="326"/>
      <c r="BK86" s="326"/>
      <c r="BL86" s="326"/>
      <c r="BM86" s="326"/>
      <c r="BN86" s="326"/>
      <c r="BO86" s="326"/>
      <c r="BP86" s="330">
        <f>5-5+2</f>
        <v>2</v>
      </c>
      <c r="BQ86" s="326"/>
      <c r="BR86" s="330">
        <f>5-5</f>
        <v>0</v>
      </c>
      <c r="BS86" s="326"/>
      <c r="BT86" s="326"/>
      <c r="BU86" s="326"/>
      <c r="BV86" s="326"/>
      <c r="BW86" s="326"/>
      <c r="BX86" s="326"/>
      <c r="BY86" s="326"/>
      <c r="BZ86" s="326"/>
      <c r="CA86" s="326"/>
      <c r="CB86" s="326"/>
      <c r="CC86" s="326"/>
      <c r="CD86" s="326"/>
      <c r="CE86" s="326"/>
      <c r="CF86" s="330">
        <f>20-20+5</f>
        <v>5</v>
      </c>
      <c r="CG86" s="330">
        <f>20-20</f>
        <v>0</v>
      </c>
      <c r="CH86" s="330">
        <f>20-20</f>
        <v>0</v>
      </c>
      <c r="CI86" s="326"/>
      <c r="CJ86" s="326"/>
      <c r="CK86" s="326"/>
      <c r="CL86" s="326"/>
      <c r="CM86" s="330">
        <f>50-50+2</f>
        <v>2</v>
      </c>
      <c r="CN86" s="330">
        <f>50-50</f>
        <v>0</v>
      </c>
      <c r="CO86" s="330">
        <f>30-30</f>
        <v>0</v>
      </c>
      <c r="CP86" s="330">
        <f>50-50</f>
        <v>0</v>
      </c>
      <c r="CQ86" s="326"/>
      <c r="CR86" s="330">
        <f>50-50+5</f>
        <v>5</v>
      </c>
      <c r="CS86" s="330">
        <f>30-30+1</f>
        <v>1</v>
      </c>
      <c r="CT86" s="330">
        <f>50-50</f>
        <v>0</v>
      </c>
      <c r="CU86" s="326"/>
      <c r="CV86" s="326"/>
      <c r="CW86" s="326"/>
      <c r="CX86" s="326"/>
      <c r="CY86" s="326"/>
      <c r="CZ86" s="330">
        <f>50-50+10</f>
        <v>10</v>
      </c>
      <c r="DA86" s="330">
        <f>50-50+2</f>
        <v>2</v>
      </c>
      <c r="DB86" s="330">
        <f>100-100</f>
        <v>0</v>
      </c>
      <c r="DC86" s="326"/>
      <c r="DD86" s="326"/>
      <c r="DE86" s="326"/>
      <c r="DF86" s="326"/>
      <c r="DG86" s="326"/>
      <c r="DH86" s="326"/>
      <c r="DI86" s="326"/>
      <c r="DJ86" s="330">
        <f>50-50+2</f>
        <v>2</v>
      </c>
      <c r="DK86" s="330">
        <f>50-50</f>
        <v>0</v>
      </c>
      <c r="DL86" s="330">
        <f>50-50+2</f>
        <v>2</v>
      </c>
      <c r="DM86" s="326"/>
      <c r="DN86" s="326"/>
      <c r="DO86" s="326"/>
      <c r="DP86" s="330">
        <f>50-50</f>
        <v>0</v>
      </c>
      <c r="DQ86" s="326"/>
      <c r="DR86" s="330">
        <f>50-50</f>
        <v>0</v>
      </c>
      <c r="DS86" s="326"/>
      <c r="DT86" s="326"/>
      <c r="DU86" s="326"/>
      <c r="DV86" s="326"/>
      <c r="DW86" s="326"/>
      <c r="DX86" s="326"/>
      <c r="DY86" s="326"/>
      <c r="DZ86" s="326"/>
      <c r="EA86" s="326"/>
      <c r="EB86" s="326"/>
      <c r="EC86" s="326"/>
      <c r="ED86" s="330">
        <f>100-100</f>
        <v>0</v>
      </c>
      <c r="EE86" s="326"/>
      <c r="EF86" s="330">
        <f>100-100</f>
        <v>0</v>
      </c>
      <c r="EG86" s="326"/>
      <c r="EH86" s="326"/>
      <c r="EI86" s="326"/>
      <c r="EJ86" s="326"/>
      <c r="EK86" s="326"/>
      <c r="EL86" s="330">
        <f>100-100</f>
        <v>0</v>
      </c>
      <c r="EM86" s="326"/>
      <c r="EN86" s="326"/>
      <c r="EO86" s="326"/>
      <c r="EP86" s="330">
        <f>50-50+20</f>
        <v>20</v>
      </c>
      <c r="EQ86" s="326"/>
      <c r="ER86" s="326"/>
      <c r="ES86" s="326"/>
      <c r="ET86" s="326"/>
      <c r="EU86" s="326"/>
      <c r="EV86" s="326"/>
      <c r="EW86" s="326"/>
      <c r="EX86" s="326"/>
      <c r="EY86" s="326"/>
      <c r="EZ86" s="326"/>
      <c r="FA86" s="326"/>
      <c r="FB86" s="326"/>
      <c r="FC86" s="326"/>
      <c r="FD86" s="326"/>
      <c r="FE86" s="326"/>
      <c r="FF86" s="326"/>
      <c r="FG86" s="330">
        <f>50-50</f>
        <v>0</v>
      </c>
      <c r="FH86" s="326"/>
      <c r="FI86" s="326"/>
      <c r="FJ86" s="326"/>
      <c r="FK86" s="326"/>
      <c r="FL86" s="326"/>
      <c r="FM86" s="326"/>
      <c r="FN86" s="326"/>
      <c r="FO86" s="326"/>
      <c r="FP86" s="326"/>
      <c r="FQ86" s="326"/>
      <c r="FR86" s="326"/>
      <c r="FS86" s="326"/>
      <c r="FT86" s="326"/>
      <c r="FU86" s="326"/>
      <c r="FV86" s="326"/>
      <c r="FW86" s="326"/>
      <c r="FX86" s="326"/>
      <c r="FY86" s="326"/>
      <c r="FZ86" s="326"/>
      <c r="GA86" s="326"/>
      <c r="GB86" s="326"/>
      <c r="GC86" s="326"/>
      <c r="GD86" s="327" t="s">
        <v>850</v>
      </c>
      <c r="GE86" s="325" t="s">
        <v>887</v>
      </c>
      <c r="GF86" s="325" t="s">
        <v>522</v>
      </c>
      <c r="GG86" s="325" t="s">
        <v>850</v>
      </c>
      <c r="GH86" s="325" t="s">
        <v>607</v>
      </c>
      <c r="GI86" s="328">
        <f t="shared" si="8"/>
        <v>51</v>
      </c>
      <c r="GJ86" s="329" t="s">
        <v>905</v>
      </c>
    </row>
    <row r="87" spans="1:192" s="329" customFormat="1">
      <c r="A87" s="325" t="s">
        <v>526</v>
      </c>
      <c r="B87" s="325" t="s">
        <v>517</v>
      </c>
      <c r="C87" s="325" t="s">
        <v>555</v>
      </c>
      <c r="D87" s="325" t="s">
        <v>3</v>
      </c>
      <c r="E87" s="325" t="s">
        <v>604</v>
      </c>
      <c r="F87" s="325" t="s">
        <v>520</v>
      </c>
      <c r="G87" s="325"/>
      <c r="H87" s="326"/>
      <c r="I87" s="326"/>
      <c r="J87" s="326"/>
      <c r="K87" s="326"/>
      <c r="L87" s="326"/>
      <c r="M87" s="326"/>
      <c r="N87" s="326"/>
      <c r="O87" s="326"/>
      <c r="P87" s="326"/>
      <c r="Q87" s="326"/>
      <c r="R87" s="326"/>
      <c r="S87" s="326"/>
      <c r="T87" s="326"/>
      <c r="U87" s="326"/>
      <c r="V87" s="326"/>
      <c r="W87" s="326"/>
      <c r="X87" s="326"/>
      <c r="Y87" s="326"/>
      <c r="Z87" s="326"/>
      <c r="AA87" s="326"/>
      <c r="AB87" s="326"/>
      <c r="AC87" s="326"/>
      <c r="AD87" s="326"/>
      <c r="AE87" s="326"/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26"/>
      <c r="AS87" s="326"/>
      <c r="AT87" s="326"/>
      <c r="AU87" s="326"/>
      <c r="AV87" s="326"/>
      <c r="AW87" s="326"/>
      <c r="AX87" s="326"/>
      <c r="AY87" s="326"/>
      <c r="AZ87" s="326"/>
      <c r="BA87" s="326"/>
      <c r="BB87" s="326"/>
      <c r="BC87" s="326"/>
      <c r="BD87" s="326"/>
      <c r="BE87" s="326"/>
      <c r="BF87" s="326"/>
      <c r="BG87" s="326"/>
      <c r="BH87" s="326"/>
      <c r="BI87" s="326"/>
      <c r="BJ87" s="326"/>
      <c r="BK87" s="326"/>
      <c r="BL87" s="326"/>
      <c r="BM87" s="326"/>
      <c r="BN87" s="326"/>
      <c r="BO87" s="326"/>
      <c r="BP87" s="326"/>
      <c r="BQ87" s="326"/>
      <c r="BR87" s="326"/>
      <c r="BS87" s="326"/>
      <c r="BT87" s="326"/>
      <c r="BU87" s="326"/>
      <c r="BV87" s="326"/>
      <c r="BW87" s="326"/>
      <c r="BX87" s="326"/>
      <c r="BY87" s="326"/>
      <c r="BZ87" s="326"/>
      <c r="CA87" s="326"/>
      <c r="CB87" s="326"/>
      <c r="CC87" s="326"/>
      <c r="CD87" s="326"/>
      <c r="CE87" s="326"/>
      <c r="CF87" s="326"/>
      <c r="CG87" s="326"/>
      <c r="CH87" s="326"/>
      <c r="CI87" s="326"/>
      <c r="CJ87" s="326"/>
      <c r="CK87" s="326"/>
      <c r="CL87" s="326"/>
      <c r="CM87" s="326"/>
      <c r="CN87" s="326"/>
      <c r="CO87" s="326"/>
      <c r="CP87" s="326"/>
      <c r="CQ87" s="326"/>
      <c r="CR87" s="326"/>
      <c r="CS87" s="326"/>
      <c r="CT87" s="326"/>
      <c r="CU87" s="326"/>
      <c r="CV87" s="326"/>
      <c r="CW87" s="326"/>
      <c r="CX87" s="326"/>
      <c r="CY87" s="326"/>
      <c r="CZ87" s="326"/>
      <c r="DA87" s="326"/>
      <c r="DB87" s="326"/>
      <c r="DC87" s="326"/>
      <c r="DD87" s="326"/>
      <c r="DE87" s="326"/>
      <c r="DF87" s="326"/>
      <c r="DG87" s="326"/>
      <c r="DH87" s="326"/>
      <c r="DI87" s="326"/>
      <c r="DJ87" s="326"/>
      <c r="DK87" s="326"/>
      <c r="DL87" s="326"/>
      <c r="DM87" s="326"/>
      <c r="DN87" s="326"/>
      <c r="DO87" s="326"/>
      <c r="DP87" s="326"/>
      <c r="DQ87" s="326"/>
      <c r="DR87" s="326"/>
      <c r="DS87" s="326"/>
      <c r="DT87" s="326"/>
      <c r="DU87" s="326"/>
      <c r="DV87" s="326"/>
      <c r="DW87" s="326"/>
      <c r="DX87" s="326"/>
      <c r="DY87" s="326"/>
      <c r="DZ87" s="326"/>
      <c r="EA87" s="326"/>
      <c r="EB87" s="326"/>
      <c r="EC87" s="326"/>
      <c r="ED87" s="326"/>
      <c r="EE87" s="326"/>
      <c r="EF87" s="326"/>
      <c r="EG87" s="326"/>
      <c r="EH87" s="326"/>
      <c r="EI87" s="326"/>
      <c r="EJ87" s="326"/>
      <c r="EK87" s="326"/>
      <c r="EL87" s="326"/>
      <c r="EM87" s="326"/>
      <c r="EN87" s="326"/>
      <c r="EO87" s="326"/>
      <c r="EP87" s="326"/>
      <c r="EQ87" s="326"/>
      <c r="ER87" s="326"/>
      <c r="ES87" s="326"/>
      <c r="ET87" s="326"/>
      <c r="EU87" s="326"/>
      <c r="EV87" s="326"/>
      <c r="EW87" s="326"/>
      <c r="EX87" s="326"/>
      <c r="EY87" s="326"/>
      <c r="EZ87" s="326"/>
      <c r="FA87" s="326"/>
      <c r="FB87" s="326"/>
      <c r="FC87" s="326"/>
      <c r="FD87" s="326"/>
      <c r="FE87" s="326"/>
      <c r="FF87" s="326"/>
      <c r="FG87" s="326"/>
      <c r="FH87" s="326"/>
      <c r="FI87" s="326"/>
      <c r="FJ87" s="326"/>
      <c r="FK87" s="326"/>
      <c r="FL87" s="326"/>
      <c r="FM87" s="326"/>
      <c r="FN87" s="326"/>
      <c r="FO87" s="326"/>
      <c r="FP87" s="326"/>
      <c r="FQ87" s="326"/>
      <c r="FR87" s="326"/>
      <c r="FS87" s="326"/>
      <c r="FT87" s="326"/>
      <c r="FU87" s="326"/>
      <c r="FV87" s="326"/>
      <c r="FW87" s="326"/>
      <c r="FX87" s="326"/>
      <c r="FY87" s="326"/>
      <c r="FZ87" s="326"/>
      <c r="GA87" s="326"/>
      <c r="GB87" s="326"/>
      <c r="GC87" s="326"/>
      <c r="GD87" s="327"/>
      <c r="GE87" s="325" t="s">
        <v>887</v>
      </c>
      <c r="GF87" s="325" t="s">
        <v>522</v>
      </c>
      <c r="GG87" s="325" t="s">
        <v>850</v>
      </c>
      <c r="GH87" s="325" t="s">
        <v>607</v>
      </c>
      <c r="GI87" s="328">
        <f t="shared" si="8"/>
        <v>0</v>
      </c>
      <c r="GJ87" s="329" t="s">
        <v>905</v>
      </c>
    </row>
    <row r="88" spans="1:192" s="329" customFormat="1">
      <c r="A88" s="325" t="s">
        <v>526</v>
      </c>
      <c r="B88" s="325" t="s">
        <v>517</v>
      </c>
      <c r="C88" s="325" t="s">
        <v>555</v>
      </c>
      <c r="D88" s="325" t="s">
        <v>636</v>
      </c>
      <c r="E88" s="325" t="s">
        <v>608</v>
      </c>
      <c r="F88" s="325" t="s">
        <v>520</v>
      </c>
      <c r="G88" s="325"/>
      <c r="H88" s="326"/>
      <c r="I88" s="326"/>
      <c r="J88" s="326"/>
      <c r="K88" s="326"/>
      <c r="L88" s="326"/>
      <c r="M88" s="326"/>
      <c r="N88" s="326"/>
      <c r="O88" s="326"/>
      <c r="P88" s="326"/>
      <c r="Q88" s="326"/>
      <c r="R88" s="326"/>
      <c r="S88" s="326"/>
      <c r="T88" s="326"/>
      <c r="U88" s="326"/>
      <c r="V88" s="326"/>
      <c r="W88" s="326"/>
      <c r="X88" s="326"/>
      <c r="Y88" s="326"/>
      <c r="Z88" s="326"/>
      <c r="AA88" s="326"/>
      <c r="AB88" s="326"/>
      <c r="AC88" s="326"/>
      <c r="AD88" s="326"/>
      <c r="AE88" s="326"/>
      <c r="AF88" s="326"/>
      <c r="AG88" s="326"/>
      <c r="AH88" s="326"/>
      <c r="AI88" s="326"/>
      <c r="AJ88" s="326"/>
      <c r="AK88" s="326"/>
      <c r="AL88" s="326"/>
      <c r="AM88" s="326"/>
      <c r="AN88" s="326"/>
      <c r="AO88" s="326"/>
      <c r="AP88" s="326"/>
      <c r="AQ88" s="326"/>
      <c r="AR88" s="326"/>
      <c r="AS88" s="326"/>
      <c r="AT88" s="326"/>
      <c r="AU88" s="326"/>
      <c r="AV88" s="32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/>
      <c r="BK88" s="326"/>
      <c r="BL88" s="326"/>
      <c r="BM88" s="326"/>
      <c r="BN88" s="326"/>
      <c r="BO88" s="326"/>
      <c r="BP88" s="326"/>
      <c r="BQ88" s="326"/>
      <c r="BR88" s="326"/>
      <c r="BS88" s="326"/>
      <c r="BT88" s="326"/>
      <c r="BU88" s="326"/>
      <c r="BV88" s="326"/>
      <c r="BW88" s="326"/>
      <c r="BX88" s="326"/>
      <c r="BY88" s="326"/>
      <c r="BZ88" s="326"/>
      <c r="CA88" s="326"/>
      <c r="CB88" s="326"/>
      <c r="CC88" s="326"/>
      <c r="CD88" s="326"/>
      <c r="CE88" s="326"/>
      <c r="CF88" s="326"/>
      <c r="CG88" s="326"/>
      <c r="CH88" s="326"/>
      <c r="CI88" s="326"/>
      <c r="CJ88" s="326"/>
      <c r="CK88" s="326"/>
      <c r="CL88" s="326"/>
      <c r="CM88" s="326"/>
      <c r="CN88" s="326"/>
      <c r="CO88" s="326"/>
      <c r="CP88" s="326"/>
      <c r="CQ88" s="326"/>
      <c r="CR88" s="326"/>
      <c r="CS88" s="326"/>
      <c r="CT88" s="326"/>
      <c r="CU88" s="326"/>
      <c r="CV88" s="326"/>
      <c r="CW88" s="326"/>
      <c r="CX88" s="326"/>
      <c r="CY88" s="326"/>
      <c r="CZ88" s="326"/>
      <c r="DA88" s="326"/>
      <c r="DB88" s="332">
        <v>10</v>
      </c>
      <c r="DC88" s="326"/>
      <c r="DD88" s="326"/>
      <c r="DE88" s="326"/>
      <c r="DF88" s="326"/>
      <c r="DG88" s="326"/>
      <c r="DH88" s="326"/>
      <c r="DI88" s="326"/>
      <c r="DJ88" s="326"/>
      <c r="DK88" s="326"/>
      <c r="DL88" s="326"/>
      <c r="DM88" s="326"/>
      <c r="DN88" s="326"/>
      <c r="DO88" s="326"/>
      <c r="DP88" s="326"/>
      <c r="DQ88" s="326"/>
      <c r="DR88" s="326"/>
      <c r="DS88" s="326"/>
      <c r="DT88" s="326"/>
      <c r="DU88" s="326"/>
      <c r="DV88" s="326"/>
      <c r="DW88" s="326"/>
      <c r="DX88" s="326"/>
      <c r="DY88" s="326"/>
      <c r="DZ88" s="326"/>
      <c r="EA88" s="326"/>
      <c r="EB88" s="326"/>
      <c r="EC88" s="326"/>
      <c r="ED88" s="326"/>
      <c r="EE88" s="326"/>
      <c r="EF88" s="326"/>
      <c r="EG88" s="326"/>
      <c r="EH88" s="326"/>
      <c r="EI88" s="332">
        <v>40</v>
      </c>
      <c r="EJ88" s="326"/>
      <c r="EK88" s="326"/>
      <c r="EL88" s="326"/>
      <c r="EM88" s="326"/>
      <c r="EN88" s="326"/>
      <c r="EO88" s="326"/>
      <c r="EP88" s="326"/>
      <c r="EQ88" s="326"/>
      <c r="ER88" s="326"/>
      <c r="ES88" s="326"/>
      <c r="ET88" s="326"/>
      <c r="EU88" s="326"/>
      <c r="EV88" s="326"/>
      <c r="EW88" s="332">
        <v>10</v>
      </c>
      <c r="EX88" s="326"/>
      <c r="EY88" s="326"/>
      <c r="EZ88" s="326"/>
      <c r="FA88" s="326"/>
      <c r="FB88" s="326"/>
      <c r="FC88" s="326"/>
      <c r="FD88" s="326"/>
      <c r="FE88" s="326"/>
      <c r="FF88" s="326"/>
      <c r="FG88" s="326"/>
      <c r="FH88" s="326"/>
      <c r="FI88" s="326"/>
      <c r="FJ88" s="326"/>
      <c r="FK88" s="326"/>
      <c r="FL88" s="332">
        <f>20</f>
        <v>20</v>
      </c>
      <c r="FM88" s="326"/>
      <c r="FN88" s="326"/>
      <c r="FO88" s="326"/>
      <c r="FP88" s="326"/>
      <c r="FQ88" s="326"/>
      <c r="FR88" s="326"/>
      <c r="FS88" s="326"/>
      <c r="FT88" s="326"/>
      <c r="FU88" s="326"/>
      <c r="FV88" s="326"/>
      <c r="FW88" s="326"/>
      <c r="FX88" s="326"/>
      <c r="FY88" s="326"/>
      <c r="FZ88" s="326"/>
      <c r="GA88" s="326"/>
      <c r="GB88" s="326"/>
      <c r="GC88" s="326"/>
      <c r="GD88" s="327"/>
      <c r="GE88" s="325" t="s">
        <v>887</v>
      </c>
      <c r="GF88" s="325" t="s">
        <v>522</v>
      </c>
      <c r="GG88" s="325" t="s">
        <v>850</v>
      </c>
      <c r="GH88" s="325" t="s">
        <v>565</v>
      </c>
      <c r="GI88" s="328">
        <f t="shared" si="8"/>
        <v>80</v>
      </c>
      <c r="GJ88" s="329" t="s">
        <v>906</v>
      </c>
    </row>
    <row r="89" spans="1:192" s="329" customFormat="1">
      <c r="A89" s="325" t="s">
        <v>526</v>
      </c>
      <c r="B89" s="325" t="s">
        <v>517</v>
      </c>
      <c r="C89" s="325" t="s">
        <v>555</v>
      </c>
      <c r="D89" s="325" t="s">
        <v>633</v>
      </c>
      <c r="E89" s="325" t="s">
        <v>608</v>
      </c>
      <c r="F89" s="325" t="s">
        <v>520</v>
      </c>
      <c r="G89" s="325"/>
      <c r="H89" s="326"/>
      <c r="I89" s="326"/>
      <c r="J89" s="330">
        <f>1-1</f>
        <v>0</v>
      </c>
      <c r="K89" s="330">
        <f>1-1</f>
        <v>0</v>
      </c>
      <c r="L89" s="326"/>
      <c r="M89" s="326"/>
      <c r="N89" s="326"/>
      <c r="O89" s="330">
        <f>5-5</f>
        <v>0</v>
      </c>
      <c r="P89" s="326"/>
      <c r="Q89" s="326"/>
      <c r="R89" s="326"/>
      <c r="S89" s="330">
        <f>5-5</f>
        <v>0</v>
      </c>
      <c r="T89" s="330">
        <f>5-5</f>
        <v>0</v>
      </c>
      <c r="U89" s="326"/>
      <c r="V89" s="326"/>
      <c r="W89" s="326"/>
      <c r="X89" s="330">
        <f>30-30+5</f>
        <v>5</v>
      </c>
      <c r="Y89" s="330">
        <f>60-60+5</f>
        <v>5</v>
      </c>
      <c r="Z89" s="326"/>
      <c r="AA89" s="330">
        <f>40-40</f>
        <v>0</v>
      </c>
      <c r="AB89" s="330">
        <f>10-10+10</f>
        <v>10</v>
      </c>
      <c r="AC89" s="330">
        <f>10-10+5</f>
        <v>5</v>
      </c>
      <c r="AD89" s="330">
        <f>10-10+2</f>
        <v>2</v>
      </c>
      <c r="AE89" s="326"/>
      <c r="AF89" s="330">
        <f>100-100</f>
        <v>0</v>
      </c>
      <c r="AG89" s="330">
        <f>100-100</f>
        <v>0</v>
      </c>
      <c r="AH89" s="330">
        <f>100-100</f>
        <v>0</v>
      </c>
      <c r="AI89" s="330">
        <f>100-100</f>
        <v>0</v>
      </c>
      <c r="AJ89" s="326"/>
      <c r="AK89" s="330">
        <f>30-30</f>
        <v>0</v>
      </c>
      <c r="AL89" s="330">
        <f>30-30</f>
        <v>0</v>
      </c>
      <c r="AM89" s="330">
        <f>30-30</f>
        <v>0</v>
      </c>
      <c r="AN89" s="330">
        <f>20-20</f>
        <v>0</v>
      </c>
      <c r="AO89" s="330">
        <f>20-20</f>
        <v>0</v>
      </c>
      <c r="AP89" s="330">
        <f>10-10</f>
        <v>0</v>
      </c>
      <c r="AQ89" s="330">
        <f>10-10</f>
        <v>0</v>
      </c>
      <c r="AR89" s="330">
        <f>10-10</f>
        <v>0</v>
      </c>
      <c r="AS89" s="330">
        <f>100-100</f>
        <v>0</v>
      </c>
      <c r="AT89" s="330">
        <f>20-20</f>
        <v>0</v>
      </c>
      <c r="AU89" s="326"/>
      <c r="AV89" s="326"/>
      <c r="AW89" s="326"/>
      <c r="AX89" s="330">
        <f>6-6</f>
        <v>0</v>
      </c>
      <c r="AY89" s="330">
        <f>2-2</f>
        <v>0</v>
      </c>
      <c r="AZ89" s="330">
        <f>20-20+10</f>
        <v>10</v>
      </c>
      <c r="BA89" s="330">
        <f>20-20</f>
        <v>0</v>
      </c>
      <c r="BB89" s="326"/>
      <c r="BC89" s="330">
        <f>30-30+8</f>
        <v>8</v>
      </c>
      <c r="BD89" s="330">
        <f>20-20</f>
        <v>0</v>
      </c>
      <c r="BE89" s="330">
        <f>10-10</f>
        <v>0</v>
      </c>
      <c r="BF89" s="330">
        <f>10-10</f>
        <v>0</v>
      </c>
      <c r="BG89" s="326"/>
      <c r="BH89" s="326"/>
      <c r="BI89" s="326"/>
      <c r="BJ89" s="326"/>
      <c r="BK89" s="326"/>
      <c r="BL89" s="330">
        <f>6-6+2</f>
        <v>2</v>
      </c>
      <c r="BM89" s="330">
        <f>2-2</f>
        <v>0</v>
      </c>
      <c r="BN89" s="330">
        <f>10-10</f>
        <v>0</v>
      </c>
      <c r="BO89" s="330">
        <f>10-10</f>
        <v>0</v>
      </c>
      <c r="BP89" s="330">
        <f>20-20+3</f>
        <v>3</v>
      </c>
      <c r="BQ89" s="330">
        <f>10-10+2</f>
        <v>2</v>
      </c>
      <c r="BR89" s="330">
        <f>10-10</f>
        <v>0</v>
      </c>
      <c r="BS89" s="330">
        <f>10-10+1</f>
        <v>1</v>
      </c>
      <c r="BT89" s="331">
        <f>1-1+1</f>
        <v>1</v>
      </c>
      <c r="BU89" s="326"/>
      <c r="BV89" s="326"/>
      <c r="BW89" s="326"/>
      <c r="BX89" s="326"/>
      <c r="BY89" s="330">
        <f>4-4+2</f>
        <v>2</v>
      </c>
      <c r="BZ89" s="326"/>
      <c r="CA89" s="330">
        <f>2-2+1</f>
        <v>1</v>
      </c>
      <c r="CB89" s="330">
        <f>100-100+2</f>
        <v>2</v>
      </c>
      <c r="CC89" s="330">
        <f>100-100</f>
        <v>0</v>
      </c>
      <c r="CD89" s="326"/>
      <c r="CE89" s="326"/>
      <c r="CF89" s="330">
        <f>100-100+2</f>
        <v>2</v>
      </c>
      <c r="CG89" s="330">
        <f>100-100</f>
        <v>0</v>
      </c>
      <c r="CH89" s="330">
        <f>100-100</f>
        <v>0</v>
      </c>
      <c r="CI89" s="330">
        <f>100-100</f>
        <v>0</v>
      </c>
      <c r="CJ89" s="326"/>
      <c r="CK89" s="330">
        <f>100-100</f>
        <v>0</v>
      </c>
      <c r="CL89" s="330">
        <f>20-20+1</f>
        <v>1</v>
      </c>
      <c r="CM89" s="330">
        <f>30-30+1</f>
        <v>1</v>
      </c>
      <c r="CN89" s="330">
        <f>20-20</f>
        <v>0</v>
      </c>
      <c r="CO89" s="330">
        <f>20-20</f>
        <v>0</v>
      </c>
      <c r="CP89" s="330">
        <f>30-30</f>
        <v>0</v>
      </c>
      <c r="CQ89" s="330">
        <f>100-100+2</f>
        <v>2</v>
      </c>
      <c r="CR89" s="330">
        <f>300-300+5</f>
        <v>5</v>
      </c>
      <c r="CS89" s="330">
        <f>100-100+1</f>
        <v>1</v>
      </c>
      <c r="CT89" s="330">
        <f>200-200</f>
        <v>0</v>
      </c>
      <c r="CU89" s="330">
        <f>200-200</f>
        <v>0</v>
      </c>
      <c r="CV89" s="326"/>
      <c r="CW89" s="330">
        <f t="shared" ref="CW89" si="15">100-100</f>
        <v>0</v>
      </c>
      <c r="CX89" s="330">
        <f>100-100+10</f>
        <v>10</v>
      </c>
      <c r="CY89" s="330">
        <f>100-100+20</f>
        <v>20</v>
      </c>
      <c r="CZ89" s="330">
        <f>100-100+10</f>
        <v>10</v>
      </c>
      <c r="DA89" s="330">
        <f>100-100+5</f>
        <v>5</v>
      </c>
      <c r="DB89" s="330">
        <f>100-100</f>
        <v>0</v>
      </c>
      <c r="DC89" s="326"/>
      <c r="DD89" s="326"/>
      <c r="DE89" s="330">
        <f>100-100</f>
        <v>0</v>
      </c>
      <c r="DF89" s="326"/>
      <c r="DG89" s="330">
        <f>100-100+5</f>
        <v>5</v>
      </c>
      <c r="DH89" s="326"/>
      <c r="DI89" s="330">
        <f>100-100</f>
        <v>0</v>
      </c>
      <c r="DJ89" s="330">
        <f>100-100+5</f>
        <v>5</v>
      </c>
      <c r="DK89" s="330">
        <f>100-100</f>
        <v>0</v>
      </c>
      <c r="DL89" s="330">
        <f>100-100+2</f>
        <v>2</v>
      </c>
      <c r="DM89" s="330">
        <f>100-100</f>
        <v>0</v>
      </c>
      <c r="DN89" s="326"/>
      <c r="DO89" s="330">
        <f>50-50</f>
        <v>0</v>
      </c>
      <c r="DP89" s="330">
        <f>50-50</f>
        <v>0</v>
      </c>
      <c r="DQ89" s="330">
        <f>50-50</f>
        <v>0</v>
      </c>
      <c r="DR89" s="330">
        <f>200-200</f>
        <v>0</v>
      </c>
      <c r="DS89" s="330">
        <f>40-40</f>
        <v>0</v>
      </c>
      <c r="DT89" s="326"/>
      <c r="DU89" s="326"/>
      <c r="DV89" s="326"/>
      <c r="DW89" s="326"/>
      <c r="DX89" s="330">
        <f>20-20</f>
        <v>0</v>
      </c>
      <c r="DY89" s="330">
        <f>100-100+20</f>
        <v>20</v>
      </c>
      <c r="DZ89" s="330">
        <f>10-10</f>
        <v>0</v>
      </c>
      <c r="EA89" s="330">
        <f>100-100</f>
        <v>0</v>
      </c>
      <c r="EB89" s="326"/>
      <c r="EC89" s="330">
        <f>10-10</f>
        <v>0</v>
      </c>
      <c r="ED89" s="330">
        <f>500-500</f>
        <v>0</v>
      </c>
      <c r="EE89" s="330">
        <f>300-300</f>
        <v>0</v>
      </c>
      <c r="EF89" s="330">
        <f>300-300</f>
        <v>0</v>
      </c>
      <c r="EG89" s="326"/>
      <c r="EH89" s="330">
        <f>200-200</f>
        <v>0</v>
      </c>
      <c r="EI89" s="330">
        <f>200-200</f>
        <v>0</v>
      </c>
      <c r="EJ89" s="330">
        <f>30-30</f>
        <v>0</v>
      </c>
      <c r="EK89" s="330">
        <f>100-100</f>
        <v>0</v>
      </c>
      <c r="EL89" s="330">
        <f>100-100</f>
        <v>0</v>
      </c>
      <c r="EM89" s="330">
        <f>100-100</f>
        <v>0</v>
      </c>
      <c r="EN89" s="330">
        <f>100-100</f>
        <v>0</v>
      </c>
      <c r="EO89" s="330">
        <f>40-40</f>
        <v>0</v>
      </c>
      <c r="EP89" s="330">
        <f>40-40+20</f>
        <v>20</v>
      </c>
      <c r="EQ89" s="326"/>
      <c r="ER89" s="330">
        <f>40-40+40</f>
        <v>40</v>
      </c>
      <c r="ES89" s="330">
        <f>40-40</f>
        <v>0</v>
      </c>
      <c r="ET89" s="326"/>
      <c r="EU89" s="330">
        <f>40-40</f>
        <v>0</v>
      </c>
      <c r="EV89" s="330">
        <f>40-40</f>
        <v>0</v>
      </c>
      <c r="EW89" s="330">
        <f>40-40</f>
        <v>0</v>
      </c>
      <c r="EX89" s="330">
        <f>10-10</f>
        <v>0</v>
      </c>
      <c r="EY89" s="330">
        <f>20-20</f>
        <v>0</v>
      </c>
      <c r="EZ89" s="326"/>
      <c r="FA89" s="330">
        <f>20-20</f>
        <v>0</v>
      </c>
      <c r="FB89" s="330">
        <f>10-10</f>
        <v>0</v>
      </c>
      <c r="FC89" s="326"/>
      <c r="FD89" s="326"/>
      <c r="FE89" s="330">
        <f>10-10</f>
        <v>0</v>
      </c>
      <c r="FF89" s="326"/>
      <c r="FG89" s="330">
        <f>100-100</f>
        <v>0</v>
      </c>
      <c r="FH89" s="330">
        <f>100-100+10</f>
        <v>10</v>
      </c>
      <c r="FI89" s="330">
        <f>100-100+10</f>
        <v>10</v>
      </c>
      <c r="FJ89" s="326"/>
      <c r="FK89" s="332">
        <f>20-20+20</f>
        <v>20</v>
      </c>
      <c r="FL89" s="330">
        <f>20-20</f>
        <v>0</v>
      </c>
      <c r="FM89" s="330">
        <f>20-20</f>
        <v>0</v>
      </c>
      <c r="FN89" s="326"/>
      <c r="FO89" s="330">
        <f>10-10</f>
        <v>0</v>
      </c>
      <c r="FP89" s="330">
        <f>10-10</f>
        <v>0</v>
      </c>
      <c r="FQ89" s="330">
        <f>10-10</f>
        <v>0</v>
      </c>
      <c r="FR89" s="330">
        <f>40-40</f>
        <v>0</v>
      </c>
      <c r="FS89" s="330">
        <f>40-40</f>
        <v>0</v>
      </c>
      <c r="FT89" s="330">
        <f>30-30</f>
        <v>0</v>
      </c>
      <c r="FU89" s="330">
        <f>20-20</f>
        <v>0</v>
      </c>
      <c r="FV89" s="330">
        <f>200-200</f>
        <v>0</v>
      </c>
      <c r="FW89" s="326"/>
      <c r="FX89" s="326"/>
      <c r="FY89" s="326"/>
      <c r="FZ89" s="326"/>
      <c r="GA89" s="326"/>
      <c r="GB89" s="326"/>
      <c r="GC89" s="326"/>
      <c r="GD89" s="327" t="s">
        <v>850</v>
      </c>
      <c r="GE89" s="325" t="s">
        <v>887</v>
      </c>
      <c r="GF89" s="325" t="s">
        <v>522</v>
      </c>
      <c r="GG89" s="325" t="s">
        <v>850</v>
      </c>
      <c r="GH89" s="325" t="s">
        <v>565</v>
      </c>
      <c r="GI89" s="328">
        <f t="shared" si="8"/>
        <v>248</v>
      </c>
      <c r="GJ89" s="329" t="s">
        <v>906</v>
      </c>
    </row>
    <row r="90" spans="1:192" s="329" customFormat="1" ht="10.5">
      <c r="A90" s="325" t="s">
        <v>526</v>
      </c>
      <c r="B90" s="325" t="s">
        <v>517</v>
      </c>
      <c r="C90" s="325" t="s">
        <v>555</v>
      </c>
      <c r="D90" s="325" t="s">
        <v>3</v>
      </c>
      <c r="E90" s="325" t="s">
        <v>608</v>
      </c>
      <c r="F90" s="325" t="s">
        <v>520</v>
      </c>
      <c r="G90" s="325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326"/>
      <c r="X90" s="326"/>
      <c r="Y90" s="326"/>
      <c r="Z90" s="326"/>
      <c r="AA90" s="326"/>
      <c r="AB90" s="326"/>
      <c r="AC90" s="326"/>
      <c r="AD90" s="326"/>
      <c r="AE90" s="326"/>
      <c r="AF90" s="326"/>
      <c r="AG90" s="326"/>
      <c r="AH90" s="326"/>
      <c r="AI90" s="326"/>
      <c r="AJ90" s="326"/>
      <c r="AK90" s="326"/>
      <c r="AL90" s="326"/>
      <c r="AM90" s="326"/>
      <c r="AN90" s="326"/>
      <c r="AO90" s="326"/>
      <c r="AP90" s="326"/>
      <c r="AQ90" s="326"/>
      <c r="AR90" s="326"/>
      <c r="AS90" s="326"/>
      <c r="AT90" s="326"/>
      <c r="AU90" s="326"/>
      <c r="AV90" s="326"/>
      <c r="AW90" s="326"/>
      <c r="AX90" s="354">
        <v>4</v>
      </c>
      <c r="AY90" s="326"/>
      <c r="AZ90" s="326"/>
      <c r="BA90" s="326"/>
      <c r="BB90" s="326"/>
      <c r="BC90" s="326"/>
      <c r="BD90" s="326"/>
      <c r="BE90" s="354">
        <v>2</v>
      </c>
      <c r="BF90" s="326"/>
      <c r="BG90" s="326"/>
      <c r="BH90" s="326"/>
      <c r="BI90" s="326"/>
      <c r="BJ90" s="326"/>
      <c r="BK90" s="326"/>
      <c r="BL90" s="326"/>
      <c r="BM90" s="326"/>
      <c r="BN90" s="354">
        <v>1</v>
      </c>
      <c r="BO90" s="354">
        <v>1</v>
      </c>
      <c r="BP90" s="326"/>
      <c r="BQ90" s="326"/>
      <c r="BR90" s="326"/>
      <c r="BS90" s="326"/>
      <c r="BT90" s="326"/>
      <c r="BU90" s="326"/>
      <c r="BV90" s="326"/>
      <c r="BW90" s="326"/>
      <c r="BX90" s="326"/>
      <c r="BY90" s="326"/>
      <c r="BZ90" s="326"/>
      <c r="CA90" s="326"/>
      <c r="CB90" s="326"/>
      <c r="CC90" s="326"/>
      <c r="CD90" s="326"/>
      <c r="CE90" s="326"/>
      <c r="CF90" s="326"/>
      <c r="CG90" s="354">
        <v>5</v>
      </c>
      <c r="CH90" s="326"/>
      <c r="CI90" s="326"/>
      <c r="CJ90" s="326"/>
      <c r="CK90" s="326"/>
      <c r="CL90" s="326"/>
      <c r="CM90" s="326"/>
      <c r="CN90" s="326"/>
      <c r="CO90" s="326"/>
      <c r="CP90" s="326"/>
      <c r="CQ90" s="326"/>
      <c r="CR90" s="326"/>
      <c r="CS90" s="326"/>
      <c r="CT90" s="326"/>
      <c r="CU90" s="326"/>
      <c r="CV90" s="326"/>
      <c r="CW90" s="326"/>
      <c r="CX90" s="326"/>
      <c r="CY90" s="326"/>
      <c r="CZ90" s="326"/>
      <c r="DA90" s="326"/>
      <c r="DB90" s="326"/>
      <c r="DC90" s="326"/>
      <c r="DD90" s="326"/>
      <c r="DE90" s="326"/>
      <c r="DF90" s="326"/>
      <c r="DG90" s="326"/>
      <c r="DH90" s="326"/>
      <c r="DI90" s="326"/>
      <c r="DJ90" s="326"/>
      <c r="DK90" s="326"/>
      <c r="DL90" s="326"/>
      <c r="DM90" s="326"/>
      <c r="DN90" s="326"/>
      <c r="DO90" s="326"/>
      <c r="DP90" s="326"/>
      <c r="DQ90" s="326"/>
      <c r="DR90" s="326"/>
      <c r="DS90" s="326"/>
      <c r="DT90" s="326"/>
      <c r="DU90" s="326"/>
      <c r="DV90" s="326"/>
      <c r="DW90" s="326"/>
      <c r="DX90" s="326"/>
      <c r="DY90" s="326"/>
      <c r="DZ90" s="326"/>
      <c r="EA90" s="326"/>
      <c r="EB90" s="326"/>
      <c r="EC90" s="326"/>
      <c r="ED90" s="326"/>
      <c r="EE90" s="326"/>
      <c r="EF90" s="326"/>
      <c r="EG90" s="326"/>
      <c r="EH90" s="326"/>
      <c r="EI90" s="326"/>
      <c r="EJ90" s="326"/>
      <c r="EK90" s="326"/>
      <c r="EL90" s="326"/>
      <c r="EM90" s="326"/>
      <c r="EN90" s="326"/>
      <c r="EO90" s="326"/>
      <c r="EP90" s="326"/>
      <c r="EQ90" s="326"/>
      <c r="ER90" s="326"/>
      <c r="ES90" s="326"/>
      <c r="ET90" s="326"/>
      <c r="EU90" s="326"/>
      <c r="EV90" s="326"/>
      <c r="EW90" s="326"/>
      <c r="EX90" s="326"/>
      <c r="EY90" s="326"/>
      <c r="EZ90" s="326"/>
      <c r="FA90" s="326"/>
      <c r="FB90" s="326"/>
      <c r="FC90" s="326"/>
      <c r="FD90" s="326"/>
      <c r="FE90" s="326"/>
      <c r="FF90" s="326"/>
      <c r="FG90" s="326"/>
      <c r="FH90" s="326"/>
      <c r="FI90" s="326"/>
      <c r="FJ90" s="326"/>
      <c r="FK90" s="326"/>
      <c r="FL90" s="326"/>
      <c r="FM90" s="326"/>
      <c r="FN90" s="326"/>
      <c r="FO90" s="326"/>
      <c r="FP90" s="326"/>
      <c r="FQ90" s="326"/>
      <c r="FR90" s="326"/>
      <c r="FS90" s="326"/>
      <c r="FT90" s="326"/>
      <c r="FU90" s="326"/>
      <c r="FV90" s="326"/>
      <c r="FW90" s="326"/>
      <c r="FX90" s="326"/>
      <c r="FY90" s="326"/>
      <c r="FZ90" s="326"/>
      <c r="GA90" s="326"/>
      <c r="GB90" s="326"/>
      <c r="GC90" s="326"/>
      <c r="GD90" s="327"/>
      <c r="GE90" s="325" t="s">
        <v>887</v>
      </c>
      <c r="GF90" s="325" t="s">
        <v>522</v>
      </c>
      <c r="GG90" s="325" t="s">
        <v>850</v>
      </c>
      <c r="GH90" s="325" t="s">
        <v>565</v>
      </c>
      <c r="GI90" s="328">
        <f t="shared" si="8"/>
        <v>13</v>
      </c>
      <c r="GJ90" s="329" t="s">
        <v>906</v>
      </c>
    </row>
    <row r="91" spans="1:192" s="329" customFormat="1">
      <c r="A91" s="325" t="s">
        <v>526</v>
      </c>
      <c r="B91" s="325" t="s">
        <v>517</v>
      </c>
      <c r="C91" s="325" t="s">
        <v>555</v>
      </c>
      <c r="D91" s="325" t="s">
        <v>636</v>
      </c>
      <c r="E91" s="325" t="s">
        <v>609</v>
      </c>
      <c r="F91" s="325" t="s">
        <v>520</v>
      </c>
      <c r="G91" s="325" t="s">
        <v>932</v>
      </c>
      <c r="H91" s="326"/>
      <c r="I91" s="326"/>
      <c r="J91" s="326"/>
      <c r="K91" s="326"/>
      <c r="L91" s="326"/>
      <c r="M91" s="326"/>
      <c r="N91" s="326"/>
      <c r="O91" s="326"/>
      <c r="P91" s="326"/>
      <c r="Q91" s="326"/>
      <c r="R91" s="326"/>
      <c r="S91" s="326"/>
      <c r="T91" s="326"/>
      <c r="U91" s="326"/>
      <c r="V91" s="326"/>
      <c r="W91" s="326"/>
      <c r="X91" s="326"/>
      <c r="Y91" s="326"/>
      <c r="Z91" s="326"/>
      <c r="AA91" s="326"/>
      <c r="AB91" s="326"/>
      <c r="AC91" s="326"/>
      <c r="AD91" s="326"/>
      <c r="AE91" s="326"/>
      <c r="AF91" s="326"/>
      <c r="AG91" s="326"/>
      <c r="AH91" s="326"/>
      <c r="AI91" s="326"/>
      <c r="AJ91" s="326"/>
      <c r="AK91" s="326"/>
      <c r="AL91" s="326"/>
      <c r="AM91" s="326"/>
      <c r="AN91" s="326"/>
      <c r="AO91" s="326"/>
      <c r="AP91" s="326"/>
      <c r="AQ91" s="326"/>
      <c r="AR91" s="326"/>
      <c r="AS91" s="326"/>
      <c r="AT91" s="326"/>
      <c r="AU91" s="326"/>
      <c r="AV91" s="326"/>
      <c r="AW91" s="326"/>
      <c r="AX91" s="326"/>
      <c r="AY91" s="326"/>
      <c r="AZ91" s="326"/>
      <c r="BA91" s="326"/>
      <c r="BB91" s="326"/>
      <c r="BC91" s="326"/>
      <c r="BD91" s="326"/>
      <c r="BE91" s="326"/>
      <c r="BF91" s="326"/>
      <c r="BG91" s="326"/>
      <c r="BH91" s="326"/>
      <c r="BI91" s="326"/>
      <c r="BJ91" s="326"/>
      <c r="BK91" s="326"/>
      <c r="BL91" s="326"/>
      <c r="BM91" s="326"/>
      <c r="BN91" s="326"/>
      <c r="BO91" s="326"/>
      <c r="BP91" s="326"/>
      <c r="BQ91" s="326"/>
      <c r="BR91" s="326"/>
      <c r="BS91" s="326"/>
      <c r="BT91" s="326"/>
      <c r="BU91" s="326"/>
      <c r="BV91" s="326"/>
      <c r="BW91" s="326"/>
      <c r="BX91" s="326"/>
      <c r="BY91" s="326"/>
      <c r="BZ91" s="326"/>
      <c r="CA91" s="326"/>
      <c r="CB91" s="326"/>
      <c r="CC91" s="326"/>
      <c r="CD91" s="326"/>
      <c r="CE91" s="326"/>
      <c r="CF91" s="326"/>
      <c r="CG91" s="326"/>
      <c r="CH91" s="326"/>
      <c r="CI91" s="326"/>
      <c r="CJ91" s="326"/>
      <c r="CK91" s="326"/>
      <c r="CL91" s="326"/>
      <c r="CM91" s="326"/>
      <c r="CN91" s="326"/>
      <c r="CO91" s="326"/>
      <c r="CP91" s="326"/>
      <c r="CQ91" s="326"/>
      <c r="CR91" s="326"/>
      <c r="CS91" s="326"/>
      <c r="CT91" s="326"/>
      <c r="CU91" s="326"/>
      <c r="CV91" s="326"/>
      <c r="CW91" s="326"/>
      <c r="CX91" s="326"/>
      <c r="CY91" s="326"/>
      <c r="CZ91" s="326"/>
      <c r="DA91" s="326"/>
      <c r="DB91" s="332">
        <v>40</v>
      </c>
      <c r="DC91" s="326"/>
      <c r="DD91" s="326"/>
      <c r="DE91" s="326"/>
      <c r="DF91" s="326"/>
      <c r="DG91" s="326"/>
      <c r="DH91" s="326"/>
      <c r="DI91" s="326"/>
      <c r="DJ91" s="326"/>
      <c r="DK91" s="326"/>
      <c r="DL91" s="326"/>
      <c r="DM91" s="326"/>
      <c r="DN91" s="326"/>
      <c r="DO91" s="326"/>
      <c r="DP91" s="326"/>
      <c r="DQ91" s="326"/>
      <c r="DR91" s="326"/>
      <c r="DS91" s="326"/>
      <c r="DT91" s="326"/>
      <c r="DU91" s="326"/>
      <c r="DV91" s="326"/>
      <c r="DW91" s="326"/>
      <c r="DX91" s="326"/>
      <c r="DY91" s="326"/>
      <c r="DZ91" s="326"/>
      <c r="EA91" s="326"/>
      <c r="EB91" s="326"/>
      <c r="EC91" s="326"/>
      <c r="ED91" s="326"/>
      <c r="EE91" s="326"/>
      <c r="EF91" s="326"/>
      <c r="EG91" s="326"/>
      <c r="EH91" s="326"/>
      <c r="EI91" s="332">
        <v>300</v>
      </c>
      <c r="EJ91" s="326"/>
      <c r="EK91" s="326"/>
      <c r="EL91" s="326"/>
      <c r="EM91" s="326"/>
      <c r="EN91" s="326"/>
      <c r="EO91" s="326"/>
      <c r="EP91" s="326"/>
      <c r="EQ91" s="326"/>
      <c r="ER91" s="326"/>
      <c r="ES91" s="326"/>
      <c r="ET91" s="326"/>
      <c r="EU91" s="326"/>
      <c r="EV91" s="326"/>
      <c r="EW91" s="326"/>
      <c r="EX91" s="326"/>
      <c r="EY91" s="326"/>
      <c r="EZ91" s="326"/>
      <c r="FA91" s="326"/>
      <c r="FB91" s="326"/>
      <c r="FC91" s="326"/>
      <c r="FD91" s="326"/>
      <c r="FE91" s="326"/>
      <c r="FF91" s="326"/>
      <c r="FG91" s="326"/>
      <c r="FH91" s="326"/>
      <c r="FI91" s="326"/>
      <c r="FJ91" s="326"/>
      <c r="FK91" s="326"/>
      <c r="FL91" s="326"/>
      <c r="FM91" s="326"/>
      <c r="FN91" s="326"/>
      <c r="FO91" s="326"/>
      <c r="FP91" s="326"/>
      <c r="FQ91" s="326"/>
      <c r="FR91" s="326"/>
      <c r="FS91" s="326"/>
      <c r="FT91" s="326"/>
      <c r="FU91" s="326"/>
      <c r="FV91" s="326"/>
      <c r="FW91" s="326"/>
      <c r="FX91" s="326"/>
      <c r="FY91" s="326"/>
      <c r="FZ91" s="326"/>
      <c r="GA91" s="326"/>
      <c r="GB91" s="326"/>
      <c r="GC91" s="326"/>
      <c r="GD91" s="327"/>
      <c r="GE91" s="325" t="s">
        <v>887</v>
      </c>
      <c r="GF91" s="325" t="s">
        <v>522</v>
      </c>
      <c r="GG91" s="325" t="s">
        <v>850</v>
      </c>
      <c r="GH91" s="325" t="s">
        <v>915</v>
      </c>
      <c r="GI91" s="328">
        <f t="shared" si="8"/>
        <v>340</v>
      </c>
      <c r="GJ91" s="329" t="s">
        <v>920</v>
      </c>
    </row>
    <row r="92" spans="1:192" s="329" customFormat="1">
      <c r="A92" s="325" t="s">
        <v>526</v>
      </c>
      <c r="B92" s="325" t="s">
        <v>517</v>
      </c>
      <c r="C92" s="325" t="s">
        <v>555</v>
      </c>
      <c r="D92" s="325" t="s">
        <v>633</v>
      </c>
      <c r="E92" s="325" t="s">
        <v>609</v>
      </c>
      <c r="F92" s="325" t="s">
        <v>520</v>
      </c>
      <c r="G92" s="325" t="s">
        <v>932</v>
      </c>
      <c r="H92" s="326"/>
      <c r="I92" s="326"/>
      <c r="J92" s="326"/>
      <c r="K92" s="326"/>
      <c r="L92" s="326"/>
      <c r="M92" s="330">
        <f>200-200</f>
        <v>0</v>
      </c>
      <c r="N92" s="330">
        <f>200-200</f>
        <v>0</v>
      </c>
      <c r="O92" s="330">
        <f>95-95</f>
        <v>0</v>
      </c>
      <c r="P92" s="326"/>
      <c r="Q92" s="326"/>
      <c r="R92" s="326"/>
      <c r="S92" s="330">
        <f>200-200</f>
        <v>0</v>
      </c>
      <c r="T92" s="330">
        <f>200-200</f>
        <v>0</v>
      </c>
      <c r="U92" s="326"/>
      <c r="V92" s="326"/>
      <c r="W92" s="326"/>
      <c r="X92" s="326"/>
      <c r="Y92" s="330">
        <f>280-280+20</f>
        <v>20</v>
      </c>
      <c r="Z92" s="326"/>
      <c r="AA92" s="330">
        <f>100-100</f>
        <v>0</v>
      </c>
      <c r="AB92" s="330">
        <f>180-180+20</f>
        <v>20</v>
      </c>
      <c r="AC92" s="332">
        <v>10</v>
      </c>
      <c r="AD92" s="330">
        <f>300-300</f>
        <v>0</v>
      </c>
      <c r="AE92" s="326"/>
      <c r="AF92" s="326"/>
      <c r="AG92" s="326"/>
      <c r="AH92" s="326"/>
      <c r="AI92" s="326"/>
      <c r="AJ92" s="326"/>
      <c r="AK92" s="326"/>
      <c r="AL92" s="326"/>
      <c r="AM92" s="326"/>
      <c r="AN92" s="326"/>
      <c r="AO92" s="326"/>
      <c r="AP92" s="326"/>
      <c r="AQ92" s="326"/>
      <c r="AR92" s="326"/>
      <c r="AS92" s="326"/>
      <c r="AT92" s="326"/>
      <c r="AU92" s="326"/>
      <c r="AV92" s="326"/>
      <c r="AW92" s="326"/>
      <c r="AX92" s="326"/>
      <c r="AY92" s="326"/>
      <c r="AZ92" s="326"/>
      <c r="BA92" s="326"/>
      <c r="BB92" s="326"/>
      <c r="BC92" s="332">
        <v>20</v>
      </c>
      <c r="BD92" s="326"/>
      <c r="BE92" s="326"/>
      <c r="BF92" s="326"/>
      <c r="BG92" s="332">
        <v>80</v>
      </c>
      <c r="BH92" s="326"/>
      <c r="BI92" s="326"/>
      <c r="BJ92" s="326"/>
      <c r="BK92" s="326"/>
      <c r="BL92" s="326"/>
      <c r="BM92" s="326"/>
      <c r="BN92" s="326"/>
      <c r="BO92" s="326"/>
      <c r="BP92" s="332">
        <v>10</v>
      </c>
      <c r="BQ92" s="330">
        <f>95-95+10</f>
        <v>10</v>
      </c>
      <c r="BR92" s="330">
        <f>100-100</f>
        <v>0</v>
      </c>
      <c r="BS92" s="326"/>
      <c r="BT92" s="326"/>
      <c r="BU92" s="326"/>
      <c r="BV92" s="326"/>
      <c r="BW92" s="326"/>
      <c r="BX92" s="326"/>
      <c r="BY92" s="326"/>
      <c r="BZ92" s="326"/>
      <c r="CA92" s="326"/>
      <c r="CB92" s="332">
        <v>5</v>
      </c>
      <c r="CC92" s="332">
        <v>3</v>
      </c>
      <c r="CD92" s="326"/>
      <c r="CE92" s="326"/>
      <c r="CF92" s="330">
        <f>60-60+60</f>
        <v>60</v>
      </c>
      <c r="CG92" s="330">
        <f>100-100</f>
        <v>0</v>
      </c>
      <c r="CH92" s="326"/>
      <c r="CI92" s="326"/>
      <c r="CJ92" s="326"/>
      <c r="CK92" s="330">
        <f>175-175</f>
        <v>0</v>
      </c>
      <c r="CL92" s="330">
        <f>100-100</f>
        <v>0</v>
      </c>
      <c r="CM92" s="330">
        <f>175-175+10</f>
        <v>10</v>
      </c>
      <c r="CN92" s="326"/>
      <c r="CO92" s="330">
        <f>100-100</f>
        <v>0</v>
      </c>
      <c r="CP92" s="330">
        <f>100-100</f>
        <v>0</v>
      </c>
      <c r="CQ92" s="330">
        <f>70-70+10</f>
        <v>10</v>
      </c>
      <c r="CR92" s="330">
        <f>150-150+50</f>
        <v>50</v>
      </c>
      <c r="CS92" s="332">
        <v>20</v>
      </c>
      <c r="CT92" s="326"/>
      <c r="CU92" s="330">
        <f>100-100</f>
        <v>0</v>
      </c>
      <c r="CV92" s="326"/>
      <c r="CW92" s="326"/>
      <c r="CX92" s="330">
        <f>110-110+20</f>
        <v>20</v>
      </c>
      <c r="CY92" s="330">
        <f>180-180+20</f>
        <v>20</v>
      </c>
      <c r="CZ92" s="330">
        <f>190-190+40</f>
        <v>40</v>
      </c>
      <c r="DA92" s="330">
        <f>100-100+20</f>
        <v>20</v>
      </c>
      <c r="DB92" s="330">
        <f>220-220</f>
        <v>0</v>
      </c>
      <c r="DC92" s="326"/>
      <c r="DD92" s="326"/>
      <c r="DE92" s="326"/>
      <c r="DF92" s="326"/>
      <c r="DG92" s="326"/>
      <c r="DH92" s="326"/>
      <c r="DI92" s="330">
        <f>300-300</f>
        <v>0</v>
      </c>
      <c r="DJ92" s="330">
        <f>750-750+50</f>
        <v>50</v>
      </c>
      <c r="DK92" s="330">
        <f>190-190</f>
        <v>0</v>
      </c>
      <c r="DL92" s="330">
        <f>220-220+30</f>
        <v>30</v>
      </c>
      <c r="DM92" s="326"/>
      <c r="DN92" s="326"/>
      <c r="DO92" s="326"/>
      <c r="DP92" s="326"/>
      <c r="DQ92" s="326"/>
      <c r="DR92" s="326"/>
      <c r="DS92" s="326"/>
      <c r="DT92" s="326"/>
      <c r="DU92" s="326"/>
      <c r="DV92" s="326"/>
      <c r="DW92" s="326"/>
      <c r="DX92" s="326"/>
      <c r="DY92" s="332">
        <v>200</v>
      </c>
      <c r="DZ92" s="326"/>
      <c r="EA92" s="326"/>
      <c r="EB92" s="326"/>
      <c r="EC92" s="326"/>
      <c r="ED92" s="330">
        <f>220-220</f>
        <v>0</v>
      </c>
      <c r="EE92" s="326"/>
      <c r="EF92" s="326"/>
      <c r="EG92" s="326"/>
      <c r="EH92" s="326"/>
      <c r="EI92" s="326"/>
      <c r="EJ92" s="326"/>
      <c r="EK92" s="326"/>
      <c r="EL92" s="330">
        <f>1000-1000</f>
        <v>0</v>
      </c>
      <c r="EM92" s="326"/>
      <c r="EN92" s="326"/>
      <c r="EO92" s="326"/>
      <c r="EP92" s="330">
        <f>500-500+200</f>
        <v>200</v>
      </c>
      <c r="EQ92" s="326"/>
      <c r="ER92" s="330">
        <f>500-500+460</f>
        <v>460</v>
      </c>
      <c r="ES92" s="326"/>
      <c r="ET92" s="326"/>
      <c r="EU92" s="326"/>
      <c r="EV92" s="326"/>
      <c r="EW92" s="326"/>
      <c r="EX92" s="326"/>
      <c r="EY92" s="326"/>
      <c r="EZ92" s="326"/>
      <c r="FA92" s="326"/>
      <c r="FB92" s="326"/>
      <c r="FC92" s="326"/>
      <c r="FD92" s="326"/>
      <c r="FE92" s="326"/>
      <c r="FF92" s="326"/>
      <c r="FG92" s="330">
        <f>480-480</f>
        <v>0</v>
      </c>
      <c r="FH92" s="330">
        <f>440-440+80</f>
        <v>80</v>
      </c>
      <c r="FI92" s="330">
        <f>500-500+40</f>
        <v>40</v>
      </c>
      <c r="FJ92" s="326"/>
      <c r="FK92" s="326"/>
      <c r="FL92" s="326"/>
      <c r="FM92" s="326"/>
      <c r="FN92" s="326"/>
      <c r="FO92" s="326"/>
      <c r="FP92" s="326"/>
      <c r="FQ92" s="326"/>
      <c r="FR92" s="326"/>
      <c r="FS92" s="326"/>
      <c r="FT92" s="326"/>
      <c r="FU92" s="326"/>
      <c r="FV92" s="326"/>
      <c r="FW92" s="326"/>
      <c r="FX92" s="326"/>
      <c r="FY92" s="326"/>
      <c r="FZ92" s="326"/>
      <c r="GA92" s="326"/>
      <c r="GB92" s="326"/>
      <c r="GC92" s="326"/>
      <c r="GD92" s="327" t="s">
        <v>850</v>
      </c>
      <c r="GE92" s="325" t="s">
        <v>887</v>
      </c>
      <c r="GF92" s="325" t="s">
        <v>522</v>
      </c>
      <c r="GG92" s="325" t="s">
        <v>850</v>
      </c>
      <c r="GH92" s="325" t="s">
        <v>915</v>
      </c>
      <c r="GI92" s="328">
        <f t="shared" si="8"/>
        <v>1488</v>
      </c>
      <c r="GJ92" s="329" t="s">
        <v>920</v>
      </c>
    </row>
    <row r="93" spans="1:192" s="329" customFormat="1" ht="10.5">
      <c r="A93" s="325" t="s">
        <v>526</v>
      </c>
      <c r="B93" s="325" t="s">
        <v>517</v>
      </c>
      <c r="C93" s="325" t="s">
        <v>555</v>
      </c>
      <c r="D93" s="325" t="s">
        <v>3</v>
      </c>
      <c r="E93" s="325" t="s">
        <v>609</v>
      </c>
      <c r="F93" s="325" t="s">
        <v>520</v>
      </c>
      <c r="G93" s="325" t="s">
        <v>933</v>
      </c>
      <c r="H93" s="326"/>
      <c r="I93" s="326"/>
      <c r="J93" s="326"/>
      <c r="K93" s="326"/>
      <c r="L93" s="326"/>
      <c r="M93" s="326"/>
      <c r="N93" s="326"/>
      <c r="O93" s="326"/>
      <c r="P93" s="326"/>
      <c r="Q93" s="326"/>
      <c r="R93" s="326"/>
      <c r="S93" s="326"/>
      <c r="T93" s="326"/>
      <c r="U93" s="326"/>
      <c r="V93" s="326"/>
      <c r="W93" s="326"/>
      <c r="X93" s="326"/>
      <c r="Y93" s="326"/>
      <c r="Z93" s="326"/>
      <c r="AA93" s="326"/>
      <c r="AB93" s="326"/>
      <c r="AC93" s="326"/>
      <c r="AD93" s="326"/>
      <c r="AE93" s="326"/>
      <c r="AF93" s="326"/>
      <c r="AG93" s="326"/>
      <c r="AH93" s="326"/>
      <c r="AI93" s="326"/>
      <c r="AJ93" s="326"/>
      <c r="AK93" s="326"/>
      <c r="AL93" s="326"/>
      <c r="AM93" s="326"/>
      <c r="AN93" s="326"/>
      <c r="AO93" s="326"/>
      <c r="AP93" s="326"/>
      <c r="AQ93" s="326"/>
      <c r="AR93" s="326"/>
      <c r="AS93" s="326"/>
      <c r="AT93" s="326"/>
      <c r="AU93" s="326"/>
      <c r="AV93" s="326"/>
      <c r="AW93" s="326"/>
      <c r="AX93" s="326"/>
      <c r="AY93" s="326"/>
      <c r="AZ93" s="326"/>
      <c r="BA93" s="326"/>
      <c r="BB93" s="326"/>
      <c r="BC93" s="326"/>
      <c r="BD93" s="326"/>
      <c r="BE93" s="326"/>
      <c r="BF93" s="326"/>
      <c r="BG93" s="326"/>
      <c r="BH93" s="326"/>
      <c r="BI93" s="326"/>
      <c r="BJ93" s="326"/>
      <c r="BK93" s="326"/>
      <c r="BL93" s="326"/>
      <c r="BM93" s="326"/>
      <c r="BN93" s="326"/>
      <c r="BO93" s="326"/>
      <c r="BP93" s="326"/>
      <c r="BQ93" s="326"/>
      <c r="BR93" s="326"/>
      <c r="BS93" s="326"/>
      <c r="BT93" s="326"/>
      <c r="BU93" s="326"/>
      <c r="BV93" s="326"/>
      <c r="BW93" s="326"/>
      <c r="BX93" s="326"/>
      <c r="BY93" s="326"/>
      <c r="BZ93" s="326"/>
      <c r="CA93" s="326"/>
      <c r="CB93" s="326"/>
      <c r="CC93" s="326"/>
      <c r="CD93" s="326"/>
      <c r="CE93" s="326"/>
      <c r="CF93" s="326"/>
      <c r="CG93" s="354">
        <v>20</v>
      </c>
      <c r="CH93" s="326"/>
      <c r="CI93" s="326"/>
      <c r="CJ93" s="326"/>
      <c r="CK93" s="326"/>
      <c r="CL93" s="326"/>
      <c r="CM93" s="326"/>
      <c r="CN93" s="326"/>
      <c r="CO93" s="326"/>
      <c r="CP93" s="326"/>
      <c r="CQ93" s="326"/>
      <c r="CR93" s="326"/>
      <c r="CS93" s="326"/>
      <c r="CT93" s="326"/>
      <c r="CU93" s="326"/>
      <c r="CV93" s="326"/>
      <c r="CW93" s="326"/>
      <c r="CX93" s="326"/>
      <c r="CY93" s="326"/>
      <c r="CZ93" s="326"/>
      <c r="DA93" s="326"/>
      <c r="DB93" s="326"/>
      <c r="DC93" s="326"/>
      <c r="DD93" s="326"/>
      <c r="DE93" s="326"/>
      <c r="DF93" s="326"/>
      <c r="DG93" s="326"/>
      <c r="DH93" s="326"/>
      <c r="DI93" s="326"/>
      <c r="DJ93" s="326"/>
      <c r="DK93" s="326"/>
      <c r="DL93" s="326"/>
      <c r="DM93" s="326"/>
      <c r="DN93" s="326"/>
      <c r="DO93" s="326"/>
      <c r="DP93" s="326"/>
      <c r="DQ93" s="326"/>
      <c r="DR93" s="326"/>
      <c r="DS93" s="326"/>
      <c r="DT93" s="326"/>
      <c r="DU93" s="326"/>
      <c r="DV93" s="326"/>
      <c r="DW93" s="326"/>
      <c r="DX93" s="326"/>
      <c r="DY93" s="326"/>
      <c r="DZ93" s="326"/>
      <c r="EA93" s="326"/>
      <c r="EB93" s="326"/>
      <c r="EC93" s="326"/>
      <c r="ED93" s="326"/>
      <c r="EE93" s="326"/>
      <c r="EF93" s="326"/>
      <c r="EG93" s="326"/>
      <c r="EH93" s="326"/>
      <c r="EI93" s="326"/>
      <c r="EJ93" s="326"/>
      <c r="EK93" s="326"/>
      <c r="EL93" s="326"/>
      <c r="EM93" s="326"/>
      <c r="EN93" s="326"/>
      <c r="EO93" s="326"/>
      <c r="EP93" s="326"/>
      <c r="EQ93" s="326"/>
      <c r="ER93" s="326"/>
      <c r="ES93" s="326"/>
      <c r="ET93" s="326"/>
      <c r="EU93" s="326"/>
      <c r="EV93" s="326"/>
      <c r="EW93" s="326"/>
      <c r="EX93" s="326"/>
      <c r="EY93" s="326"/>
      <c r="EZ93" s="326"/>
      <c r="FA93" s="326"/>
      <c r="FB93" s="326"/>
      <c r="FC93" s="326"/>
      <c r="FD93" s="326"/>
      <c r="FE93" s="326"/>
      <c r="FF93" s="326"/>
      <c r="FG93" s="326"/>
      <c r="FH93" s="326"/>
      <c r="FI93" s="326"/>
      <c r="FJ93" s="326"/>
      <c r="FK93" s="326"/>
      <c r="FL93" s="326"/>
      <c r="FM93" s="326"/>
      <c r="FN93" s="326"/>
      <c r="FO93" s="326"/>
      <c r="FP93" s="326"/>
      <c r="FQ93" s="326"/>
      <c r="FR93" s="326"/>
      <c r="FS93" s="326"/>
      <c r="FT93" s="326"/>
      <c r="FU93" s="326"/>
      <c r="FV93" s="326"/>
      <c r="FW93" s="326"/>
      <c r="FX93" s="326"/>
      <c r="FY93" s="326"/>
      <c r="FZ93" s="326"/>
      <c r="GA93" s="326"/>
      <c r="GB93" s="326"/>
      <c r="GC93" s="326"/>
      <c r="GD93" s="327"/>
      <c r="GE93" s="325" t="s">
        <v>887</v>
      </c>
      <c r="GF93" s="325" t="s">
        <v>522</v>
      </c>
      <c r="GG93" s="325" t="s">
        <v>850</v>
      </c>
      <c r="GH93" s="325" t="s">
        <v>915</v>
      </c>
      <c r="GI93" s="328">
        <f t="shared" si="8"/>
        <v>20</v>
      </c>
      <c r="GJ93" s="329" t="s">
        <v>920</v>
      </c>
    </row>
    <row r="94" spans="1:192" s="329" customFormat="1">
      <c r="A94" s="325" t="s">
        <v>526</v>
      </c>
      <c r="B94" s="325" t="s">
        <v>517</v>
      </c>
      <c r="C94" s="325" t="s">
        <v>555</v>
      </c>
      <c r="D94" s="325"/>
      <c r="E94" s="333" t="s">
        <v>609</v>
      </c>
      <c r="F94" s="325" t="s">
        <v>520</v>
      </c>
      <c r="G94" s="325" t="s">
        <v>550</v>
      </c>
      <c r="H94" s="326"/>
      <c r="I94" s="326"/>
      <c r="J94" s="326"/>
      <c r="K94" s="326"/>
      <c r="L94" s="326"/>
      <c r="M94" s="326"/>
      <c r="N94" s="326"/>
      <c r="O94" s="326"/>
      <c r="P94" s="326"/>
      <c r="Q94" s="326"/>
      <c r="R94" s="326"/>
      <c r="S94" s="326"/>
      <c r="T94" s="326"/>
      <c r="U94" s="326"/>
      <c r="V94" s="326"/>
      <c r="W94" s="326"/>
      <c r="X94" s="326"/>
      <c r="Y94" s="326"/>
      <c r="Z94" s="326"/>
      <c r="AA94" s="326"/>
      <c r="AB94" s="326"/>
      <c r="AC94" s="330">
        <f>180-180</f>
        <v>0</v>
      </c>
      <c r="AD94" s="326"/>
      <c r="AE94" s="326"/>
      <c r="AF94" s="326"/>
      <c r="AG94" s="326"/>
      <c r="AH94" s="326"/>
      <c r="AI94" s="326"/>
      <c r="AJ94" s="326"/>
      <c r="AK94" s="326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/>
      <c r="AV94" s="326"/>
      <c r="AW94" s="326"/>
      <c r="AX94" s="326"/>
      <c r="AY94" s="326"/>
      <c r="AZ94" s="326"/>
      <c r="BA94" s="326"/>
      <c r="BB94" s="326"/>
      <c r="BC94" s="326"/>
      <c r="BD94" s="326"/>
      <c r="BE94" s="326"/>
      <c r="BF94" s="326"/>
      <c r="BG94" s="326"/>
      <c r="BH94" s="326"/>
      <c r="BI94" s="326"/>
      <c r="BJ94" s="326"/>
      <c r="BK94" s="326"/>
      <c r="BL94" s="326"/>
      <c r="BM94" s="326"/>
      <c r="BN94" s="326"/>
      <c r="BO94" s="326"/>
      <c r="BP94" s="326"/>
      <c r="BQ94" s="326"/>
      <c r="BR94" s="326"/>
      <c r="BS94" s="326"/>
      <c r="BT94" s="326"/>
      <c r="BU94" s="326"/>
      <c r="BV94" s="326"/>
      <c r="BW94" s="326"/>
      <c r="BX94" s="326"/>
      <c r="BY94" s="326"/>
      <c r="BZ94" s="326"/>
      <c r="CA94" s="326"/>
      <c r="CB94" s="326"/>
      <c r="CC94" s="326"/>
      <c r="CD94" s="326"/>
      <c r="CE94" s="326"/>
      <c r="CF94" s="326"/>
      <c r="CG94" s="326"/>
      <c r="CH94" s="326"/>
      <c r="CI94" s="326"/>
      <c r="CJ94" s="326"/>
      <c r="CK94" s="326"/>
      <c r="CL94" s="326"/>
      <c r="CM94" s="326"/>
      <c r="CN94" s="326"/>
      <c r="CO94" s="326"/>
      <c r="CP94" s="326"/>
      <c r="CQ94" s="326"/>
      <c r="CR94" s="326"/>
      <c r="CS94" s="326"/>
      <c r="CT94" s="326"/>
      <c r="CU94" s="326"/>
      <c r="CV94" s="326"/>
      <c r="CW94" s="326"/>
      <c r="CX94" s="326"/>
      <c r="CY94" s="326"/>
      <c r="CZ94" s="326"/>
      <c r="DA94" s="326"/>
      <c r="DB94" s="326"/>
      <c r="DC94" s="326"/>
      <c r="DD94" s="326"/>
      <c r="DE94" s="326"/>
      <c r="DF94" s="326"/>
      <c r="DG94" s="326"/>
      <c r="DH94" s="326"/>
      <c r="DI94" s="326"/>
      <c r="DJ94" s="326"/>
      <c r="DK94" s="326"/>
      <c r="DL94" s="326"/>
      <c r="DM94" s="326"/>
      <c r="DN94" s="326"/>
      <c r="DO94" s="326"/>
      <c r="DP94" s="326"/>
      <c r="DQ94" s="326"/>
      <c r="DR94" s="326"/>
      <c r="DS94" s="326"/>
      <c r="DT94" s="326"/>
      <c r="DU94" s="326"/>
      <c r="DV94" s="326"/>
      <c r="DW94" s="326"/>
      <c r="DX94" s="326"/>
      <c r="DY94" s="326"/>
      <c r="DZ94" s="326"/>
      <c r="EA94" s="326"/>
      <c r="EB94" s="326"/>
      <c r="EC94" s="326"/>
      <c r="ED94" s="326"/>
      <c r="EE94" s="326"/>
      <c r="EF94" s="326"/>
      <c r="EG94" s="326"/>
      <c r="EH94" s="326"/>
      <c r="EI94" s="326"/>
      <c r="EJ94" s="326"/>
      <c r="EK94" s="326"/>
      <c r="EL94" s="326"/>
      <c r="EM94" s="326"/>
      <c r="EN94" s="326"/>
      <c r="EO94" s="326"/>
      <c r="EP94" s="326"/>
      <c r="EQ94" s="326"/>
      <c r="ER94" s="326"/>
      <c r="ES94" s="326"/>
      <c r="ET94" s="326"/>
      <c r="EU94" s="326"/>
      <c r="EV94" s="326"/>
      <c r="EW94" s="326"/>
      <c r="EX94" s="326"/>
      <c r="EY94" s="326"/>
      <c r="EZ94" s="326"/>
      <c r="FA94" s="326"/>
      <c r="FB94" s="326"/>
      <c r="FC94" s="326"/>
      <c r="FD94" s="326"/>
      <c r="FE94" s="326"/>
      <c r="FF94" s="326"/>
      <c r="FG94" s="326"/>
      <c r="FH94" s="326"/>
      <c r="FI94" s="326"/>
      <c r="FJ94" s="326"/>
      <c r="FK94" s="326"/>
      <c r="FL94" s="326"/>
      <c r="FM94" s="326"/>
      <c r="FN94" s="326"/>
      <c r="FO94" s="326"/>
      <c r="FP94" s="326"/>
      <c r="FQ94" s="326"/>
      <c r="FR94" s="326"/>
      <c r="FS94" s="326"/>
      <c r="FT94" s="326"/>
      <c r="FU94" s="326"/>
      <c r="FV94" s="326"/>
      <c r="FW94" s="326"/>
      <c r="FX94" s="326"/>
      <c r="FY94" s="326"/>
      <c r="FZ94" s="326"/>
      <c r="GA94" s="326"/>
      <c r="GB94" s="326"/>
      <c r="GC94" s="326"/>
      <c r="GD94" s="327" t="s">
        <v>850</v>
      </c>
      <c r="GE94" s="325" t="s">
        <v>887</v>
      </c>
      <c r="GF94" s="325" t="s">
        <v>934</v>
      </c>
      <c r="GG94" s="325" t="s">
        <v>850</v>
      </c>
      <c r="GH94" s="325" t="s">
        <v>915</v>
      </c>
      <c r="GI94" s="328">
        <f t="shared" si="8"/>
        <v>0</v>
      </c>
      <c r="GJ94" s="329" t="s">
        <v>920</v>
      </c>
    </row>
    <row r="95" spans="1:192" s="329" customFormat="1">
      <c r="A95" s="325" t="s">
        <v>935</v>
      </c>
      <c r="B95" s="325" t="s">
        <v>517</v>
      </c>
      <c r="C95" s="325" t="s">
        <v>555</v>
      </c>
      <c r="D95" s="325" t="s">
        <v>636</v>
      </c>
      <c r="E95" s="325" t="s">
        <v>611</v>
      </c>
      <c r="F95" s="325" t="s">
        <v>520</v>
      </c>
      <c r="G95" s="325" t="s">
        <v>936</v>
      </c>
      <c r="H95" s="326"/>
      <c r="I95" s="326"/>
      <c r="J95" s="326"/>
      <c r="K95" s="326"/>
      <c r="L95" s="326"/>
      <c r="M95" s="326"/>
      <c r="N95" s="326"/>
      <c r="O95" s="326"/>
      <c r="P95" s="326"/>
      <c r="Q95" s="326"/>
      <c r="R95" s="326"/>
      <c r="S95" s="326"/>
      <c r="T95" s="326"/>
      <c r="U95" s="326"/>
      <c r="V95" s="326"/>
      <c r="W95" s="326"/>
      <c r="X95" s="326"/>
      <c r="Y95" s="326"/>
      <c r="Z95" s="326"/>
      <c r="AA95" s="326"/>
      <c r="AB95" s="326"/>
      <c r="AC95" s="326"/>
      <c r="AD95" s="326"/>
      <c r="AE95" s="326"/>
      <c r="AF95" s="326"/>
      <c r="AG95" s="326"/>
      <c r="AH95" s="326"/>
      <c r="AI95" s="326"/>
      <c r="AJ95" s="326"/>
      <c r="AK95" s="326"/>
      <c r="AL95" s="326"/>
      <c r="AM95" s="326"/>
      <c r="AN95" s="326"/>
      <c r="AO95" s="326"/>
      <c r="AP95" s="326"/>
      <c r="AQ95" s="326"/>
      <c r="AR95" s="326"/>
      <c r="AS95" s="326"/>
      <c r="AT95" s="326"/>
      <c r="AU95" s="326"/>
      <c r="AV95" s="326"/>
      <c r="AW95" s="326"/>
      <c r="AX95" s="326"/>
      <c r="AY95" s="326"/>
      <c r="AZ95" s="326"/>
      <c r="BA95" s="326"/>
      <c r="BB95" s="326"/>
      <c r="BC95" s="326"/>
      <c r="BD95" s="326"/>
      <c r="BE95" s="326"/>
      <c r="BF95" s="326"/>
      <c r="BG95" s="326"/>
      <c r="BH95" s="326"/>
      <c r="BI95" s="326"/>
      <c r="BJ95" s="326"/>
      <c r="BK95" s="326"/>
      <c r="BL95" s="326"/>
      <c r="BM95" s="326"/>
      <c r="BN95" s="326"/>
      <c r="BO95" s="326"/>
      <c r="BP95" s="326"/>
      <c r="BQ95" s="326"/>
      <c r="BR95" s="326"/>
      <c r="BS95" s="326"/>
      <c r="BT95" s="326"/>
      <c r="BU95" s="326"/>
      <c r="BV95" s="326"/>
      <c r="BW95" s="326"/>
      <c r="BX95" s="326"/>
      <c r="BY95" s="326"/>
      <c r="BZ95" s="326"/>
      <c r="CA95" s="326"/>
      <c r="CB95" s="326"/>
      <c r="CC95" s="326"/>
      <c r="CD95" s="326"/>
      <c r="CE95" s="326"/>
      <c r="CF95" s="326"/>
      <c r="CG95" s="326"/>
      <c r="CH95" s="326"/>
      <c r="CI95" s="326"/>
      <c r="CJ95" s="326"/>
      <c r="CK95" s="326"/>
      <c r="CL95" s="326"/>
      <c r="CM95" s="326"/>
      <c r="CN95" s="326"/>
      <c r="CO95" s="326"/>
      <c r="CP95" s="326"/>
      <c r="CQ95" s="326"/>
      <c r="CR95" s="326"/>
      <c r="CS95" s="326"/>
      <c r="CT95" s="326"/>
      <c r="CU95" s="326"/>
      <c r="CV95" s="326"/>
      <c r="CW95" s="326"/>
      <c r="CX95" s="326"/>
      <c r="CY95" s="326"/>
      <c r="CZ95" s="326"/>
      <c r="DA95" s="326"/>
      <c r="DB95" s="326"/>
      <c r="DC95" s="326"/>
      <c r="DD95" s="326"/>
      <c r="DE95" s="326"/>
      <c r="DF95" s="326"/>
      <c r="DG95" s="326"/>
      <c r="DH95" s="326"/>
      <c r="DI95" s="326"/>
      <c r="DJ95" s="326"/>
      <c r="DK95" s="326"/>
      <c r="DL95" s="326"/>
      <c r="DM95" s="326"/>
      <c r="DN95" s="326"/>
      <c r="DO95" s="326"/>
      <c r="DP95" s="326"/>
      <c r="DQ95" s="326"/>
      <c r="DR95" s="326"/>
      <c r="DS95" s="326"/>
      <c r="DT95" s="326"/>
      <c r="DU95" s="326"/>
      <c r="DV95" s="326"/>
      <c r="DW95" s="326"/>
      <c r="DX95" s="326"/>
      <c r="DY95" s="326"/>
      <c r="DZ95" s="326"/>
      <c r="EA95" s="326"/>
      <c r="EB95" s="326"/>
      <c r="EC95" s="326"/>
      <c r="ED95" s="326"/>
      <c r="EE95" s="326"/>
      <c r="EF95" s="326"/>
      <c r="EG95" s="326"/>
      <c r="EH95" s="326"/>
      <c r="EI95" s="332">
        <v>30</v>
      </c>
      <c r="EJ95" s="326"/>
      <c r="EK95" s="326"/>
      <c r="EL95" s="326"/>
      <c r="EM95" s="326"/>
      <c r="EN95" s="326"/>
      <c r="EO95" s="326"/>
      <c r="EP95" s="326"/>
      <c r="EQ95" s="326"/>
      <c r="ER95" s="326"/>
      <c r="ES95" s="326"/>
      <c r="ET95" s="326"/>
      <c r="EU95" s="326"/>
      <c r="EV95" s="326"/>
      <c r="EW95" s="326"/>
      <c r="EX95" s="326"/>
      <c r="EY95" s="326"/>
      <c r="EZ95" s="326"/>
      <c r="FA95" s="326"/>
      <c r="FB95" s="326"/>
      <c r="FC95" s="326"/>
      <c r="FD95" s="326"/>
      <c r="FE95" s="326"/>
      <c r="FF95" s="326"/>
      <c r="FG95" s="326"/>
      <c r="FH95" s="326"/>
      <c r="FI95" s="326"/>
      <c r="FJ95" s="326"/>
      <c r="FK95" s="326"/>
      <c r="FL95" s="326"/>
      <c r="FM95" s="326"/>
      <c r="FN95" s="326"/>
      <c r="FO95" s="326"/>
      <c r="FP95" s="326"/>
      <c r="FQ95" s="326"/>
      <c r="FR95" s="326"/>
      <c r="FS95" s="326"/>
      <c r="FT95" s="326"/>
      <c r="FU95" s="326"/>
      <c r="FV95" s="326"/>
      <c r="FW95" s="326"/>
      <c r="FX95" s="326"/>
      <c r="FY95" s="326"/>
      <c r="FZ95" s="326"/>
      <c r="GA95" s="326"/>
      <c r="GB95" s="326"/>
      <c r="GC95" s="326"/>
      <c r="GD95" s="327"/>
      <c r="GE95" s="325" t="s">
        <v>887</v>
      </c>
      <c r="GF95" s="325" t="s">
        <v>522</v>
      </c>
      <c r="GG95" s="325" t="s">
        <v>850</v>
      </c>
      <c r="GH95" s="325" t="s">
        <v>592</v>
      </c>
      <c r="GI95" s="328">
        <f t="shared" si="8"/>
        <v>30</v>
      </c>
      <c r="GJ95" s="329" t="s">
        <v>905</v>
      </c>
    </row>
    <row r="96" spans="1:192" s="329" customFormat="1">
      <c r="A96" s="325" t="s">
        <v>935</v>
      </c>
      <c r="B96" s="325" t="s">
        <v>517</v>
      </c>
      <c r="C96" s="325" t="s">
        <v>555</v>
      </c>
      <c r="D96" s="325" t="s">
        <v>633</v>
      </c>
      <c r="E96" s="325" t="s">
        <v>611</v>
      </c>
      <c r="F96" s="325" t="s">
        <v>520</v>
      </c>
      <c r="G96" s="325" t="s">
        <v>936</v>
      </c>
      <c r="H96" s="326"/>
      <c r="I96" s="326"/>
      <c r="J96" s="326"/>
      <c r="K96" s="326"/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26"/>
      <c r="AI96" s="326"/>
      <c r="AJ96" s="326"/>
      <c r="AK96" s="326"/>
      <c r="AL96" s="326"/>
      <c r="AM96" s="326"/>
      <c r="AN96" s="326"/>
      <c r="AO96" s="326"/>
      <c r="AP96" s="326"/>
      <c r="AQ96" s="326"/>
      <c r="AR96" s="326"/>
      <c r="AS96" s="326"/>
      <c r="AT96" s="326"/>
      <c r="AU96" s="326"/>
      <c r="AV96" s="326"/>
      <c r="AW96" s="326"/>
      <c r="AX96" s="326"/>
      <c r="AY96" s="326"/>
      <c r="AZ96" s="326"/>
      <c r="BA96" s="326"/>
      <c r="BB96" s="326"/>
      <c r="BC96" s="326"/>
      <c r="BD96" s="326"/>
      <c r="BE96" s="330">
        <f>1-1</f>
        <v>0</v>
      </c>
      <c r="BF96" s="330">
        <f>1-1</f>
        <v>0</v>
      </c>
      <c r="BG96" s="326"/>
      <c r="BH96" s="326"/>
      <c r="BI96" s="326"/>
      <c r="BJ96" s="326"/>
      <c r="BK96" s="326"/>
      <c r="BL96" s="326"/>
      <c r="BM96" s="326"/>
      <c r="BN96" s="326"/>
      <c r="BO96" s="326"/>
      <c r="BP96" s="326"/>
      <c r="BQ96" s="326"/>
      <c r="BR96" s="326"/>
      <c r="BS96" s="326"/>
      <c r="BT96" s="326"/>
      <c r="BU96" s="326"/>
      <c r="BV96" s="326"/>
      <c r="BW96" s="326"/>
      <c r="BX96" s="326"/>
      <c r="BY96" s="326"/>
      <c r="BZ96" s="326"/>
      <c r="CA96" s="326"/>
      <c r="CB96" s="330">
        <f>5-5+2</f>
        <v>2</v>
      </c>
      <c r="CC96" s="330">
        <f>5-5+1</f>
        <v>1</v>
      </c>
      <c r="CD96" s="326"/>
      <c r="CE96" s="326"/>
      <c r="CF96" s="326"/>
      <c r="CG96" s="330">
        <f>5-5</f>
        <v>0</v>
      </c>
      <c r="CH96" s="330">
        <f>10-10</f>
        <v>0</v>
      </c>
      <c r="CI96" s="330">
        <f>5-5</f>
        <v>0</v>
      </c>
      <c r="CJ96" s="326"/>
      <c r="CK96" s="326"/>
      <c r="CL96" s="326"/>
      <c r="CM96" s="326"/>
      <c r="CN96" s="326"/>
      <c r="CO96" s="326"/>
      <c r="CP96" s="326"/>
      <c r="CQ96" s="326"/>
      <c r="CR96" s="326"/>
      <c r="CS96" s="330">
        <f>10-10+2</f>
        <v>2</v>
      </c>
      <c r="CT96" s="326"/>
      <c r="CU96" s="330">
        <f>10-10</f>
        <v>0</v>
      </c>
      <c r="CV96" s="326"/>
      <c r="CW96" s="330">
        <f>5-5</f>
        <v>0</v>
      </c>
      <c r="CX96" s="326"/>
      <c r="CY96" s="326"/>
      <c r="CZ96" s="330">
        <f>10-10+10</f>
        <v>10</v>
      </c>
      <c r="DA96" s="330">
        <f>10-10+5</f>
        <v>5</v>
      </c>
      <c r="DB96" s="326"/>
      <c r="DC96" s="326"/>
      <c r="DD96" s="326"/>
      <c r="DE96" s="326"/>
      <c r="DF96" s="326"/>
      <c r="DG96" s="330">
        <f>10-10+10</f>
        <v>10</v>
      </c>
      <c r="DH96" s="326"/>
      <c r="DI96" s="330">
        <f>5-5</f>
        <v>0</v>
      </c>
      <c r="DJ96" s="330">
        <f>20-20+10</f>
        <v>10</v>
      </c>
      <c r="DK96" s="326"/>
      <c r="DL96" s="326"/>
      <c r="DM96" s="326"/>
      <c r="DN96" s="326"/>
      <c r="DO96" s="326"/>
      <c r="DP96" s="326"/>
      <c r="DQ96" s="326"/>
      <c r="DR96" s="326"/>
      <c r="DS96" s="326"/>
      <c r="DT96" s="326"/>
      <c r="DU96" s="326"/>
      <c r="DV96" s="330">
        <f>20-20</f>
        <v>0</v>
      </c>
      <c r="DW96" s="326"/>
      <c r="DX96" s="326"/>
      <c r="DY96" s="326"/>
      <c r="DZ96" s="326"/>
      <c r="EA96" s="326"/>
      <c r="EB96" s="326"/>
      <c r="EC96" s="326"/>
      <c r="ED96" s="330">
        <f>30-30</f>
        <v>0</v>
      </c>
      <c r="EE96" s="326"/>
      <c r="EF96" s="326"/>
      <c r="EG96" s="326"/>
      <c r="EH96" s="326"/>
      <c r="EI96" s="330">
        <f>30-30</f>
        <v>0</v>
      </c>
      <c r="EJ96" s="326"/>
      <c r="EK96" s="326"/>
      <c r="EL96" s="330">
        <f>30-30</f>
        <v>0</v>
      </c>
      <c r="EM96" s="330">
        <f>30-30+10</f>
        <v>10</v>
      </c>
      <c r="EN96" s="326"/>
      <c r="EO96" s="326"/>
      <c r="EP96" s="326"/>
      <c r="EQ96" s="326"/>
      <c r="ER96" s="330">
        <f>50-50+50</f>
        <v>50</v>
      </c>
      <c r="ES96" s="326"/>
      <c r="ET96" s="326"/>
      <c r="EU96" s="330">
        <f>10-10</f>
        <v>0</v>
      </c>
      <c r="EV96" s="326"/>
      <c r="EW96" s="326"/>
      <c r="EX96" s="326"/>
      <c r="EY96" s="326"/>
      <c r="EZ96" s="326"/>
      <c r="FA96" s="326"/>
      <c r="FB96" s="326"/>
      <c r="FC96" s="326"/>
      <c r="FD96" s="326"/>
      <c r="FE96" s="326"/>
      <c r="FF96" s="326"/>
      <c r="FG96" s="330">
        <f>30-30</f>
        <v>0</v>
      </c>
      <c r="FH96" s="330">
        <f>30-30+20</f>
        <v>20</v>
      </c>
      <c r="FI96" s="326"/>
      <c r="FJ96" s="326"/>
      <c r="FK96" s="326"/>
      <c r="FL96" s="326"/>
      <c r="FM96" s="326"/>
      <c r="FN96" s="326"/>
      <c r="FO96" s="326"/>
      <c r="FP96" s="326"/>
      <c r="FQ96" s="326"/>
      <c r="FR96" s="326"/>
      <c r="FS96" s="326"/>
      <c r="FT96" s="326"/>
      <c r="FU96" s="326"/>
      <c r="FV96" s="326"/>
      <c r="FW96" s="326"/>
      <c r="FX96" s="326"/>
      <c r="FY96" s="326"/>
      <c r="FZ96" s="326"/>
      <c r="GA96" s="326"/>
      <c r="GB96" s="326"/>
      <c r="GC96" s="326"/>
      <c r="GD96" s="327" t="s">
        <v>850</v>
      </c>
      <c r="GE96" s="325" t="s">
        <v>887</v>
      </c>
      <c r="GF96" s="325" t="s">
        <v>522</v>
      </c>
      <c r="GG96" s="325" t="s">
        <v>850</v>
      </c>
      <c r="GH96" s="325" t="s">
        <v>592</v>
      </c>
      <c r="GI96" s="328">
        <f t="shared" si="8"/>
        <v>120</v>
      </c>
      <c r="GJ96" s="329" t="s">
        <v>905</v>
      </c>
    </row>
    <row r="97" spans="1:192" s="329" customFormat="1" ht="10.5">
      <c r="A97" s="325" t="s">
        <v>935</v>
      </c>
      <c r="B97" s="325" t="s">
        <v>517</v>
      </c>
      <c r="C97" s="325" t="s">
        <v>555</v>
      </c>
      <c r="D97" s="325" t="s">
        <v>3</v>
      </c>
      <c r="E97" s="325" t="s">
        <v>611</v>
      </c>
      <c r="F97" s="325" t="s">
        <v>520</v>
      </c>
      <c r="G97" s="325"/>
      <c r="H97" s="326"/>
      <c r="I97" s="326"/>
      <c r="J97" s="326"/>
      <c r="K97" s="326"/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26"/>
      <c r="AI97" s="326"/>
      <c r="AJ97" s="326"/>
      <c r="AK97" s="326"/>
      <c r="AL97" s="326"/>
      <c r="AM97" s="326"/>
      <c r="AN97" s="326"/>
      <c r="AO97" s="326"/>
      <c r="AP97" s="326"/>
      <c r="AQ97" s="326"/>
      <c r="AR97" s="326"/>
      <c r="AS97" s="326"/>
      <c r="AT97" s="326"/>
      <c r="AU97" s="326"/>
      <c r="AV97" s="326"/>
      <c r="AW97" s="326"/>
      <c r="AX97" s="326"/>
      <c r="AY97" s="326"/>
      <c r="AZ97" s="326"/>
      <c r="BA97" s="326"/>
      <c r="BB97" s="326"/>
      <c r="BC97" s="326"/>
      <c r="BD97" s="326"/>
      <c r="BE97" s="354">
        <v>1</v>
      </c>
      <c r="BF97" s="326"/>
      <c r="BG97" s="326"/>
      <c r="BH97" s="326"/>
      <c r="BI97" s="326"/>
      <c r="BJ97" s="326"/>
      <c r="BK97" s="326"/>
      <c r="BL97" s="326"/>
      <c r="BM97" s="326"/>
      <c r="BN97" s="326"/>
      <c r="BO97" s="326"/>
      <c r="BP97" s="326"/>
      <c r="BQ97" s="326"/>
      <c r="BR97" s="326"/>
      <c r="BS97" s="326"/>
      <c r="BT97" s="326"/>
      <c r="BU97" s="326"/>
      <c r="BV97" s="326"/>
      <c r="BW97" s="326"/>
      <c r="BX97" s="326"/>
      <c r="BY97" s="326"/>
      <c r="BZ97" s="326"/>
      <c r="CA97" s="326"/>
      <c r="CB97" s="326"/>
      <c r="CC97" s="326"/>
      <c r="CD97" s="326"/>
      <c r="CE97" s="326"/>
      <c r="CF97" s="326"/>
      <c r="CG97" s="326"/>
      <c r="CH97" s="326"/>
      <c r="CI97" s="326"/>
      <c r="CJ97" s="326"/>
      <c r="CK97" s="326"/>
      <c r="CL97" s="326"/>
      <c r="CM97" s="326"/>
      <c r="CN97" s="326"/>
      <c r="CO97" s="326"/>
      <c r="CP97" s="326"/>
      <c r="CQ97" s="326"/>
      <c r="CR97" s="326"/>
      <c r="CS97" s="326"/>
      <c r="CT97" s="326"/>
      <c r="CU97" s="326"/>
      <c r="CV97" s="326"/>
      <c r="CW97" s="326"/>
      <c r="CX97" s="326"/>
      <c r="CY97" s="326"/>
      <c r="CZ97" s="326"/>
      <c r="DA97" s="326"/>
      <c r="DB97" s="326"/>
      <c r="DC97" s="326"/>
      <c r="DD97" s="326"/>
      <c r="DE97" s="326"/>
      <c r="DF97" s="326"/>
      <c r="DG97" s="326"/>
      <c r="DH97" s="326"/>
      <c r="DI97" s="326"/>
      <c r="DJ97" s="326"/>
      <c r="DK97" s="326"/>
      <c r="DL97" s="326"/>
      <c r="DM97" s="326"/>
      <c r="DN97" s="326"/>
      <c r="DO97" s="326"/>
      <c r="DP97" s="326"/>
      <c r="DQ97" s="326"/>
      <c r="DR97" s="326"/>
      <c r="DS97" s="326"/>
      <c r="DT97" s="326"/>
      <c r="DU97" s="326"/>
      <c r="DV97" s="326"/>
      <c r="DW97" s="326"/>
      <c r="DX97" s="326"/>
      <c r="DY97" s="326"/>
      <c r="DZ97" s="326"/>
      <c r="EA97" s="326"/>
      <c r="EB97" s="326"/>
      <c r="EC97" s="326"/>
      <c r="ED97" s="326"/>
      <c r="EE97" s="326"/>
      <c r="EF97" s="326"/>
      <c r="EG97" s="326"/>
      <c r="EH97" s="326"/>
      <c r="EI97" s="326"/>
      <c r="EJ97" s="326"/>
      <c r="EK97" s="326"/>
      <c r="EL97" s="326"/>
      <c r="EM97" s="326"/>
      <c r="EN97" s="326"/>
      <c r="EO97" s="326"/>
      <c r="EP97" s="326"/>
      <c r="EQ97" s="326"/>
      <c r="ER97" s="326"/>
      <c r="ES97" s="326"/>
      <c r="ET97" s="326"/>
      <c r="EU97" s="326"/>
      <c r="EV97" s="326"/>
      <c r="EW97" s="326"/>
      <c r="EX97" s="326"/>
      <c r="EY97" s="326"/>
      <c r="EZ97" s="326"/>
      <c r="FA97" s="326"/>
      <c r="FB97" s="326"/>
      <c r="FC97" s="326"/>
      <c r="FD97" s="326"/>
      <c r="FE97" s="326"/>
      <c r="FF97" s="326"/>
      <c r="FG97" s="326"/>
      <c r="FH97" s="326"/>
      <c r="FI97" s="326"/>
      <c r="FJ97" s="326"/>
      <c r="FK97" s="326"/>
      <c r="FL97" s="326"/>
      <c r="FM97" s="326"/>
      <c r="FN97" s="326"/>
      <c r="FO97" s="326"/>
      <c r="FP97" s="326"/>
      <c r="FQ97" s="326"/>
      <c r="FR97" s="326"/>
      <c r="FS97" s="326"/>
      <c r="FT97" s="326"/>
      <c r="FU97" s="326"/>
      <c r="FV97" s="326"/>
      <c r="FW97" s="326"/>
      <c r="FX97" s="326"/>
      <c r="FY97" s="326"/>
      <c r="FZ97" s="326"/>
      <c r="GA97" s="326"/>
      <c r="GB97" s="326"/>
      <c r="GC97" s="326"/>
      <c r="GD97" s="327"/>
      <c r="GE97" s="325" t="s">
        <v>887</v>
      </c>
      <c r="GF97" s="325" t="s">
        <v>522</v>
      </c>
      <c r="GG97" s="325" t="s">
        <v>850</v>
      </c>
      <c r="GH97" s="325" t="s">
        <v>592</v>
      </c>
      <c r="GI97" s="328">
        <f t="shared" si="8"/>
        <v>1</v>
      </c>
      <c r="GJ97" s="329" t="s">
        <v>905</v>
      </c>
    </row>
    <row r="98" spans="1:192" s="329" customFormat="1">
      <c r="A98" s="325" t="s">
        <v>526</v>
      </c>
      <c r="B98" s="325" t="s">
        <v>517</v>
      </c>
      <c r="C98" s="325" t="s">
        <v>555</v>
      </c>
      <c r="D98" s="325" t="s">
        <v>636</v>
      </c>
      <c r="E98" s="325" t="s">
        <v>937</v>
      </c>
      <c r="F98" s="325" t="s">
        <v>520</v>
      </c>
      <c r="G98" s="325"/>
      <c r="H98" s="326"/>
      <c r="I98" s="326"/>
      <c r="J98" s="326"/>
      <c r="K98" s="326"/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26"/>
      <c r="AI98" s="326"/>
      <c r="AJ98" s="326"/>
      <c r="AK98" s="326"/>
      <c r="AL98" s="326"/>
      <c r="AM98" s="326"/>
      <c r="AN98" s="326"/>
      <c r="AO98" s="326"/>
      <c r="AP98" s="326"/>
      <c r="AQ98" s="326"/>
      <c r="AR98" s="326"/>
      <c r="AS98" s="326"/>
      <c r="AT98" s="326"/>
      <c r="AU98" s="326"/>
      <c r="AV98" s="326"/>
      <c r="AW98" s="326"/>
      <c r="AX98" s="326"/>
      <c r="AY98" s="326"/>
      <c r="AZ98" s="326"/>
      <c r="BA98" s="326"/>
      <c r="BB98" s="326"/>
      <c r="BC98" s="326"/>
      <c r="BD98" s="326"/>
      <c r="BE98" s="326"/>
      <c r="BF98" s="326"/>
      <c r="BG98" s="326"/>
      <c r="BH98" s="326"/>
      <c r="BI98" s="326"/>
      <c r="BJ98" s="326"/>
      <c r="BK98" s="326"/>
      <c r="BL98" s="326"/>
      <c r="BM98" s="326"/>
      <c r="BN98" s="326"/>
      <c r="BO98" s="326"/>
      <c r="BP98" s="326"/>
      <c r="BQ98" s="326"/>
      <c r="BR98" s="326"/>
      <c r="BS98" s="326"/>
      <c r="BT98" s="326"/>
      <c r="BU98" s="326"/>
      <c r="BV98" s="326"/>
      <c r="BW98" s="326"/>
      <c r="BX98" s="326"/>
      <c r="BY98" s="326"/>
      <c r="BZ98" s="326"/>
      <c r="CA98" s="326"/>
      <c r="CB98" s="326"/>
      <c r="CC98" s="326"/>
      <c r="CD98" s="326"/>
      <c r="CE98" s="326"/>
      <c r="CF98" s="326"/>
      <c r="CG98" s="326"/>
      <c r="CH98" s="326"/>
      <c r="CI98" s="326"/>
      <c r="CJ98" s="326"/>
      <c r="CK98" s="326"/>
      <c r="CL98" s="326"/>
      <c r="CM98" s="326"/>
      <c r="CN98" s="326"/>
      <c r="CO98" s="326"/>
      <c r="CP98" s="326"/>
      <c r="CQ98" s="326"/>
      <c r="CR98" s="326"/>
      <c r="CS98" s="326"/>
      <c r="CT98" s="326"/>
      <c r="CU98" s="326"/>
      <c r="CV98" s="326"/>
      <c r="CW98" s="326"/>
      <c r="CX98" s="326"/>
      <c r="CY98" s="326"/>
      <c r="CZ98" s="326"/>
      <c r="DA98" s="326"/>
      <c r="DB98" s="326"/>
      <c r="DC98" s="326"/>
      <c r="DD98" s="326"/>
      <c r="DE98" s="326"/>
      <c r="DF98" s="326"/>
      <c r="DG98" s="326"/>
      <c r="DH98" s="326"/>
      <c r="DI98" s="326"/>
      <c r="DJ98" s="326"/>
      <c r="DK98" s="326"/>
      <c r="DL98" s="326"/>
      <c r="DM98" s="326"/>
      <c r="DN98" s="326"/>
      <c r="DO98" s="326"/>
      <c r="DP98" s="326"/>
      <c r="DQ98" s="326"/>
      <c r="DR98" s="326"/>
      <c r="DS98" s="326"/>
      <c r="DT98" s="326"/>
      <c r="DU98" s="326"/>
      <c r="DV98" s="326"/>
      <c r="DW98" s="326"/>
      <c r="DX98" s="326"/>
      <c r="DY98" s="326"/>
      <c r="DZ98" s="326"/>
      <c r="EA98" s="326"/>
      <c r="EB98" s="326"/>
      <c r="EC98" s="326"/>
      <c r="ED98" s="326"/>
      <c r="EE98" s="326"/>
      <c r="EF98" s="326"/>
      <c r="EG98" s="326"/>
      <c r="EH98" s="326"/>
      <c r="EI98" s="326"/>
      <c r="EJ98" s="326"/>
      <c r="EK98" s="326"/>
      <c r="EL98" s="326"/>
      <c r="EM98" s="326"/>
      <c r="EN98" s="326"/>
      <c r="EO98" s="326"/>
      <c r="EP98" s="326"/>
      <c r="EQ98" s="326"/>
      <c r="ER98" s="326"/>
      <c r="ES98" s="326"/>
      <c r="ET98" s="326"/>
      <c r="EU98" s="326"/>
      <c r="EV98" s="326"/>
      <c r="EW98" s="326"/>
      <c r="EX98" s="326"/>
      <c r="EY98" s="326"/>
      <c r="EZ98" s="326"/>
      <c r="FA98" s="326"/>
      <c r="FB98" s="326"/>
      <c r="FC98" s="326"/>
      <c r="FD98" s="326"/>
      <c r="FE98" s="326"/>
      <c r="FF98" s="326"/>
      <c r="FG98" s="326"/>
      <c r="FH98" s="326"/>
      <c r="FI98" s="326"/>
      <c r="FJ98" s="326"/>
      <c r="FK98" s="326"/>
      <c r="FL98" s="326"/>
      <c r="FM98" s="326"/>
      <c r="FN98" s="326"/>
      <c r="FO98" s="326"/>
      <c r="FP98" s="326"/>
      <c r="FQ98" s="326"/>
      <c r="FR98" s="326"/>
      <c r="FS98" s="326"/>
      <c r="FT98" s="326"/>
      <c r="FU98" s="326"/>
      <c r="FV98" s="326"/>
      <c r="FW98" s="326"/>
      <c r="FX98" s="326"/>
      <c r="FY98" s="326"/>
      <c r="FZ98" s="326"/>
      <c r="GA98" s="326"/>
      <c r="GB98" s="326"/>
      <c r="GC98" s="326"/>
      <c r="GD98" s="327"/>
      <c r="GE98" s="325" t="s">
        <v>887</v>
      </c>
      <c r="GF98" s="325" t="s">
        <v>522</v>
      </c>
      <c r="GG98" s="325" t="s">
        <v>850</v>
      </c>
      <c r="GH98" s="325" t="s">
        <v>938</v>
      </c>
      <c r="GI98" s="328">
        <f t="shared" si="8"/>
        <v>0</v>
      </c>
      <c r="GJ98" s="329" t="s">
        <v>906</v>
      </c>
    </row>
    <row r="99" spans="1:192" s="329" customFormat="1">
      <c r="A99" s="325" t="s">
        <v>526</v>
      </c>
      <c r="B99" s="325" t="s">
        <v>517</v>
      </c>
      <c r="C99" s="325" t="s">
        <v>555</v>
      </c>
      <c r="D99" s="325" t="s">
        <v>633</v>
      </c>
      <c r="E99" s="325" t="s">
        <v>937</v>
      </c>
      <c r="F99" s="325" t="s">
        <v>520</v>
      </c>
      <c r="G99" s="325"/>
      <c r="H99" s="326"/>
      <c r="J99" s="326"/>
      <c r="K99" s="330">
        <f>20-20</f>
        <v>0</v>
      </c>
      <c r="L99" s="326"/>
      <c r="M99" s="326"/>
      <c r="N99" s="330">
        <f>20-20</f>
        <v>0</v>
      </c>
      <c r="O99" s="326"/>
      <c r="P99" s="330">
        <f>20-20</f>
        <v>0</v>
      </c>
      <c r="Q99" s="326"/>
      <c r="R99" s="326"/>
      <c r="S99" s="326"/>
      <c r="T99" s="326"/>
      <c r="U99" s="326"/>
      <c r="V99" s="326"/>
      <c r="W99" s="326"/>
      <c r="X99" s="326"/>
      <c r="Y99" s="326"/>
      <c r="Z99" s="326"/>
      <c r="AA99" s="326"/>
      <c r="AB99" s="326"/>
      <c r="AC99" s="326"/>
      <c r="AD99" s="326"/>
      <c r="AE99" s="326"/>
      <c r="AF99" s="326"/>
      <c r="AG99" s="326"/>
      <c r="AH99" s="326"/>
      <c r="AI99" s="326"/>
      <c r="AJ99" s="330">
        <f>50-50</f>
        <v>0</v>
      </c>
      <c r="AK99" s="326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30">
        <f>20-20+1</f>
        <v>1</v>
      </c>
      <c r="BB99" s="326"/>
      <c r="BC99" s="330">
        <f>20-20+5</f>
        <v>5</v>
      </c>
      <c r="BD99" s="326"/>
      <c r="BE99" s="326"/>
      <c r="BF99" s="326"/>
      <c r="BG99" s="326"/>
      <c r="BH99" s="326"/>
      <c r="BI99" s="326"/>
      <c r="BJ99" s="326"/>
      <c r="BK99" s="326"/>
      <c r="BL99" s="326"/>
      <c r="BM99" s="326"/>
      <c r="BN99" s="330">
        <f>60-60</f>
        <v>0</v>
      </c>
      <c r="BO99" s="326"/>
      <c r="BP99" s="326"/>
      <c r="BQ99" s="330">
        <f>60-60+2</f>
        <v>2</v>
      </c>
      <c r="BR99" s="326"/>
      <c r="BS99" s="330">
        <f>60-60+1</f>
        <v>1</v>
      </c>
      <c r="BT99" s="326"/>
      <c r="BU99" s="326"/>
      <c r="BV99" s="326"/>
      <c r="BW99" s="326"/>
      <c r="BX99" s="326"/>
      <c r="BY99" s="326"/>
      <c r="BZ99" s="326"/>
      <c r="CA99" s="326"/>
      <c r="CB99" s="326"/>
      <c r="CC99" s="326"/>
      <c r="CD99" s="326"/>
      <c r="CE99" s="326"/>
      <c r="CF99" s="330">
        <f>60-60+2</f>
        <v>2</v>
      </c>
      <c r="CG99" s="326"/>
      <c r="CH99" s="326"/>
      <c r="CI99" s="326"/>
      <c r="CJ99" s="326"/>
      <c r="CK99" s="326"/>
      <c r="CL99" s="330">
        <f>20-20+1</f>
        <v>1</v>
      </c>
      <c r="CM99" s="330">
        <f>20-20+1</f>
        <v>1</v>
      </c>
      <c r="CN99" s="326"/>
      <c r="CO99" s="330">
        <f>20-20</f>
        <v>0</v>
      </c>
      <c r="CP99" s="326"/>
      <c r="CQ99" s="326"/>
      <c r="CR99" s="326"/>
      <c r="CS99" s="326"/>
      <c r="CT99" s="326"/>
      <c r="CU99" s="326"/>
      <c r="CV99" s="326"/>
      <c r="CW99" s="326"/>
      <c r="CX99" s="326"/>
      <c r="CY99" s="326"/>
      <c r="CZ99" s="326"/>
      <c r="DA99" s="326"/>
      <c r="DB99" s="326"/>
      <c r="DC99" s="326"/>
      <c r="DD99" s="326"/>
      <c r="DE99" s="326"/>
      <c r="DF99" s="326"/>
      <c r="DG99" s="326"/>
      <c r="DH99" s="326"/>
      <c r="DI99" s="326"/>
      <c r="DJ99" s="326"/>
      <c r="DK99" s="326"/>
      <c r="DL99" s="326"/>
      <c r="DM99" s="326"/>
      <c r="DN99" s="326"/>
      <c r="DO99" s="326"/>
      <c r="DP99" s="326"/>
      <c r="DQ99" s="326"/>
      <c r="DR99" s="326"/>
      <c r="DS99" s="326"/>
      <c r="DT99" s="326"/>
      <c r="DU99" s="326"/>
      <c r="DV99" s="326"/>
      <c r="DW99" s="326"/>
      <c r="DX99" s="326"/>
      <c r="DY99" s="326"/>
      <c r="DZ99" s="326"/>
      <c r="EA99" s="326"/>
      <c r="EB99" s="326"/>
      <c r="EC99" s="326"/>
      <c r="ED99" s="326"/>
      <c r="EE99" s="326"/>
      <c r="EF99" s="326"/>
      <c r="EG99" s="326"/>
      <c r="EH99" s="326"/>
      <c r="EI99" s="326"/>
      <c r="EJ99" s="326"/>
      <c r="EK99" s="326"/>
      <c r="EL99" s="330">
        <f>50-50</f>
        <v>0</v>
      </c>
      <c r="EM99" s="326"/>
      <c r="EN99" s="326"/>
      <c r="EO99" s="326"/>
      <c r="EP99" s="326"/>
      <c r="EQ99" s="326"/>
      <c r="ER99" s="326"/>
      <c r="ES99" s="326"/>
      <c r="ET99" s="326"/>
      <c r="EU99" s="326"/>
      <c r="EV99" s="326"/>
      <c r="EW99" s="326"/>
      <c r="EX99" s="330">
        <f>50-50</f>
        <v>0</v>
      </c>
      <c r="EY99" s="326"/>
      <c r="EZ99" s="326"/>
      <c r="FA99" s="326"/>
      <c r="FB99" s="326"/>
      <c r="FC99" s="326"/>
      <c r="FD99" s="326"/>
      <c r="FE99" s="326"/>
      <c r="FF99" s="326"/>
      <c r="FG99" s="326"/>
      <c r="FH99" s="326"/>
      <c r="FI99" s="326"/>
      <c r="FJ99" s="326"/>
      <c r="FK99" s="326"/>
      <c r="FL99" s="326"/>
      <c r="FM99" s="326"/>
      <c r="FN99" s="326"/>
      <c r="FO99" s="326"/>
      <c r="FP99" s="326"/>
      <c r="FQ99" s="326"/>
      <c r="FR99" s="326"/>
      <c r="FS99" s="326"/>
      <c r="FT99" s="326"/>
      <c r="FU99" s="326"/>
      <c r="FV99" s="326"/>
      <c r="FW99" s="326"/>
      <c r="FX99" s="326"/>
      <c r="FY99" s="326"/>
      <c r="FZ99" s="326"/>
      <c r="GA99" s="326"/>
      <c r="GB99" s="326"/>
      <c r="GC99" s="326"/>
      <c r="GD99" s="327" t="s">
        <v>850</v>
      </c>
      <c r="GE99" s="325" t="s">
        <v>887</v>
      </c>
      <c r="GF99" s="325" t="s">
        <v>522</v>
      </c>
      <c r="GG99" s="325" t="s">
        <v>850</v>
      </c>
      <c r="GH99" s="325" t="s">
        <v>938</v>
      </c>
      <c r="GI99" s="328">
        <f t="shared" si="8"/>
        <v>13</v>
      </c>
      <c r="GJ99" s="329" t="s">
        <v>906</v>
      </c>
    </row>
    <row r="100" spans="1:192" s="329" customFormat="1">
      <c r="A100" s="325" t="s">
        <v>526</v>
      </c>
      <c r="B100" s="325" t="s">
        <v>517</v>
      </c>
      <c r="C100" s="325" t="s">
        <v>555</v>
      </c>
      <c r="D100" s="325" t="s">
        <v>3</v>
      </c>
      <c r="E100" s="325" t="s">
        <v>937</v>
      </c>
      <c r="F100" s="325" t="s">
        <v>520</v>
      </c>
      <c r="G100" s="325"/>
      <c r="H100" s="326"/>
      <c r="I100" s="330">
        <f>20-20+20</f>
        <v>20</v>
      </c>
      <c r="J100" s="326"/>
      <c r="K100" s="326"/>
      <c r="L100" s="326"/>
      <c r="M100" s="326"/>
      <c r="N100" s="326"/>
      <c r="O100" s="326"/>
      <c r="P100" s="326"/>
      <c r="Q100" s="326"/>
      <c r="R100" s="326"/>
      <c r="S100" s="326"/>
      <c r="T100" s="326"/>
      <c r="U100" s="326"/>
      <c r="V100" s="326"/>
      <c r="W100" s="326"/>
      <c r="X100" s="326"/>
      <c r="Y100" s="326"/>
      <c r="Z100" s="326"/>
      <c r="AA100" s="326"/>
      <c r="AB100" s="326"/>
      <c r="AC100" s="326"/>
      <c r="AD100" s="326"/>
      <c r="AE100" s="326"/>
      <c r="AF100" s="326"/>
      <c r="AG100" s="326"/>
      <c r="AH100" s="326"/>
      <c r="AI100" s="326"/>
      <c r="AJ100" s="326"/>
      <c r="AK100" s="326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/>
      <c r="BD100" s="326"/>
      <c r="BE100" s="326"/>
      <c r="BF100" s="326"/>
      <c r="BG100" s="326"/>
      <c r="BH100" s="326"/>
      <c r="BI100" s="326"/>
      <c r="BJ100" s="326"/>
      <c r="BK100" s="326"/>
      <c r="BL100" s="326"/>
      <c r="BM100" s="326"/>
      <c r="BN100" s="326"/>
      <c r="BO100" s="326"/>
      <c r="BP100" s="326"/>
      <c r="BQ100" s="326"/>
      <c r="BR100" s="326"/>
      <c r="BS100" s="326"/>
      <c r="BT100" s="326"/>
      <c r="BU100" s="326"/>
      <c r="BV100" s="326"/>
      <c r="BW100" s="326"/>
      <c r="BX100" s="326"/>
      <c r="BY100" s="326"/>
      <c r="BZ100" s="326"/>
      <c r="CA100" s="326"/>
      <c r="CB100" s="326"/>
      <c r="CC100" s="326"/>
      <c r="CD100" s="326"/>
      <c r="CE100" s="326"/>
      <c r="CF100" s="326"/>
      <c r="CG100" s="326"/>
      <c r="CH100" s="326"/>
      <c r="CI100" s="326"/>
      <c r="CJ100" s="326"/>
      <c r="CK100" s="326"/>
      <c r="CL100" s="326"/>
      <c r="CM100" s="326"/>
      <c r="CN100" s="326"/>
      <c r="CO100" s="326"/>
      <c r="CP100" s="326"/>
      <c r="CQ100" s="326"/>
      <c r="CR100" s="326"/>
      <c r="CS100" s="326"/>
      <c r="CT100" s="326"/>
      <c r="CU100" s="326"/>
      <c r="CV100" s="326"/>
      <c r="CW100" s="326"/>
      <c r="CX100" s="326"/>
      <c r="CY100" s="326"/>
      <c r="CZ100" s="326"/>
      <c r="DA100" s="326"/>
      <c r="DB100" s="326"/>
      <c r="DC100" s="326"/>
      <c r="DD100" s="326"/>
      <c r="DE100" s="326"/>
      <c r="DF100" s="326"/>
      <c r="DG100" s="326"/>
      <c r="DH100" s="326"/>
      <c r="DI100" s="326"/>
      <c r="DJ100" s="326"/>
      <c r="DK100" s="326"/>
      <c r="DL100" s="326"/>
      <c r="DM100" s="326"/>
      <c r="DN100" s="326"/>
      <c r="DO100" s="326"/>
      <c r="DP100" s="326"/>
      <c r="DQ100" s="326"/>
      <c r="DR100" s="326"/>
      <c r="DS100" s="326"/>
      <c r="DT100" s="326"/>
      <c r="DU100" s="326"/>
      <c r="DV100" s="326"/>
      <c r="DW100" s="326"/>
      <c r="DX100" s="326"/>
      <c r="DY100" s="326"/>
      <c r="DZ100" s="326"/>
      <c r="EA100" s="326"/>
      <c r="EB100" s="326"/>
      <c r="EC100" s="326"/>
      <c r="ED100" s="326"/>
      <c r="EE100" s="326"/>
      <c r="EF100" s="326"/>
      <c r="EG100" s="326"/>
      <c r="EH100" s="326"/>
      <c r="EI100" s="326"/>
      <c r="EJ100" s="326"/>
      <c r="EK100" s="326"/>
      <c r="EL100" s="326"/>
      <c r="EM100" s="326"/>
      <c r="EN100" s="326"/>
      <c r="EO100" s="326"/>
      <c r="EP100" s="326"/>
      <c r="EQ100" s="326"/>
      <c r="ER100" s="326"/>
      <c r="ES100" s="326"/>
      <c r="ET100" s="326"/>
      <c r="EU100" s="326"/>
      <c r="EV100" s="326"/>
      <c r="EW100" s="326"/>
      <c r="EX100" s="326"/>
      <c r="EY100" s="326"/>
      <c r="EZ100" s="326"/>
      <c r="FA100" s="326"/>
      <c r="FB100" s="326"/>
      <c r="FC100" s="326"/>
      <c r="FD100" s="326"/>
      <c r="FE100" s="326"/>
      <c r="FF100" s="326"/>
      <c r="FG100" s="326"/>
      <c r="FH100" s="326"/>
      <c r="FI100" s="326"/>
      <c r="FJ100" s="326"/>
      <c r="FK100" s="326"/>
      <c r="FL100" s="326"/>
      <c r="FM100" s="326"/>
      <c r="FN100" s="326"/>
      <c r="FO100" s="326"/>
      <c r="FP100" s="326"/>
      <c r="FQ100" s="326"/>
      <c r="FR100" s="326"/>
      <c r="FS100" s="326"/>
      <c r="FT100" s="326"/>
      <c r="FU100" s="326"/>
      <c r="FV100" s="326"/>
      <c r="FW100" s="326"/>
      <c r="FX100" s="326"/>
      <c r="FY100" s="326"/>
      <c r="FZ100" s="326"/>
      <c r="GA100" s="326"/>
      <c r="GB100" s="326"/>
      <c r="GC100" s="326"/>
      <c r="GD100" s="327"/>
      <c r="GE100" s="325" t="s">
        <v>887</v>
      </c>
      <c r="GF100" s="325" t="s">
        <v>522</v>
      </c>
      <c r="GG100" s="325" t="s">
        <v>850</v>
      </c>
      <c r="GH100" s="325" t="s">
        <v>938</v>
      </c>
      <c r="GI100" s="328">
        <f t="shared" si="8"/>
        <v>20</v>
      </c>
      <c r="GJ100" s="329" t="s">
        <v>906</v>
      </c>
    </row>
    <row r="101" spans="1:192" s="329" customFormat="1">
      <c r="A101" s="325" t="s">
        <v>526</v>
      </c>
      <c r="B101" s="325" t="s">
        <v>517</v>
      </c>
      <c r="C101" s="325" t="s">
        <v>555</v>
      </c>
      <c r="D101" s="325" t="s">
        <v>636</v>
      </c>
      <c r="E101" s="325" t="s">
        <v>614</v>
      </c>
      <c r="F101" s="325" t="s">
        <v>520</v>
      </c>
      <c r="G101" s="325" t="s">
        <v>939</v>
      </c>
      <c r="H101" s="326"/>
      <c r="I101" s="326"/>
      <c r="J101" s="326"/>
      <c r="K101" s="326"/>
      <c r="L101" s="326"/>
      <c r="M101" s="326"/>
      <c r="N101" s="326"/>
      <c r="O101" s="326"/>
      <c r="P101" s="326"/>
      <c r="Q101" s="326"/>
      <c r="R101" s="326"/>
      <c r="S101" s="326"/>
      <c r="T101" s="326"/>
      <c r="U101" s="326"/>
      <c r="V101" s="326"/>
      <c r="W101" s="326"/>
      <c r="X101" s="326"/>
      <c r="Y101" s="326"/>
      <c r="Z101" s="326"/>
      <c r="AA101" s="326"/>
      <c r="AB101" s="326"/>
      <c r="AC101" s="326"/>
      <c r="AD101" s="326"/>
      <c r="AE101" s="326"/>
      <c r="AF101" s="326"/>
      <c r="AG101" s="326"/>
      <c r="AH101" s="326"/>
      <c r="AI101" s="326"/>
      <c r="AJ101" s="326"/>
      <c r="AK101" s="326"/>
      <c r="AL101" s="326"/>
      <c r="AM101" s="326"/>
      <c r="AN101" s="326"/>
      <c r="AO101" s="326"/>
      <c r="AP101" s="326"/>
      <c r="AQ101" s="326"/>
      <c r="AR101" s="326"/>
      <c r="AS101" s="326"/>
      <c r="AT101" s="326"/>
      <c r="AU101" s="326"/>
      <c r="AV101" s="326"/>
      <c r="AW101" s="326"/>
      <c r="AX101" s="326"/>
      <c r="AY101" s="326"/>
      <c r="AZ101" s="326"/>
      <c r="BA101" s="326"/>
      <c r="BB101" s="326"/>
      <c r="BC101" s="326"/>
      <c r="BD101" s="326"/>
      <c r="BE101" s="326"/>
      <c r="BF101" s="326"/>
      <c r="BG101" s="326"/>
      <c r="BH101" s="326"/>
      <c r="BI101" s="326"/>
      <c r="BJ101" s="326"/>
      <c r="BK101" s="326"/>
      <c r="BL101" s="326"/>
      <c r="BM101" s="326"/>
      <c r="BN101" s="326"/>
      <c r="BO101" s="326"/>
      <c r="BP101" s="326"/>
      <c r="BQ101" s="326"/>
      <c r="BR101" s="326"/>
      <c r="BS101" s="326"/>
      <c r="BT101" s="326"/>
      <c r="BU101" s="326"/>
      <c r="BV101" s="326"/>
      <c r="BW101" s="326"/>
      <c r="BX101" s="326"/>
      <c r="BY101" s="326"/>
      <c r="BZ101" s="326"/>
      <c r="CA101" s="326"/>
      <c r="CB101" s="326"/>
      <c r="CC101" s="326"/>
      <c r="CD101" s="326"/>
      <c r="CE101" s="326"/>
      <c r="CF101" s="326"/>
      <c r="CG101" s="326"/>
      <c r="CH101" s="326"/>
      <c r="CI101" s="326"/>
      <c r="CJ101" s="326"/>
      <c r="CK101" s="326"/>
      <c r="CL101" s="326"/>
      <c r="CM101" s="326"/>
      <c r="CN101" s="326"/>
      <c r="CO101" s="326"/>
      <c r="CP101" s="326"/>
      <c r="CQ101" s="326"/>
      <c r="CR101" s="326"/>
      <c r="CS101" s="326"/>
      <c r="CT101" s="326"/>
      <c r="CU101" s="326"/>
      <c r="CV101" s="326"/>
      <c r="CW101" s="326"/>
      <c r="CX101" s="326"/>
      <c r="CY101" s="326"/>
      <c r="CZ101" s="326"/>
      <c r="DA101" s="326"/>
      <c r="DB101" s="326"/>
      <c r="DC101" s="326"/>
      <c r="DD101" s="326"/>
      <c r="DE101" s="326"/>
      <c r="DF101" s="326"/>
      <c r="DG101" s="326"/>
      <c r="DH101" s="326"/>
      <c r="DI101" s="326"/>
      <c r="DJ101" s="326"/>
      <c r="DK101" s="326"/>
      <c r="DL101" s="326"/>
      <c r="DM101" s="326"/>
      <c r="DN101" s="326"/>
      <c r="DO101" s="326"/>
      <c r="DP101" s="326"/>
      <c r="DQ101" s="326"/>
      <c r="DR101" s="326"/>
      <c r="DS101" s="326"/>
      <c r="DT101" s="326"/>
      <c r="DU101" s="326"/>
      <c r="DV101" s="326"/>
      <c r="DW101" s="326"/>
      <c r="DX101" s="326"/>
      <c r="DY101" s="326"/>
      <c r="DZ101" s="326"/>
      <c r="EA101" s="326"/>
      <c r="EB101" s="326"/>
      <c r="EC101" s="326"/>
      <c r="ED101" s="326"/>
      <c r="EE101" s="326"/>
      <c r="EF101" s="326"/>
      <c r="EG101" s="326"/>
      <c r="EH101" s="326"/>
      <c r="EI101" s="326"/>
      <c r="EJ101" s="326"/>
      <c r="EK101" s="326"/>
      <c r="EL101" s="326"/>
      <c r="EM101" s="326"/>
      <c r="EN101" s="332">
        <v>10</v>
      </c>
      <c r="EO101" s="326"/>
      <c r="EP101" s="326"/>
      <c r="EQ101" s="326"/>
      <c r="ER101" s="326"/>
      <c r="ES101" s="326"/>
      <c r="ET101" s="326"/>
      <c r="EU101" s="326"/>
      <c r="EV101" s="326"/>
      <c r="EW101" s="332">
        <v>20</v>
      </c>
      <c r="EX101" s="326"/>
      <c r="EY101" s="326"/>
      <c r="EZ101" s="326"/>
      <c r="FA101" s="326"/>
      <c r="FB101" s="326"/>
      <c r="FC101" s="326"/>
      <c r="FD101" s="326"/>
      <c r="FE101" s="326"/>
      <c r="FF101" s="326"/>
      <c r="FG101" s="326"/>
      <c r="FH101" s="326"/>
      <c r="FI101" s="326"/>
      <c r="FJ101" s="326"/>
      <c r="FK101" s="326"/>
      <c r="FL101" s="326"/>
      <c r="FM101" s="326"/>
      <c r="FN101" s="326"/>
      <c r="FO101" s="326"/>
      <c r="FP101" s="326"/>
      <c r="FQ101" s="326"/>
      <c r="FR101" s="326"/>
      <c r="FS101" s="326"/>
      <c r="FT101" s="326"/>
      <c r="FU101" s="326"/>
      <c r="FV101" s="326"/>
      <c r="FW101" s="326"/>
      <c r="FX101" s="326"/>
      <c r="FY101" s="326"/>
      <c r="FZ101" s="326"/>
      <c r="GA101" s="326"/>
      <c r="GB101" s="326"/>
      <c r="GC101" s="326"/>
      <c r="GD101" s="327"/>
      <c r="GE101" s="325" t="s">
        <v>887</v>
      </c>
      <c r="GF101" s="325" t="s">
        <v>522</v>
      </c>
      <c r="GG101" s="325" t="s">
        <v>850</v>
      </c>
      <c r="GH101" s="325" t="s">
        <v>617</v>
      </c>
      <c r="GI101" s="328">
        <f t="shared" si="8"/>
        <v>30</v>
      </c>
      <c r="GJ101" s="329" t="s">
        <v>905</v>
      </c>
    </row>
    <row r="102" spans="1:192" s="329" customFormat="1">
      <c r="A102" s="325" t="s">
        <v>526</v>
      </c>
      <c r="B102" s="325" t="s">
        <v>517</v>
      </c>
      <c r="C102" s="325" t="s">
        <v>555</v>
      </c>
      <c r="D102" s="325" t="s">
        <v>633</v>
      </c>
      <c r="E102" s="325" t="s">
        <v>614</v>
      </c>
      <c r="F102" s="325" t="s">
        <v>520</v>
      </c>
      <c r="G102" s="325" t="s">
        <v>939</v>
      </c>
      <c r="H102" s="326"/>
      <c r="I102" s="326"/>
      <c r="J102" s="326"/>
      <c r="K102" s="326"/>
      <c r="L102" s="326"/>
      <c r="M102" s="326"/>
      <c r="N102" s="326"/>
      <c r="O102" s="326"/>
      <c r="P102" s="326"/>
      <c r="Q102" s="326"/>
      <c r="R102" s="326"/>
      <c r="S102" s="326"/>
      <c r="T102" s="326"/>
      <c r="U102" s="326"/>
      <c r="V102" s="326"/>
      <c r="W102" s="326"/>
      <c r="X102" s="326"/>
      <c r="Y102" s="326"/>
      <c r="Z102" s="326"/>
      <c r="AA102" s="326"/>
      <c r="AB102" s="326"/>
      <c r="AC102" s="326"/>
      <c r="AD102" s="326"/>
      <c r="AE102" s="326"/>
      <c r="AF102" s="326"/>
      <c r="AG102" s="326"/>
      <c r="AH102" s="326"/>
      <c r="AI102" s="326"/>
      <c r="AJ102" s="326"/>
      <c r="AK102" s="326"/>
      <c r="AL102" s="326"/>
      <c r="AM102" s="326"/>
      <c r="AN102" s="326"/>
      <c r="AO102" s="326"/>
      <c r="AP102" s="326"/>
      <c r="AQ102" s="326"/>
      <c r="AR102" s="326"/>
      <c r="AS102" s="326"/>
      <c r="AT102" s="326"/>
      <c r="AU102" s="326"/>
      <c r="AV102" s="326"/>
      <c r="AW102" s="326"/>
      <c r="AX102" s="326"/>
      <c r="AY102" s="326"/>
      <c r="AZ102" s="326"/>
      <c r="BA102" s="326"/>
      <c r="BB102" s="326"/>
      <c r="BC102" s="326"/>
      <c r="BD102" s="326"/>
      <c r="BE102" s="326"/>
      <c r="BF102" s="326"/>
      <c r="BG102" s="326"/>
      <c r="BH102" s="326"/>
      <c r="BI102" s="326"/>
      <c r="BJ102" s="326"/>
      <c r="BK102" s="326"/>
      <c r="BL102" s="326"/>
      <c r="BM102" s="326"/>
      <c r="BN102" s="326"/>
      <c r="BO102" s="326"/>
      <c r="BP102" s="326"/>
      <c r="BQ102" s="326"/>
      <c r="BR102" s="326"/>
      <c r="BS102" s="326"/>
      <c r="BT102" s="326"/>
      <c r="BU102" s="326"/>
      <c r="BV102" s="326"/>
      <c r="BW102" s="326"/>
      <c r="BX102" s="326"/>
      <c r="BY102" s="326"/>
      <c r="BZ102" s="326"/>
      <c r="CA102" s="326"/>
      <c r="CB102" s="326"/>
      <c r="CC102" s="326"/>
      <c r="CD102" s="326"/>
      <c r="CE102" s="326"/>
      <c r="CF102" s="326"/>
      <c r="CG102" s="326"/>
      <c r="CH102" s="326"/>
      <c r="CI102" s="326"/>
      <c r="CJ102" s="326"/>
      <c r="CK102" s="326"/>
      <c r="CL102" s="326"/>
      <c r="CM102" s="326"/>
      <c r="CN102" s="326"/>
      <c r="CO102" s="330">
        <f>20-20</f>
        <v>0</v>
      </c>
      <c r="CP102" s="330">
        <f>20-20</f>
        <v>0</v>
      </c>
      <c r="CQ102" s="326"/>
      <c r="CR102" s="326"/>
      <c r="CS102" s="326"/>
      <c r="CT102" s="330">
        <f>20-20</f>
        <v>0</v>
      </c>
      <c r="CU102" s="330">
        <f>20-20</f>
        <v>0</v>
      </c>
      <c r="CV102" s="326"/>
      <c r="CW102" s="326"/>
      <c r="CX102" s="326"/>
      <c r="CY102" s="326"/>
      <c r="CZ102" s="326"/>
      <c r="DA102" s="326"/>
      <c r="DB102" s="326"/>
      <c r="DC102" s="326"/>
      <c r="DD102" s="326"/>
      <c r="DE102" s="326"/>
      <c r="DF102" s="326"/>
      <c r="DG102" s="326"/>
      <c r="DH102" s="326"/>
      <c r="DI102" s="326"/>
      <c r="DJ102" s="326"/>
      <c r="DK102" s="326"/>
      <c r="DL102" s="330">
        <f>20-20+3</f>
        <v>3</v>
      </c>
      <c r="DM102" s="330">
        <f>20-20+5</f>
        <v>5</v>
      </c>
      <c r="DN102" s="326"/>
      <c r="DO102" s="326"/>
      <c r="DP102" s="326"/>
      <c r="DQ102" s="326"/>
      <c r="DR102" s="326"/>
      <c r="DS102" s="326"/>
      <c r="DT102" s="326"/>
      <c r="DU102" s="326"/>
      <c r="DV102" s="326"/>
      <c r="DW102" s="326"/>
      <c r="DX102" s="326"/>
      <c r="DY102" s="326"/>
      <c r="DZ102" s="326"/>
      <c r="EA102" s="326"/>
      <c r="EB102" s="326"/>
      <c r="EC102" s="326"/>
      <c r="ED102" s="326"/>
      <c r="EE102" s="326"/>
      <c r="EF102" s="326"/>
      <c r="EG102" s="326"/>
      <c r="EH102" s="326"/>
      <c r="EI102" s="326"/>
      <c r="EJ102" s="326"/>
      <c r="EK102" s="326"/>
      <c r="EL102" s="330">
        <f>200-200</f>
        <v>0</v>
      </c>
      <c r="EM102" s="330">
        <f>200-200</f>
        <v>0</v>
      </c>
      <c r="EN102" s="330">
        <f>200-200</f>
        <v>0</v>
      </c>
      <c r="EO102" s="326"/>
      <c r="EP102" s="330">
        <f>200-200+20</f>
        <v>20</v>
      </c>
      <c r="EQ102" s="326"/>
      <c r="ER102" s="330">
        <f>200-200+200</f>
        <v>200</v>
      </c>
      <c r="ES102" s="326"/>
      <c r="ET102" s="326"/>
      <c r="EU102" s="330">
        <f>200-200</f>
        <v>0</v>
      </c>
      <c r="EV102" s="330">
        <f>200-200</f>
        <v>0</v>
      </c>
      <c r="EW102" s="330">
        <f>200-200</f>
        <v>0</v>
      </c>
      <c r="EX102" s="326"/>
      <c r="EY102" s="326"/>
      <c r="EZ102" s="326"/>
      <c r="FA102" s="326"/>
      <c r="FB102" s="326"/>
      <c r="FC102" s="326"/>
      <c r="FD102" s="326"/>
      <c r="FE102" s="326"/>
      <c r="FF102" s="326"/>
      <c r="FG102" s="326"/>
      <c r="FH102" s="326"/>
      <c r="FI102" s="326"/>
      <c r="FJ102" s="326"/>
      <c r="FK102" s="326"/>
      <c r="FL102" s="326"/>
      <c r="FM102" s="326"/>
      <c r="FN102" s="330">
        <f>100-100</f>
        <v>0</v>
      </c>
      <c r="FO102" s="326"/>
      <c r="FP102" s="326"/>
      <c r="FQ102" s="326"/>
      <c r="FR102" s="326"/>
      <c r="FS102" s="326"/>
      <c r="FT102" s="326"/>
      <c r="FU102" s="326"/>
      <c r="FV102" s="326"/>
      <c r="FW102" s="326"/>
      <c r="FX102" s="326"/>
      <c r="FY102" s="326"/>
      <c r="FZ102" s="326"/>
      <c r="GA102" s="326"/>
      <c r="GB102" s="326"/>
      <c r="GC102" s="326"/>
      <c r="GD102" s="327" t="s">
        <v>850</v>
      </c>
      <c r="GE102" s="325" t="s">
        <v>887</v>
      </c>
      <c r="GF102" s="325" t="s">
        <v>522</v>
      </c>
      <c r="GG102" s="325" t="s">
        <v>850</v>
      </c>
      <c r="GH102" s="325" t="s">
        <v>617</v>
      </c>
      <c r="GI102" s="328">
        <f t="shared" si="8"/>
        <v>228</v>
      </c>
      <c r="GJ102" s="329" t="s">
        <v>905</v>
      </c>
    </row>
    <row r="103" spans="1:192" s="329" customFormat="1">
      <c r="A103" s="325" t="s">
        <v>526</v>
      </c>
      <c r="B103" s="325" t="s">
        <v>517</v>
      </c>
      <c r="C103" s="325" t="s">
        <v>555</v>
      </c>
      <c r="D103" s="325" t="s">
        <v>3</v>
      </c>
      <c r="E103" s="325" t="s">
        <v>614</v>
      </c>
      <c r="F103" s="325" t="s">
        <v>520</v>
      </c>
      <c r="G103" s="325"/>
      <c r="H103" s="326"/>
      <c r="I103" s="326"/>
      <c r="J103" s="326"/>
      <c r="K103" s="326"/>
      <c r="L103" s="326"/>
      <c r="M103" s="326"/>
      <c r="N103" s="326"/>
      <c r="O103" s="326"/>
      <c r="P103" s="326"/>
      <c r="Q103" s="326"/>
      <c r="R103" s="326"/>
      <c r="S103" s="326"/>
      <c r="T103" s="326"/>
      <c r="U103" s="326"/>
      <c r="V103" s="326"/>
      <c r="W103" s="326"/>
      <c r="X103" s="326"/>
      <c r="Y103" s="326"/>
      <c r="Z103" s="326"/>
      <c r="AA103" s="326"/>
      <c r="AB103" s="326"/>
      <c r="AC103" s="326"/>
      <c r="AD103" s="326"/>
      <c r="AE103" s="326"/>
      <c r="AF103" s="326"/>
      <c r="AG103" s="326"/>
      <c r="AH103" s="326"/>
      <c r="AI103" s="326"/>
      <c r="AJ103" s="326"/>
      <c r="AK103" s="326"/>
      <c r="AL103" s="326"/>
      <c r="AM103" s="326"/>
      <c r="AN103" s="326"/>
      <c r="AO103" s="326"/>
      <c r="AP103" s="326"/>
      <c r="AQ103" s="326"/>
      <c r="AR103" s="326"/>
      <c r="AS103" s="326"/>
      <c r="AT103" s="326"/>
      <c r="AU103" s="326"/>
      <c r="AV103" s="326"/>
      <c r="AW103" s="326"/>
      <c r="AX103" s="326"/>
      <c r="AY103" s="326"/>
      <c r="AZ103" s="326"/>
      <c r="BA103" s="326"/>
      <c r="BB103" s="326"/>
      <c r="BC103" s="326"/>
      <c r="BD103" s="326"/>
      <c r="BE103" s="326"/>
      <c r="BF103" s="326"/>
      <c r="BG103" s="326"/>
      <c r="BH103" s="326"/>
      <c r="BI103" s="326"/>
      <c r="BJ103" s="326"/>
      <c r="BK103" s="326"/>
      <c r="BL103" s="326"/>
      <c r="BM103" s="326"/>
      <c r="BN103" s="326"/>
      <c r="BO103" s="326"/>
      <c r="BP103" s="326"/>
      <c r="BQ103" s="326"/>
      <c r="BR103" s="326"/>
      <c r="BS103" s="326"/>
      <c r="BT103" s="326"/>
      <c r="BU103" s="326"/>
      <c r="BV103" s="326"/>
      <c r="BW103" s="326"/>
      <c r="BX103" s="326"/>
      <c r="BY103" s="326"/>
      <c r="BZ103" s="326"/>
      <c r="CA103" s="326"/>
      <c r="CB103" s="326"/>
      <c r="CC103" s="326"/>
      <c r="CD103" s="326"/>
      <c r="CE103" s="326"/>
      <c r="CF103" s="326"/>
      <c r="CG103" s="326"/>
      <c r="CH103" s="326"/>
      <c r="CI103" s="326"/>
      <c r="CJ103" s="326"/>
      <c r="CK103" s="326"/>
      <c r="CL103" s="326"/>
      <c r="CM103" s="326"/>
      <c r="CN103" s="326"/>
      <c r="CO103" s="326"/>
      <c r="CP103" s="326"/>
      <c r="CQ103" s="326"/>
      <c r="CR103" s="326"/>
      <c r="CS103" s="326"/>
      <c r="CT103" s="326"/>
      <c r="CU103" s="326"/>
      <c r="CV103" s="326"/>
      <c r="CW103" s="326"/>
      <c r="CX103" s="326"/>
      <c r="CY103" s="326"/>
      <c r="CZ103" s="326"/>
      <c r="DA103" s="326"/>
      <c r="DB103" s="326"/>
      <c r="DC103" s="326"/>
      <c r="DD103" s="326"/>
      <c r="DE103" s="326"/>
      <c r="DF103" s="326"/>
      <c r="DG103" s="326"/>
      <c r="DH103" s="326"/>
      <c r="DI103" s="326"/>
      <c r="DJ103" s="326"/>
      <c r="DK103" s="326"/>
      <c r="DL103" s="326"/>
      <c r="DM103" s="326"/>
      <c r="DN103" s="326"/>
      <c r="DO103" s="326"/>
      <c r="DP103" s="326"/>
      <c r="DQ103" s="326"/>
      <c r="DR103" s="326"/>
      <c r="DS103" s="326"/>
      <c r="DT103" s="326"/>
      <c r="DU103" s="326"/>
      <c r="DV103" s="326"/>
      <c r="DW103" s="326"/>
      <c r="DX103" s="326"/>
      <c r="DY103" s="326"/>
      <c r="DZ103" s="326"/>
      <c r="EA103" s="326"/>
      <c r="EB103" s="326"/>
      <c r="EC103" s="326"/>
      <c r="ED103" s="326"/>
      <c r="EE103" s="326"/>
      <c r="EF103" s="326"/>
      <c r="EG103" s="326"/>
      <c r="EH103" s="326"/>
      <c r="EI103" s="326"/>
      <c r="EJ103" s="326"/>
      <c r="EK103" s="326"/>
      <c r="EL103" s="326"/>
      <c r="EM103" s="326"/>
      <c r="EN103" s="326"/>
      <c r="EO103" s="326"/>
      <c r="EP103" s="326"/>
      <c r="EQ103" s="326"/>
      <c r="ER103" s="326"/>
      <c r="ES103" s="326"/>
      <c r="ET103" s="326"/>
      <c r="EU103" s="326"/>
      <c r="EV103" s="326"/>
      <c r="EW103" s="326"/>
      <c r="EX103" s="326"/>
      <c r="EY103" s="326"/>
      <c r="EZ103" s="326"/>
      <c r="FA103" s="326"/>
      <c r="FB103" s="326"/>
      <c r="FC103" s="326"/>
      <c r="FD103" s="326"/>
      <c r="FE103" s="326"/>
      <c r="FF103" s="326"/>
      <c r="FG103" s="326"/>
      <c r="FH103" s="326"/>
      <c r="FI103" s="326"/>
      <c r="FJ103" s="326"/>
      <c r="FK103" s="326"/>
      <c r="FL103" s="326"/>
      <c r="FM103" s="326"/>
      <c r="FN103" s="332">
        <f>100</f>
        <v>100</v>
      </c>
      <c r="FO103" s="326"/>
      <c r="FP103" s="326"/>
      <c r="FQ103" s="326"/>
      <c r="FR103" s="326"/>
      <c r="FS103" s="326"/>
      <c r="FT103" s="326"/>
      <c r="FU103" s="326"/>
      <c r="FV103" s="326"/>
      <c r="FW103" s="326"/>
      <c r="FX103" s="326"/>
      <c r="FY103" s="326"/>
      <c r="FZ103" s="326"/>
      <c r="GA103" s="326"/>
      <c r="GB103" s="326"/>
      <c r="GC103" s="326"/>
      <c r="GD103" s="327"/>
      <c r="GE103" s="325" t="s">
        <v>887</v>
      </c>
      <c r="GF103" s="325" t="s">
        <v>522</v>
      </c>
      <c r="GG103" s="325" t="s">
        <v>850</v>
      </c>
      <c r="GH103" s="325" t="s">
        <v>617</v>
      </c>
      <c r="GI103" s="328">
        <f t="shared" ref="GI103:GI112" si="16">SUM(H103:GC103)</f>
        <v>100</v>
      </c>
      <c r="GJ103" s="329" t="s">
        <v>905</v>
      </c>
    </row>
    <row r="104" spans="1:192" s="329" customFormat="1">
      <c r="A104" s="325" t="s">
        <v>540</v>
      </c>
      <c r="B104" s="325" t="s">
        <v>517</v>
      </c>
      <c r="C104" s="325" t="s">
        <v>555</v>
      </c>
      <c r="D104" s="325" t="s">
        <v>636</v>
      </c>
      <c r="E104" s="325" t="s">
        <v>618</v>
      </c>
      <c r="F104" s="325" t="s">
        <v>520</v>
      </c>
      <c r="G104" s="325" t="s">
        <v>940</v>
      </c>
      <c r="H104" s="326"/>
      <c r="I104" s="326"/>
      <c r="J104" s="326"/>
      <c r="K104" s="326"/>
      <c r="L104" s="326"/>
      <c r="M104" s="326"/>
      <c r="N104" s="326"/>
      <c r="O104" s="326"/>
      <c r="P104" s="326"/>
      <c r="Q104" s="326"/>
      <c r="R104" s="326"/>
      <c r="S104" s="326"/>
      <c r="T104" s="326"/>
      <c r="U104" s="326"/>
      <c r="V104" s="326"/>
      <c r="W104" s="326"/>
      <c r="X104" s="326"/>
      <c r="Y104" s="326"/>
      <c r="Z104" s="326"/>
      <c r="AA104" s="326"/>
      <c r="AB104" s="326"/>
      <c r="AC104" s="326"/>
      <c r="AD104" s="326"/>
      <c r="AE104" s="326"/>
      <c r="AF104" s="326"/>
      <c r="AG104" s="326"/>
      <c r="AH104" s="32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26"/>
      <c r="AZ104" s="326"/>
      <c r="BA104" s="32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6"/>
      <c r="BO104" s="326"/>
      <c r="BP104" s="326"/>
      <c r="BQ104" s="326"/>
      <c r="BR104" s="326"/>
      <c r="BS104" s="326"/>
      <c r="BT104" s="326"/>
      <c r="BU104" s="326"/>
      <c r="BV104" s="326"/>
      <c r="BW104" s="326"/>
      <c r="BX104" s="326"/>
      <c r="BY104" s="326"/>
      <c r="BZ104" s="326"/>
      <c r="CA104" s="326"/>
      <c r="CB104" s="326"/>
      <c r="CC104" s="326"/>
      <c r="CD104" s="326"/>
      <c r="CE104" s="326"/>
      <c r="CF104" s="326"/>
      <c r="CG104" s="326"/>
      <c r="CH104" s="326"/>
      <c r="CI104" s="326"/>
      <c r="CJ104" s="326"/>
      <c r="CK104" s="326"/>
      <c r="CL104" s="326"/>
      <c r="CM104" s="326"/>
      <c r="CN104" s="326"/>
      <c r="CO104" s="326"/>
      <c r="CP104" s="326"/>
      <c r="CQ104" s="326"/>
      <c r="CR104" s="326"/>
      <c r="CS104" s="326"/>
      <c r="CT104" s="326"/>
      <c r="CU104" s="326"/>
      <c r="CV104" s="326"/>
      <c r="CW104" s="326"/>
      <c r="CX104" s="326"/>
      <c r="CY104" s="326"/>
      <c r="CZ104" s="326"/>
      <c r="DA104" s="326"/>
      <c r="DB104" s="326"/>
      <c r="DC104" s="326"/>
      <c r="DD104" s="326"/>
      <c r="DE104" s="326"/>
      <c r="DF104" s="326"/>
      <c r="DG104" s="326"/>
      <c r="DH104" s="326"/>
      <c r="DI104" s="326"/>
      <c r="DJ104" s="326"/>
      <c r="DK104" s="326"/>
      <c r="DL104" s="326"/>
      <c r="DM104" s="326"/>
      <c r="DN104" s="326"/>
      <c r="DO104" s="326"/>
      <c r="DP104" s="326"/>
      <c r="DQ104" s="326"/>
      <c r="DR104" s="326"/>
      <c r="DS104" s="326"/>
      <c r="DT104" s="326"/>
      <c r="DU104" s="326"/>
      <c r="DV104" s="326"/>
      <c r="DW104" s="326"/>
      <c r="DX104" s="326"/>
      <c r="DY104" s="326"/>
      <c r="DZ104" s="326"/>
      <c r="EA104" s="326"/>
      <c r="EB104" s="326"/>
      <c r="EC104" s="326"/>
      <c r="ED104" s="326"/>
      <c r="EE104" s="326"/>
      <c r="EF104" s="326"/>
      <c r="EG104" s="326"/>
      <c r="EH104" s="326"/>
      <c r="EI104" s="326"/>
      <c r="EJ104" s="326"/>
      <c r="EK104" s="326"/>
      <c r="EL104" s="326"/>
      <c r="EM104" s="326"/>
      <c r="EN104" s="326"/>
      <c r="EO104" s="326"/>
      <c r="EP104" s="326"/>
      <c r="EQ104" s="326"/>
      <c r="ER104" s="326"/>
      <c r="ES104" s="326"/>
      <c r="ET104" s="326"/>
      <c r="EU104" s="326"/>
      <c r="EV104" s="326"/>
      <c r="EW104" s="326"/>
      <c r="EX104" s="326"/>
      <c r="EY104" s="326"/>
      <c r="EZ104" s="326"/>
      <c r="FA104" s="326"/>
      <c r="FB104" s="326"/>
      <c r="FC104" s="326"/>
      <c r="FD104" s="326"/>
      <c r="FE104" s="326"/>
      <c r="FF104" s="326"/>
      <c r="FG104" s="326"/>
      <c r="FH104" s="326"/>
      <c r="FI104" s="326"/>
      <c r="FJ104" s="326"/>
      <c r="FK104" s="326"/>
      <c r="FL104" s="326"/>
      <c r="FM104" s="326"/>
      <c r="FN104" s="326"/>
      <c r="FO104" s="326"/>
      <c r="FP104" s="326"/>
      <c r="FQ104" s="326"/>
      <c r="FR104" s="326"/>
      <c r="FS104" s="326"/>
      <c r="FT104" s="326"/>
      <c r="FU104" s="326"/>
      <c r="FV104" s="326"/>
      <c r="FW104" s="326"/>
      <c r="FX104" s="326"/>
      <c r="FY104" s="326"/>
      <c r="FZ104" s="326"/>
      <c r="GA104" s="326"/>
      <c r="GB104" s="326"/>
      <c r="GC104" s="326"/>
      <c r="GD104" s="327"/>
      <c r="GE104" s="325" t="s">
        <v>887</v>
      </c>
      <c r="GF104" s="325" t="s">
        <v>522</v>
      </c>
      <c r="GG104" s="325" t="s">
        <v>850</v>
      </c>
      <c r="GH104" s="325" t="s">
        <v>592</v>
      </c>
      <c r="GI104" s="328">
        <f t="shared" si="16"/>
        <v>0</v>
      </c>
      <c r="GJ104" s="329" t="s">
        <v>905</v>
      </c>
    </row>
    <row r="105" spans="1:192" s="329" customFormat="1">
      <c r="A105" s="325" t="s">
        <v>540</v>
      </c>
      <c r="B105" s="325" t="s">
        <v>517</v>
      </c>
      <c r="C105" s="325" t="s">
        <v>555</v>
      </c>
      <c r="D105" s="325" t="s">
        <v>633</v>
      </c>
      <c r="E105" s="325" t="s">
        <v>618</v>
      </c>
      <c r="F105" s="325" t="s">
        <v>520</v>
      </c>
      <c r="G105" s="325" t="s">
        <v>940</v>
      </c>
      <c r="H105" s="326"/>
      <c r="I105" s="326"/>
      <c r="J105" s="326"/>
      <c r="K105" s="330">
        <f>10-10</f>
        <v>0</v>
      </c>
      <c r="L105" s="326"/>
      <c r="M105" s="326"/>
      <c r="N105" s="326"/>
      <c r="O105" s="330">
        <f>10-10</f>
        <v>0</v>
      </c>
      <c r="P105" s="326"/>
      <c r="Q105" s="326"/>
      <c r="R105" s="326"/>
      <c r="S105" s="326"/>
      <c r="T105" s="326"/>
      <c r="U105" s="326"/>
      <c r="V105" s="326"/>
      <c r="W105" s="326"/>
      <c r="X105" s="326"/>
      <c r="Y105" s="326"/>
      <c r="Z105" s="326"/>
      <c r="AA105" s="326"/>
      <c r="AB105" s="326"/>
      <c r="AC105" s="330">
        <f>10-10+5</f>
        <v>5</v>
      </c>
      <c r="AD105" s="326"/>
      <c r="AE105" s="326"/>
      <c r="AF105" s="326"/>
      <c r="AG105" s="326"/>
      <c r="AH105" s="32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/>
      <c r="BC105" s="326"/>
      <c r="BD105" s="326"/>
      <c r="BE105" s="326"/>
      <c r="BF105" s="326"/>
      <c r="BG105" s="326"/>
      <c r="BH105" s="326"/>
      <c r="BI105" s="326"/>
      <c r="BJ105" s="326"/>
      <c r="BK105" s="326"/>
      <c r="BL105" s="326"/>
      <c r="BM105" s="326"/>
      <c r="BN105" s="326"/>
      <c r="BO105" s="326"/>
      <c r="BP105" s="330">
        <f>20-20+2</f>
        <v>2</v>
      </c>
      <c r="BQ105" s="326"/>
      <c r="BR105" s="326"/>
      <c r="BS105" s="326"/>
      <c r="BT105" s="326"/>
      <c r="BU105" s="326"/>
      <c r="BV105" s="326"/>
      <c r="BW105" s="326"/>
      <c r="BX105" s="326"/>
      <c r="BY105" s="326"/>
      <c r="BZ105" s="326"/>
      <c r="CA105" s="326"/>
      <c r="CB105" s="326"/>
      <c r="CC105" s="326"/>
      <c r="CD105" s="326"/>
      <c r="CE105" s="326"/>
      <c r="CF105" s="326"/>
      <c r="CG105" s="326"/>
      <c r="CH105" s="326"/>
      <c r="CI105" s="326"/>
      <c r="CJ105" s="326"/>
      <c r="CK105" s="326"/>
      <c r="CL105" s="326"/>
      <c r="CM105" s="326"/>
      <c r="CN105" s="326"/>
      <c r="CO105" s="330">
        <f>50-50</f>
        <v>0</v>
      </c>
      <c r="CP105" s="326"/>
      <c r="CQ105" s="326"/>
      <c r="CR105" s="330">
        <f>50-50+10</f>
        <v>10</v>
      </c>
      <c r="CS105" s="326"/>
      <c r="CT105" s="326"/>
      <c r="CU105" s="326"/>
      <c r="CV105" s="326"/>
      <c r="CW105" s="326"/>
      <c r="CX105" s="326"/>
      <c r="CY105" s="326"/>
      <c r="CZ105" s="330">
        <f>50-50+15</f>
        <v>15</v>
      </c>
      <c r="DA105" s="326"/>
      <c r="DB105" s="326"/>
      <c r="DC105" s="326"/>
      <c r="DD105" s="326"/>
      <c r="DE105" s="326"/>
      <c r="DF105" s="326"/>
      <c r="DG105" s="326"/>
      <c r="DH105" s="326"/>
      <c r="DI105" s="326"/>
      <c r="DJ105" s="330">
        <f>50-50+5</f>
        <v>5</v>
      </c>
      <c r="DK105" s="326"/>
      <c r="DL105" s="326"/>
      <c r="DM105" s="326"/>
      <c r="DN105" s="326"/>
      <c r="DO105" s="326"/>
      <c r="DP105" s="326"/>
      <c r="DQ105" s="326"/>
      <c r="DR105" s="326"/>
      <c r="DS105" s="326"/>
      <c r="DT105" s="326"/>
      <c r="DU105" s="326"/>
      <c r="DV105" s="326"/>
      <c r="DW105" s="326"/>
      <c r="DX105" s="326"/>
      <c r="DY105" s="326"/>
      <c r="DZ105" s="326"/>
      <c r="EA105" s="326"/>
      <c r="EB105" s="326"/>
      <c r="EC105" s="326"/>
      <c r="ED105" s="326"/>
      <c r="EE105" s="326"/>
      <c r="EF105" s="326"/>
      <c r="EG105" s="326"/>
      <c r="EH105" s="326"/>
      <c r="EI105" s="326"/>
      <c r="EJ105" s="326"/>
      <c r="EK105" s="326"/>
      <c r="EL105" s="326"/>
      <c r="EM105" s="326"/>
      <c r="EN105" s="326"/>
      <c r="EO105" s="326"/>
      <c r="EP105" s="326"/>
      <c r="EQ105" s="326"/>
      <c r="ER105" s="326"/>
      <c r="ES105" s="326"/>
      <c r="ET105" s="326"/>
      <c r="EU105" s="326"/>
      <c r="EV105" s="326"/>
      <c r="EW105" s="326"/>
      <c r="EX105" s="326"/>
      <c r="EY105" s="330">
        <f>100-100</f>
        <v>0</v>
      </c>
      <c r="EZ105" s="326"/>
      <c r="FA105" s="326"/>
      <c r="FB105" s="326"/>
      <c r="FC105" s="326"/>
      <c r="FD105" s="326"/>
      <c r="FE105" s="326"/>
      <c r="FF105" s="326"/>
      <c r="FG105" s="326"/>
      <c r="FH105" s="326"/>
      <c r="FI105" s="326"/>
      <c r="FJ105" s="326"/>
      <c r="FK105" s="326"/>
      <c r="FL105" s="326"/>
      <c r="FM105" s="326"/>
      <c r="FN105" s="326"/>
      <c r="FO105" s="326"/>
      <c r="FP105" s="326"/>
      <c r="FQ105" s="326"/>
      <c r="FR105" s="326"/>
      <c r="FS105" s="326"/>
      <c r="FT105" s="326"/>
      <c r="FU105" s="326"/>
      <c r="FV105" s="326"/>
      <c r="FW105" s="326"/>
      <c r="FX105" s="326"/>
      <c r="FY105" s="326"/>
      <c r="FZ105" s="326"/>
      <c r="GA105" s="326"/>
      <c r="GB105" s="326"/>
      <c r="GC105" s="326"/>
      <c r="GD105" s="327" t="s">
        <v>850</v>
      </c>
      <c r="GE105" s="325" t="s">
        <v>887</v>
      </c>
      <c r="GF105" s="325" t="s">
        <v>522</v>
      </c>
      <c r="GG105" s="325" t="s">
        <v>850</v>
      </c>
      <c r="GH105" s="325" t="s">
        <v>592</v>
      </c>
      <c r="GI105" s="328">
        <f t="shared" si="16"/>
        <v>37</v>
      </c>
      <c r="GJ105" s="329" t="s">
        <v>905</v>
      </c>
    </row>
    <row r="106" spans="1:192" s="329" customFormat="1">
      <c r="A106" s="325" t="s">
        <v>540</v>
      </c>
      <c r="B106" s="325" t="s">
        <v>517</v>
      </c>
      <c r="C106" s="325" t="s">
        <v>555</v>
      </c>
      <c r="D106" s="325" t="s">
        <v>3</v>
      </c>
      <c r="E106" s="325" t="s">
        <v>618</v>
      </c>
      <c r="F106" s="325" t="s">
        <v>520</v>
      </c>
      <c r="G106" s="325"/>
      <c r="H106" s="326"/>
      <c r="I106" s="326"/>
      <c r="J106" s="326"/>
      <c r="K106" s="326"/>
      <c r="L106" s="326"/>
      <c r="M106" s="326"/>
      <c r="N106" s="326"/>
      <c r="O106" s="326"/>
      <c r="P106" s="326"/>
      <c r="Q106" s="326"/>
      <c r="R106" s="326"/>
      <c r="S106" s="326"/>
      <c r="T106" s="326"/>
      <c r="U106" s="326"/>
      <c r="V106" s="326"/>
      <c r="W106" s="326"/>
      <c r="X106" s="326"/>
      <c r="Y106" s="326"/>
      <c r="Z106" s="326"/>
      <c r="AA106" s="326"/>
      <c r="AB106" s="326"/>
      <c r="AC106" s="326"/>
      <c r="AD106" s="326"/>
      <c r="AE106" s="326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6"/>
      <c r="AU106" s="326"/>
      <c r="AV106" s="326"/>
      <c r="AW106" s="326"/>
      <c r="AX106" s="326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6"/>
      <c r="BK106" s="326"/>
      <c r="BL106" s="326"/>
      <c r="BM106" s="326"/>
      <c r="BN106" s="326"/>
      <c r="BO106" s="326"/>
      <c r="BP106" s="326"/>
      <c r="BQ106" s="326"/>
      <c r="BR106" s="326"/>
      <c r="BS106" s="326"/>
      <c r="BT106" s="326"/>
      <c r="BU106" s="326"/>
      <c r="BV106" s="326"/>
      <c r="BW106" s="326"/>
      <c r="BX106" s="326"/>
      <c r="BY106" s="326"/>
      <c r="BZ106" s="326"/>
      <c r="CA106" s="326"/>
      <c r="CB106" s="326"/>
      <c r="CC106" s="326"/>
      <c r="CD106" s="326"/>
      <c r="CE106" s="326"/>
      <c r="CF106" s="326"/>
      <c r="CG106" s="326"/>
      <c r="CH106" s="326"/>
      <c r="CI106" s="326"/>
      <c r="CJ106" s="326"/>
      <c r="CK106" s="326"/>
      <c r="CL106" s="326"/>
      <c r="CM106" s="326"/>
      <c r="CN106" s="326"/>
      <c r="CO106" s="326"/>
      <c r="CP106" s="326"/>
      <c r="CQ106" s="326"/>
      <c r="CR106" s="326"/>
      <c r="CS106" s="326"/>
      <c r="CT106" s="326"/>
      <c r="CU106" s="326"/>
      <c r="CV106" s="326"/>
      <c r="CW106" s="326"/>
      <c r="CX106" s="326"/>
      <c r="CY106" s="326"/>
      <c r="CZ106" s="326"/>
      <c r="DA106" s="326"/>
      <c r="DB106" s="326"/>
      <c r="DC106" s="326"/>
      <c r="DD106" s="326"/>
      <c r="DE106" s="326"/>
      <c r="DF106" s="326"/>
      <c r="DG106" s="326"/>
      <c r="DH106" s="326"/>
      <c r="DI106" s="326"/>
      <c r="DJ106" s="326"/>
      <c r="DK106" s="326"/>
      <c r="DL106" s="326"/>
      <c r="DM106" s="326"/>
      <c r="DN106" s="326"/>
      <c r="DO106" s="326"/>
      <c r="DP106" s="326"/>
      <c r="DQ106" s="326"/>
      <c r="DR106" s="326"/>
      <c r="DS106" s="326"/>
      <c r="DT106" s="326"/>
      <c r="DU106" s="326"/>
      <c r="DV106" s="326"/>
      <c r="DW106" s="326"/>
      <c r="DX106" s="326"/>
      <c r="DY106" s="326"/>
      <c r="DZ106" s="326"/>
      <c r="EA106" s="326"/>
      <c r="EB106" s="326"/>
      <c r="EC106" s="326"/>
      <c r="ED106" s="326"/>
      <c r="EE106" s="326"/>
      <c r="EF106" s="326"/>
      <c r="EG106" s="326"/>
      <c r="EH106" s="326"/>
      <c r="EI106" s="326"/>
      <c r="EJ106" s="326"/>
      <c r="EK106" s="326"/>
      <c r="EL106" s="326"/>
      <c r="EM106" s="326"/>
      <c r="EN106" s="326"/>
      <c r="EO106" s="326"/>
      <c r="EP106" s="326"/>
      <c r="EQ106" s="326"/>
      <c r="ER106" s="326"/>
      <c r="ES106" s="326"/>
      <c r="ET106" s="326"/>
      <c r="EU106" s="326"/>
      <c r="EV106" s="326"/>
      <c r="EW106" s="326"/>
      <c r="EX106" s="326"/>
      <c r="EY106" s="326"/>
      <c r="EZ106" s="326"/>
      <c r="FA106" s="326"/>
      <c r="FB106" s="326"/>
      <c r="FC106" s="326"/>
      <c r="FD106" s="326"/>
      <c r="FE106" s="326"/>
      <c r="FF106" s="326"/>
      <c r="FG106" s="326"/>
      <c r="FH106" s="326"/>
      <c r="FI106" s="326"/>
      <c r="FJ106" s="326"/>
      <c r="FK106" s="326"/>
      <c r="FL106" s="326"/>
      <c r="FM106" s="326"/>
      <c r="FN106" s="326"/>
      <c r="FO106" s="326"/>
      <c r="FP106" s="326"/>
      <c r="FQ106" s="326"/>
      <c r="FR106" s="326"/>
      <c r="FS106" s="326"/>
      <c r="FT106" s="326"/>
      <c r="FU106" s="326"/>
      <c r="FV106" s="326"/>
      <c r="FW106" s="326"/>
      <c r="FX106" s="326"/>
      <c r="FY106" s="326"/>
      <c r="FZ106" s="326"/>
      <c r="GA106" s="326"/>
      <c r="GB106" s="326"/>
      <c r="GC106" s="326"/>
      <c r="GD106" s="327"/>
      <c r="GE106" s="325" t="s">
        <v>887</v>
      </c>
      <c r="GF106" s="325" t="s">
        <v>522</v>
      </c>
      <c r="GG106" s="325" t="s">
        <v>850</v>
      </c>
      <c r="GH106" s="325" t="s">
        <v>592</v>
      </c>
      <c r="GI106" s="328">
        <f t="shared" si="16"/>
        <v>0</v>
      </c>
      <c r="GJ106" s="329" t="s">
        <v>905</v>
      </c>
    </row>
    <row r="107" spans="1:192" s="329" customFormat="1">
      <c r="A107" s="325" t="s">
        <v>926</v>
      </c>
      <c r="B107" s="325" t="s">
        <v>517</v>
      </c>
      <c r="C107" s="325" t="s">
        <v>518</v>
      </c>
      <c r="D107" s="325" t="s">
        <v>636</v>
      </c>
      <c r="E107" s="325" t="s">
        <v>519</v>
      </c>
      <c r="F107" s="325" t="s">
        <v>520</v>
      </c>
      <c r="G107" s="325" t="s">
        <v>941</v>
      </c>
      <c r="H107" s="326"/>
      <c r="I107" s="326"/>
      <c r="J107" s="326"/>
      <c r="K107" s="326"/>
      <c r="L107" s="326"/>
      <c r="M107" s="326"/>
      <c r="N107" s="326"/>
      <c r="O107" s="326"/>
      <c r="P107" s="326"/>
      <c r="Q107" s="326"/>
      <c r="R107" s="326"/>
      <c r="S107" s="326"/>
      <c r="T107" s="326"/>
      <c r="U107" s="326"/>
      <c r="V107" s="326"/>
      <c r="W107" s="326"/>
      <c r="X107" s="326"/>
      <c r="Y107" s="326"/>
      <c r="Z107" s="326"/>
      <c r="AA107" s="326"/>
      <c r="AB107" s="326"/>
      <c r="AC107" s="326"/>
      <c r="AD107" s="326"/>
      <c r="AE107" s="326"/>
      <c r="AF107" s="326"/>
      <c r="AG107" s="326"/>
      <c r="AH107" s="326"/>
      <c r="AI107" s="326"/>
      <c r="AJ107" s="326"/>
      <c r="AK107" s="326"/>
      <c r="AL107" s="326"/>
      <c r="AM107" s="326"/>
      <c r="AN107" s="326"/>
      <c r="AO107" s="326"/>
      <c r="AP107" s="326"/>
      <c r="AQ107" s="326"/>
      <c r="AR107" s="326"/>
      <c r="AS107" s="326"/>
      <c r="AT107" s="326"/>
      <c r="AU107" s="326"/>
      <c r="AV107" s="326"/>
      <c r="AW107" s="326"/>
      <c r="AX107" s="326"/>
      <c r="AY107" s="326"/>
      <c r="AZ107" s="326"/>
      <c r="BA107" s="326"/>
      <c r="BB107" s="326"/>
      <c r="BC107" s="326"/>
      <c r="BD107" s="326"/>
      <c r="BE107" s="326"/>
      <c r="BF107" s="326"/>
      <c r="BG107" s="326"/>
      <c r="BH107" s="326"/>
      <c r="BI107" s="326"/>
      <c r="BJ107" s="326"/>
      <c r="BK107" s="326"/>
      <c r="BL107" s="326"/>
      <c r="BM107" s="326"/>
      <c r="BN107" s="326"/>
      <c r="BO107" s="326"/>
      <c r="BP107" s="326"/>
      <c r="BQ107" s="326"/>
      <c r="BR107" s="326"/>
      <c r="BS107" s="326"/>
      <c r="BT107" s="326"/>
      <c r="BU107" s="326"/>
      <c r="BV107" s="326"/>
      <c r="BW107" s="326"/>
      <c r="BX107" s="326"/>
      <c r="BY107" s="326"/>
      <c r="BZ107" s="326"/>
      <c r="CA107" s="326"/>
      <c r="CB107" s="326"/>
      <c r="CC107" s="326"/>
      <c r="CD107" s="326"/>
      <c r="CE107" s="326"/>
      <c r="CF107" s="326"/>
      <c r="CG107" s="326"/>
      <c r="CH107" s="326"/>
      <c r="CI107" s="326"/>
      <c r="CJ107" s="326"/>
      <c r="CK107" s="326"/>
      <c r="CL107" s="326"/>
      <c r="CM107" s="326"/>
      <c r="CN107" s="326"/>
      <c r="CO107" s="326"/>
      <c r="CP107" s="326"/>
      <c r="CQ107" s="326"/>
      <c r="CR107" s="326"/>
      <c r="CS107" s="326"/>
      <c r="CT107" s="326"/>
      <c r="CU107" s="326"/>
      <c r="CV107" s="326"/>
      <c r="CW107" s="326"/>
      <c r="CX107" s="326"/>
      <c r="CY107" s="326"/>
      <c r="CZ107" s="326"/>
      <c r="DA107" s="326"/>
      <c r="DB107" s="330">
        <f>5000-5000+2710</f>
        <v>2710</v>
      </c>
      <c r="DC107" s="326"/>
      <c r="DD107" s="326"/>
      <c r="DE107" s="326"/>
      <c r="DF107" s="326"/>
      <c r="DG107" s="326"/>
      <c r="DH107" s="326"/>
      <c r="DI107" s="326"/>
      <c r="DJ107" s="326"/>
      <c r="DK107" s="326"/>
      <c r="DL107" s="326"/>
      <c r="DM107" s="330">
        <f>1000-1000+520</f>
        <v>520</v>
      </c>
      <c r="DN107" s="326"/>
      <c r="DO107" s="326"/>
      <c r="DP107" s="326"/>
      <c r="DQ107" s="326"/>
      <c r="DR107" s="326"/>
      <c r="DS107" s="326"/>
      <c r="DT107" s="326"/>
      <c r="DU107" s="326"/>
      <c r="DV107" s="326"/>
      <c r="DW107" s="326"/>
      <c r="DX107" s="326"/>
      <c r="DY107" s="326"/>
      <c r="DZ107" s="326"/>
      <c r="EA107" s="326"/>
      <c r="EB107" s="326"/>
      <c r="EC107" s="326"/>
      <c r="ED107" s="326"/>
      <c r="EE107" s="326"/>
      <c r="EF107" s="326"/>
      <c r="EG107" s="326"/>
      <c r="EH107" s="326"/>
      <c r="EI107" s="331">
        <f>3000-3000+1330-650-680</f>
        <v>0</v>
      </c>
      <c r="EJ107" s="326"/>
      <c r="EK107" s="326"/>
      <c r="EL107" s="326"/>
      <c r="EM107" s="326"/>
      <c r="EN107" s="331">
        <f>200-200+40-40</f>
        <v>0</v>
      </c>
      <c r="EO107" s="326"/>
      <c r="EP107" s="326"/>
      <c r="EQ107" s="330">
        <v>120</v>
      </c>
      <c r="ER107" s="326"/>
      <c r="ES107" s="326"/>
      <c r="ET107" s="326"/>
      <c r="EU107" s="326"/>
      <c r="EV107" s="326"/>
      <c r="EW107" s="330">
        <f>100-100+100-100</f>
        <v>0</v>
      </c>
      <c r="EX107" s="326"/>
      <c r="EY107" s="326"/>
      <c r="EZ107" s="326"/>
      <c r="FA107" s="326"/>
      <c r="FB107" s="326"/>
      <c r="FC107" s="326"/>
      <c r="FD107" s="326"/>
      <c r="FE107" s="326"/>
      <c r="FF107" s="326"/>
      <c r="FG107" s="326"/>
      <c r="FH107" s="326"/>
      <c r="FI107" s="326"/>
      <c r="FJ107" s="326"/>
      <c r="FK107" s="326"/>
      <c r="FL107" s="326"/>
      <c r="FM107" s="326"/>
      <c r="FN107" s="326"/>
      <c r="FO107" s="326"/>
      <c r="FP107" s="326"/>
      <c r="FQ107" s="326"/>
      <c r="FR107" s="326"/>
      <c r="FS107" s="326"/>
      <c r="FT107" s="326"/>
      <c r="FU107" s="326"/>
      <c r="FV107" s="326"/>
      <c r="FW107" s="326"/>
      <c r="FX107" s="326"/>
      <c r="FY107" s="326"/>
      <c r="FZ107" s="326"/>
      <c r="GA107" s="326"/>
      <c r="GB107" s="326"/>
      <c r="GC107" s="326"/>
      <c r="GD107" s="327"/>
      <c r="GE107" s="325" t="s">
        <v>887</v>
      </c>
      <c r="GF107" s="325" t="s">
        <v>522</v>
      </c>
      <c r="GG107" s="325" t="s">
        <v>850</v>
      </c>
      <c r="GH107" s="325" t="s">
        <v>523</v>
      </c>
      <c r="GI107" s="328">
        <f t="shared" si="16"/>
        <v>3350</v>
      </c>
      <c r="GJ107" s="329" t="s">
        <v>800</v>
      </c>
    </row>
    <row r="108" spans="1:192" s="329" customFormat="1">
      <c r="A108" s="325" t="s">
        <v>926</v>
      </c>
      <c r="B108" s="325" t="s">
        <v>517</v>
      </c>
      <c r="C108" s="325" t="s">
        <v>518</v>
      </c>
      <c r="D108" s="325" t="s">
        <v>633</v>
      </c>
      <c r="E108" s="325" t="s">
        <v>519</v>
      </c>
      <c r="F108" s="325" t="s">
        <v>520</v>
      </c>
      <c r="G108" s="325" t="s">
        <v>941</v>
      </c>
      <c r="H108" s="326"/>
      <c r="J108" s="330">
        <f>200-200</f>
        <v>0</v>
      </c>
      <c r="K108" s="330">
        <f>500-500</f>
        <v>0</v>
      </c>
      <c r="L108" s="326"/>
      <c r="M108" s="330">
        <f>300-300</f>
        <v>0</v>
      </c>
      <c r="N108" s="331">
        <f>500-500+8-8</f>
        <v>0</v>
      </c>
      <c r="O108" s="330">
        <f>1000-1000</f>
        <v>0</v>
      </c>
      <c r="P108" s="330">
        <f>100-100</f>
        <v>0</v>
      </c>
      <c r="Q108" s="326"/>
      <c r="R108" s="326"/>
      <c r="S108" s="330">
        <f>1000-1000</f>
        <v>0</v>
      </c>
      <c r="U108" s="330">
        <f>100-100</f>
        <v>0</v>
      </c>
      <c r="V108" s="326"/>
      <c r="W108" s="326"/>
      <c r="X108" s="330">
        <f>1000-1000+24</f>
        <v>24</v>
      </c>
      <c r="Y108" s="330">
        <f>2000-2000+350</f>
        <v>350</v>
      </c>
      <c r="Z108" s="330">
        <f>2000-2000</f>
        <v>0</v>
      </c>
      <c r="AA108" s="330">
        <f>2000-2000+3</f>
        <v>3</v>
      </c>
      <c r="AB108" s="330">
        <f>2000-2000+280</f>
        <v>280</v>
      </c>
      <c r="AC108" s="330">
        <f>2000-2000+290</f>
        <v>290</v>
      </c>
      <c r="AD108" s="330">
        <f>3000-3000+110</f>
        <v>110</v>
      </c>
      <c r="AE108" s="334">
        <f>2000-2000+1810+110</f>
        <v>1920</v>
      </c>
      <c r="AF108" s="330">
        <f>200-200</f>
        <v>0</v>
      </c>
      <c r="AG108" s="330">
        <f>500-500</f>
        <v>0</v>
      </c>
      <c r="AH108" s="331">
        <f>200-200+2-2</f>
        <v>0</v>
      </c>
      <c r="AI108" s="326"/>
      <c r="AJ108" s="326"/>
      <c r="AK108" s="330">
        <f>100-100</f>
        <v>0</v>
      </c>
      <c r="AL108" s="330">
        <f>100-100</f>
        <v>0</v>
      </c>
      <c r="AM108" s="330">
        <f>100-100</f>
        <v>0</v>
      </c>
      <c r="AN108" s="326"/>
      <c r="AO108" s="326"/>
      <c r="AP108" s="326"/>
      <c r="AQ108" s="326"/>
      <c r="AR108" s="326"/>
      <c r="AS108" s="326"/>
      <c r="AT108" s="326"/>
      <c r="AV108" s="326"/>
      <c r="AW108" s="326"/>
      <c r="AY108" s="330">
        <f>200-200</f>
        <v>0</v>
      </c>
      <c r="AZ108" s="330">
        <f>400-400+175+65</f>
        <v>240</v>
      </c>
      <c r="BA108" s="330">
        <f>500-500+5</f>
        <v>5</v>
      </c>
      <c r="BB108" s="326"/>
      <c r="BC108" s="330">
        <f>1000-1000+740</f>
        <v>740</v>
      </c>
      <c r="BF108" s="330">
        <f>500-500+10</f>
        <v>10</v>
      </c>
      <c r="BG108" s="330">
        <f>1000-1000+420</f>
        <v>420</v>
      </c>
      <c r="BH108" s="326"/>
      <c r="BI108" s="330">
        <f>100-100</f>
        <v>0</v>
      </c>
      <c r="BJ108" s="326"/>
      <c r="BK108" s="326"/>
      <c r="BL108" s="330">
        <f>200-200+48</f>
        <v>48</v>
      </c>
      <c r="BM108" s="330">
        <f>200-200</f>
        <v>0</v>
      </c>
      <c r="BP108" s="330">
        <f>800-800+380</f>
        <v>380</v>
      </c>
      <c r="BQ108" s="330">
        <f>300-300+370</f>
        <v>370</v>
      </c>
      <c r="BR108" s="330">
        <f>300-300</f>
        <v>0</v>
      </c>
      <c r="BS108" s="330">
        <f>1000-1000+200</f>
        <v>200</v>
      </c>
      <c r="BT108" s="331">
        <f>100-100+43+45-11</f>
        <v>77</v>
      </c>
      <c r="BU108" s="326"/>
      <c r="BV108" s="326"/>
      <c r="BW108" s="326"/>
      <c r="BX108" s="326"/>
      <c r="BY108" s="330">
        <f>500-500+41</f>
        <v>41</v>
      </c>
      <c r="BZ108" s="326"/>
      <c r="CA108" s="330">
        <f>500-500+35</f>
        <v>35</v>
      </c>
      <c r="CB108" s="330">
        <f>1000-1000+190</f>
        <v>190</v>
      </c>
      <c r="CC108" s="330">
        <f>1200-1200+140</f>
        <v>140</v>
      </c>
      <c r="CD108" s="330">
        <v>8</v>
      </c>
      <c r="CE108" s="330">
        <f>500-500+5</f>
        <v>5</v>
      </c>
      <c r="CF108" s="330">
        <f>3000-3000+720</f>
        <v>720</v>
      </c>
      <c r="CH108" s="330">
        <f>2000-2000</f>
        <v>0</v>
      </c>
      <c r="CI108" s="330">
        <f>1000-1000+30</f>
        <v>30</v>
      </c>
      <c r="CJ108" s="330">
        <v>10</v>
      </c>
      <c r="CK108" s="330">
        <f>1500-1500+6</f>
        <v>6</v>
      </c>
      <c r="CL108" s="330">
        <f>1000-1000+15</f>
        <v>15</v>
      </c>
      <c r="CM108" s="330">
        <f>3000-3000+370</f>
        <v>370</v>
      </c>
      <c r="CN108" s="330">
        <f>1000-1000+18</f>
        <v>18</v>
      </c>
      <c r="CO108" s="330">
        <f>1000-1000</f>
        <v>0</v>
      </c>
      <c r="CQ108" s="330">
        <f>2000-2000+465</f>
        <v>465</v>
      </c>
      <c r="CR108" s="330">
        <f>5000-5000+1530</f>
        <v>1530</v>
      </c>
      <c r="CS108" s="330">
        <f>1500-1500+380</f>
        <v>380</v>
      </c>
      <c r="CT108" s="330">
        <f>4000-4000</f>
        <v>0</v>
      </c>
      <c r="CU108" s="330">
        <f>1000-1000</f>
        <v>0</v>
      </c>
      <c r="CV108" s="326"/>
      <c r="CW108" s="330">
        <f>3000-3000</f>
        <v>0</v>
      </c>
      <c r="CX108" s="330">
        <v>990</v>
      </c>
      <c r="CY108" s="330">
        <f>3000-3000+650</f>
        <v>650</v>
      </c>
      <c r="CZ108" s="330">
        <f>4000-4000+1130</f>
        <v>1130</v>
      </c>
      <c r="DA108" s="330">
        <f>2000-2000+620</f>
        <v>620</v>
      </c>
      <c r="DC108" s="326"/>
      <c r="DD108" s="330">
        <f>200-200</f>
        <v>0</v>
      </c>
      <c r="DE108" s="330">
        <f>200-200</f>
        <v>0</v>
      </c>
      <c r="DF108" s="326"/>
      <c r="DG108" s="330">
        <f>2000-2000+2220</f>
        <v>2220</v>
      </c>
      <c r="DH108" s="326"/>
      <c r="DI108" s="330">
        <f>2000-2000+5</f>
        <v>5</v>
      </c>
      <c r="DJ108" s="330">
        <f>5000-5000+1160</f>
        <v>1160</v>
      </c>
      <c r="DK108" s="330">
        <f>3000-3000</f>
        <v>0</v>
      </c>
      <c r="DL108" s="330">
        <f>5000-5000+730</f>
        <v>730</v>
      </c>
      <c r="DN108" s="326"/>
      <c r="DO108" s="326"/>
      <c r="DP108" s="330">
        <f>1000-1000</f>
        <v>0</v>
      </c>
      <c r="DQ108" s="326"/>
      <c r="DR108" s="330">
        <f>2000-2000</f>
        <v>0</v>
      </c>
      <c r="DS108" s="326"/>
      <c r="DT108" s="326"/>
      <c r="DU108" s="326"/>
      <c r="DV108" s="326"/>
      <c r="DW108" s="326"/>
      <c r="DX108" s="326"/>
      <c r="DY108" s="331">
        <f>1000-1000+1190-590</f>
        <v>600</v>
      </c>
      <c r="DZ108" s="326"/>
      <c r="EA108" s="326"/>
      <c r="EB108" s="326"/>
      <c r="EC108" s="326"/>
      <c r="ED108" s="330">
        <f>5000-5000</f>
        <v>0</v>
      </c>
      <c r="EE108" s="326"/>
      <c r="EF108" s="331">
        <f>2000-2000+20-20</f>
        <v>0</v>
      </c>
      <c r="EG108" s="326"/>
      <c r="EH108" s="326"/>
      <c r="EJ108" s="330">
        <f>100-100</f>
        <v>0</v>
      </c>
      <c r="EK108" s="331">
        <f>500-500+10-10</f>
        <v>0</v>
      </c>
      <c r="EL108" s="330">
        <f>5000-5000</f>
        <v>0</v>
      </c>
      <c r="EM108" s="331">
        <f>2000-2000+30-30</f>
        <v>0</v>
      </c>
      <c r="EO108" s="330">
        <f>1000-1000</f>
        <v>0</v>
      </c>
      <c r="EP108" s="330">
        <f>3000-3000+2600</f>
        <v>2600</v>
      </c>
      <c r="EQ108" s="326"/>
      <c r="ER108" s="330">
        <f>5000-5000+5920</f>
        <v>5920</v>
      </c>
      <c r="ES108" s="330">
        <f>3000-3000+30</f>
        <v>30</v>
      </c>
      <c r="ET108" s="330">
        <f>50-50</f>
        <v>0</v>
      </c>
      <c r="EU108" s="330">
        <f>500-500</f>
        <v>0</v>
      </c>
      <c r="EV108" s="330">
        <f>1000-1000</f>
        <v>0</v>
      </c>
      <c r="EX108" s="326"/>
      <c r="EZ108" s="326"/>
      <c r="FA108" s="330">
        <f>1000-1000</f>
        <v>0</v>
      </c>
      <c r="FB108" s="330">
        <f>500-500</f>
        <v>0</v>
      </c>
      <c r="FC108" s="330">
        <f>50-50</f>
        <v>0</v>
      </c>
      <c r="FD108" s="326"/>
      <c r="FE108" s="331">
        <f>50-50+4-4</f>
        <v>0</v>
      </c>
      <c r="FF108" s="326"/>
      <c r="FG108" s="326"/>
      <c r="FH108" s="326"/>
      <c r="FI108" s="326"/>
      <c r="FJ108" s="326"/>
      <c r="FK108" s="326"/>
      <c r="FL108" s="326"/>
      <c r="FM108" s="326"/>
      <c r="FN108" s="326"/>
      <c r="FO108" s="326"/>
      <c r="FP108" s="326"/>
      <c r="FQ108" s="326"/>
      <c r="FR108" s="326"/>
      <c r="FS108" s="326"/>
      <c r="FT108" s="326"/>
      <c r="FU108" s="326"/>
      <c r="FV108" s="326"/>
      <c r="FW108" s="326"/>
      <c r="FX108" s="326"/>
      <c r="FY108" s="326"/>
      <c r="FZ108" s="326"/>
      <c r="GA108" s="326"/>
      <c r="GB108" s="326"/>
      <c r="GC108" s="326"/>
      <c r="GD108" s="327" t="s">
        <v>850</v>
      </c>
      <c r="GE108" s="325" t="s">
        <v>887</v>
      </c>
      <c r="GF108" s="325" t="s">
        <v>522</v>
      </c>
      <c r="GG108" s="325" t="s">
        <v>850</v>
      </c>
      <c r="GH108" s="325" t="s">
        <v>523</v>
      </c>
      <c r="GI108" s="328">
        <f t="shared" si="16"/>
        <v>26085</v>
      </c>
      <c r="GJ108" s="329" t="s">
        <v>800</v>
      </c>
    </row>
    <row r="109" spans="1:192" s="329" customFormat="1">
      <c r="A109" s="325" t="s">
        <v>926</v>
      </c>
      <c r="B109" s="325" t="s">
        <v>517</v>
      </c>
      <c r="C109" s="325" t="s">
        <v>518</v>
      </c>
      <c r="D109" s="325" t="s">
        <v>3</v>
      </c>
      <c r="E109" s="325" t="s">
        <v>519</v>
      </c>
      <c r="F109" s="325" t="s">
        <v>520</v>
      </c>
      <c r="G109" s="325" t="s">
        <v>942</v>
      </c>
      <c r="H109" s="326"/>
      <c r="I109" s="330">
        <f>100-100+100</f>
        <v>100</v>
      </c>
      <c r="J109" s="326"/>
      <c r="K109" s="326"/>
      <c r="L109" s="326"/>
      <c r="M109" s="326"/>
      <c r="N109" s="326"/>
      <c r="O109" s="326"/>
      <c r="P109" s="326"/>
      <c r="Q109" s="326"/>
      <c r="R109" s="326"/>
      <c r="S109" s="326"/>
      <c r="T109" s="331">
        <f>1000-1000+5-5</f>
        <v>0</v>
      </c>
      <c r="U109" s="326"/>
      <c r="V109" s="326"/>
      <c r="W109" s="326"/>
      <c r="X109" s="326"/>
      <c r="Y109" s="326"/>
      <c r="Z109" s="326"/>
      <c r="AA109" s="326"/>
      <c r="AB109" s="326">
        <v>100</v>
      </c>
      <c r="AC109" s="326">
        <v>90</v>
      </c>
      <c r="AD109" s="326"/>
      <c r="AE109" s="326"/>
      <c r="AF109" s="326"/>
      <c r="AG109" s="326"/>
      <c r="AH109" s="326"/>
      <c r="AI109" s="326"/>
      <c r="AJ109" s="326"/>
      <c r="AK109" s="326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31">
        <f>50-50+7-7</f>
        <v>0</v>
      </c>
      <c r="AV109" s="326"/>
      <c r="AW109" s="326"/>
      <c r="AX109" s="330">
        <f>200-200+60+25</f>
        <v>85</v>
      </c>
      <c r="AY109" s="326"/>
      <c r="AZ109" s="326"/>
      <c r="BA109" s="326"/>
      <c r="BB109" s="326"/>
      <c r="BC109" s="326"/>
      <c r="BD109" s="330">
        <f>800-800+30</f>
        <v>30</v>
      </c>
      <c r="BE109" s="330">
        <f>800-800+15</f>
        <v>15</v>
      </c>
      <c r="BF109" s="326"/>
      <c r="BG109" s="326"/>
      <c r="BH109" s="326"/>
      <c r="BI109" s="326"/>
      <c r="BJ109" s="326"/>
      <c r="BK109" s="326"/>
      <c r="BL109" s="330">
        <v>12</v>
      </c>
      <c r="BM109" s="326"/>
      <c r="BN109" s="330">
        <f>500-500+35</f>
        <v>35</v>
      </c>
      <c r="BO109" s="330">
        <f>500-500+7</f>
        <v>7</v>
      </c>
      <c r="BP109" s="326"/>
      <c r="BQ109" s="326"/>
      <c r="BR109" s="326"/>
      <c r="BS109" s="326"/>
      <c r="BT109" s="326"/>
      <c r="BU109" s="326"/>
      <c r="BV109" s="326"/>
      <c r="BW109" s="326"/>
      <c r="BX109" s="326"/>
      <c r="BY109" s="330">
        <v>7</v>
      </c>
      <c r="BZ109" s="326"/>
      <c r="CA109" s="326"/>
      <c r="CB109" s="326"/>
      <c r="CC109" s="326"/>
      <c r="CD109" s="326"/>
      <c r="CE109" s="326"/>
      <c r="CF109" s="326"/>
      <c r="CG109" s="330">
        <f>1500-1500+390</f>
        <v>390</v>
      </c>
      <c r="CH109" s="326"/>
      <c r="CI109" s="326"/>
      <c r="CJ109" s="326"/>
      <c r="CK109" s="326"/>
      <c r="CL109" s="326"/>
      <c r="CM109" s="326"/>
      <c r="CN109" s="326"/>
      <c r="CO109" s="326"/>
      <c r="CP109" s="330">
        <f>3000-3000+3</f>
        <v>3</v>
      </c>
      <c r="CQ109" s="326"/>
      <c r="CR109" s="326"/>
      <c r="CS109" s="326"/>
      <c r="CT109" s="326"/>
      <c r="CU109" s="326"/>
      <c r="CV109" s="326"/>
      <c r="CW109" s="326"/>
      <c r="CX109" s="326"/>
      <c r="CY109" s="326"/>
      <c r="CZ109" s="326"/>
      <c r="DA109" s="326"/>
      <c r="DB109" s="326"/>
      <c r="DC109" s="326"/>
      <c r="DD109" s="326"/>
      <c r="DE109" s="326"/>
      <c r="DF109" s="326"/>
      <c r="DG109" s="326"/>
      <c r="DH109" s="326"/>
      <c r="DI109" s="326"/>
      <c r="DJ109" s="326"/>
      <c r="DK109" s="326"/>
      <c r="DL109" s="326"/>
      <c r="DM109" s="326"/>
      <c r="DN109" s="326"/>
      <c r="DO109" s="326"/>
      <c r="DP109" s="326"/>
      <c r="DQ109" s="326"/>
      <c r="DR109" s="326"/>
      <c r="DS109" s="326"/>
      <c r="DT109" s="326"/>
      <c r="DU109" s="326"/>
      <c r="DV109" s="326"/>
      <c r="DW109" s="326"/>
      <c r="DX109" s="326"/>
      <c r="DY109" s="326"/>
      <c r="DZ109" s="326"/>
      <c r="EA109" s="326"/>
      <c r="EB109" s="326"/>
      <c r="EC109" s="326"/>
      <c r="ED109" s="326"/>
      <c r="EE109" s="326"/>
      <c r="EF109" s="326"/>
      <c r="EG109" s="326"/>
      <c r="EH109" s="326"/>
      <c r="EI109" s="326"/>
      <c r="EJ109" s="326"/>
      <c r="EK109" s="326"/>
      <c r="EL109" s="326"/>
      <c r="EM109" s="326"/>
      <c r="EN109" s="326"/>
      <c r="EO109" s="326"/>
      <c r="EP109" s="326"/>
      <c r="EQ109" s="326"/>
      <c r="ER109" s="326"/>
      <c r="ES109" s="326"/>
      <c r="ET109" s="326"/>
      <c r="EU109" s="326"/>
      <c r="EV109" s="326"/>
      <c r="EW109" s="326"/>
      <c r="EX109" s="326"/>
      <c r="EY109" s="330">
        <f>3000-3000+330</f>
        <v>330</v>
      </c>
      <c r="EZ109" s="326"/>
      <c r="FA109" s="326"/>
      <c r="FB109" s="326"/>
      <c r="FC109" s="326"/>
      <c r="FD109" s="326"/>
      <c r="FE109" s="326"/>
      <c r="FF109" s="326"/>
      <c r="FG109" s="326"/>
      <c r="FH109" s="326"/>
      <c r="FI109" s="326"/>
      <c r="FJ109" s="326"/>
      <c r="FK109" s="326"/>
      <c r="FL109" s="326"/>
      <c r="FM109" s="326"/>
      <c r="FN109" s="326"/>
      <c r="FO109" s="326"/>
      <c r="FP109" s="326"/>
      <c r="FQ109" s="326"/>
      <c r="FR109" s="326"/>
      <c r="FS109" s="326"/>
      <c r="FT109" s="326"/>
      <c r="FU109" s="326"/>
      <c r="FV109" s="326"/>
      <c r="FW109" s="326"/>
      <c r="FX109" s="326"/>
      <c r="FY109" s="326"/>
      <c r="FZ109" s="326"/>
      <c r="GA109" s="326"/>
      <c r="GB109" s="326"/>
      <c r="GC109" s="326"/>
      <c r="GD109" s="327"/>
      <c r="GE109" s="325" t="s">
        <v>887</v>
      </c>
      <c r="GF109" s="325" t="s">
        <v>522</v>
      </c>
      <c r="GG109" s="325" t="s">
        <v>850</v>
      </c>
      <c r="GH109" s="325" t="s">
        <v>523</v>
      </c>
      <c r="GI109" s="328">
        <f t="shared" si="16"/>
        <v>1204</v>
      </c>
      <c r="GJ109" s="329" t="s">
        <v>800</v>
      </c>
    </row>
    <row r="110" spans="1:192" s="329" customFormat="1">
      <c r="A110" s="325" t="s">
        <v>926</v>
      </c>
      <c r="B110" s="325" t="s">
        <v>525</v>
      </c>
      <c r="C110" s="325" t="s">
        <v>518</v>
      </c>
      <c r="D110" s="325" t="s">
        <v>636</v>
      </c>
      <c r="E110" s="333" t="s">
        <v>519</v>
      </c>
      <c r="F110" s="325" t="s">
        <v>520</v>
      </c>
      <c r="G110" s="325" t="s">
        <v>943</v>
      </c>
      <c r="H110" s="326"/>
      <c r="I110" s="326"/>
      <c r="J110" s="326"/>
      <c r="K110" s="326"/>
      <c r="L110" s="326"/>
      <c r="M110" s="326"/>
      <c r="N110" s="326"/>
      <c r="O110" s="326"/>
      <c r="P110" s="326"/>
      <c r="Q110" s="326"/>
      <c r="R110" s="326"/>
      <c r="S110" s="326"/>
      <c r="T110" s="326"/>
      <c r="U110" s="326"/>
      <c r="V110" s="326"/>
      <c r="W110" s="326"/>
      <c r="X110" s="326"/>
      <c r="Y110" s="326"/>
      <c r="Z110" s="326"/>
      <c r="AA110" s="326"/>
      <c r="AB110" s="326"/>
      <c r="AC110" s="326"/>
      <c r="AD110" s="326"/>
      <c r="AE110" s="326"/>
      <c r="AF110" s="326"/>
      <c r="AG110" s="326"/>
      <c r="AH110" s="326"/>
      <c r="AI110" s="326"/>
      <c r="AJ110" s="326"/>
      <c r="AK110" s="326"/>
      <c r="AL110" s="326"/>
      <c r="AM110" s="326"/>
      <c r="AN110" s="326"/>
      <c r="AO110" s="326"/>
      <c r="AP110" s="326"/>
      <c r="AQ110" s="326"/>
      <c r="AR110" s="326"/>
      <c r="AS110" s="326"/>
      <c r="AT110" s="326"/>
      <c r="AU110" s="326"/>
      <c r="AV110" s="326"/>
      <c r="AW110" s="326"/>
      <c r="AX110" s="326"/>
      <c r="AY110" s="326"/>
      <c r="AZ110" s="326"/>
      <c r="BA110" s="326"/>
      <c r="BB110" s="326"/>
      <c r="BC110" s="326"/>
      <c r="BD110" s="326"/>
      <c r="BE110" s="326"/>
      <c r="BF110" s="326"/>
      <c r="BG110" s="326"/>
      <c r="BH110" s="326"/>
      <c r="BI110" s="326"/>
      <c r="BJ110" s="326"/>
      <c r="BK110" s="326"/>
      <c r="BL110" s="326"/>
      <c r="BM110" s="326"/>
      <c r="BN110" s="326"/>
      <c r="BO110" s="326"/>
      <c r="BP110" s="326"/>
      <c r="BQ110" s="326"/>
      <c r="BR110" s="326"/>
      <c r="BS110" s="326"/>
      <c r="BT110" s="326"/>
      <c r="BU110" s="326"/>
      <c r="BV110" s="326"/>
      <c r="BW110" s="326"/>
      <c r="BX110" s="326"/>
      <c r="BY110" s="326"/>
      <c r="BZ110" s="326"/>
      <c r="CA110" s="326"/>
      <c r="CB110" s="326"/>
      <c r="CC110" s="326"/>
      <c r="CD110" s="326"/>
      <c r="CE110" s="326"/>
      <c r="CF110" s="326"/>
      <c r="CG110" s="326"/>
      <c r="CH110" s="326"/>
      <c r="CI110" s="326"/>
      <c r="CJ110" s="326"/>
      <c r="CK110" s="326"/>
      <c r="CL110" s="326"/>
      <c r="CM110" s="326"/>
      <c r="CN110" s="326"/>
      <c r="CO110" s="326"/>
      <c r="CP110" s="326"/>
      <c r="CQ110" s="326"/>
      <c r="CR110" s="326"/>
      <c r="CS110" s="326"/>
      <c r="CT110" s="326"/>
      <c r="CU110" s="326"/>
      <c r="CV110" s="326"/>
      <c r="CW110" s="326"/>
      <c r="CX110" s="326"/>
      <c r="CY110" s="326"/>
      <c r="CZ110" s="326"/>
      <c r="DA110" s="326"/>
      <c r="DB110" s="326"/>
      <c r="DC110" s="326"/>
      <c r="DD110" s="326"/>
      <c r="DE110" s="326"/>
      <c r="DF110" s="326"/>
      <c r="DG110" s="326"/>
      <c r="DH110" s="326"/>
      <c r="DI110" s="326"/>
      <c r="DJ110" s="326"/>
      <c r="DK110" s="326"/>
      <c r="DL110" s="326"/>
      <c r="DM110" s="326"/>
      <c r="DN110" s="326"/>
      <c r="DO110" s="326"/>
      <c r="DP110" s="326"/>
      <c r="DQ110" s="326"/>
      <c r="DR110" s="326"/>
      <c r="DS110" s="326"/>
      <c r="DT110" s="326"/>
      <c r="DU110" s="326"/>
      <c r="DV110" s="326"/>
      <c r="DW110" s="326"/>
      <c r="DX110" s="326"/>
      <c r="DY110" s="326"/>
      <c r="DZ110" s="326"/>
      <c r="EA110" s="326"/>
      <c r="EB110" s="326"/>
      <c r="EC110" s="326"/>
      <c r="ED110" s="326"/>
      <c r="EE110" s="326"/>
      <c r="EF110" s="326"/>
      <c r="EG110" s="326"/>
      <c r="EH110" s="326"/>
      <c r="EI110" s="326"/>
      <c r="EJ110" s="326"/>
      <c r="EK110" s="326"/>
      <c r="EL110" s="326"/>
      <c r="EM110" s="326"/>
      <c r="EN110" s="326"/>
      <c r="EO110" s="326"/>
      <c r="EP110" s="326"/>
      <c r="EQ110" s="326"/>
      <c r="ER110" s="326"/>
      <c r="ES110" s="326"/>
      <c r="ET110" s="326"/>
      <c r="EU110" s="326"/>
      <c r="EV110" s="326"/>
      <c r="EW110" s="326"/>
      <c r="EX110" s="326"/>
      <c r="EY110" s="326"/>
      <c r="EZ110" s="326"/>
      <c r="FA110" s="326"/>
      <c r="FB110" s="326"/>
      <c r="FC110" s="326"/>
      <c r="FD110" s="326"/>
      <c r="FE110" s="326"/>
      <c r="FF110" s="326"/>
      <c r="FG110" s="326"/>
      <c r="FH110" s="326"/>
      <c r="FI110" s="326"/>
      <c r="FJ110" s="326"/>
      <c r="FK110" s="326"/>
      <c r="FL110" s="332">
        <f>2000-2000+1660-240</f>
        <v>1420</v>
      </c>
      <c r="FM110" s="326"/>
      <c r="FN110" s="326"/>
      <c r="FO110" s="326"/>
      <c r="FP110" s="326"/>
      <c r="FQ110" s="326"/>
      <c r="FR110" s="332">
        <f>3000-3000+2-2</f>
        <v>0</v>
      </c>
      <c r="FS110" s="326"/>
      <c r="FT110" s="326"/>
      <c r="FU110" s="326"/>
      <c r="FV110" s="332">
        <f>4000-4000+10-10</f>
        <v>0</v>
      </c>
      <c r="FW110" s="326"/>
      <c r="FX110" s="326"/>
      <c r="FY110" s="326"/>
      <c r="FZ110" s="326"/>
      <c r="GA110" s="326"/>
      <c r="GB110" s="326"/>
      <c r="GC110" s="326"/>
      <c r="GD110" s="327"/>
      <c r="GE110" s="325" t="s">
        <v>887</v>
      </c>
      <c r="GF110" s="325" t="s">
        <v>522</v>
      </c>
      <c r="GG110" s="325" t="s">
        <v>850</v>
      </c>
      <c r="GH110" s="325" t="s">
        <v>523</v>
      </c>
      <c r="GI110" s="328">
        <f t="shared" si="16"/>
        <v>1420</v>
      </c>
      <c r="GJ110" s="329" t="s">
        <v>800</v>
      </c>
    </row>
    <row r="111" spans="1:192" s="329" customFormat="1">
      <c r="A111" s="325" t="s">
        <v>926</v>
      </c>
      <c r="B111" s="325" t="s">
        <v>525</v>
      </c>
      <c r="C111" s="325" t="s">
        <v>518</v>
      </c>
      <c r="D111" s="325" t="s">
        <v>633</v>
      </c>
      <c r="E111" s="333" t="s">
        <v>519</v>
      </c>
      <c r="F111" s="325" t="s">
        <v>520</v>
      </c>
      <c r="G111" s="325" t="s">
        <v>943</v>
      </c>
      <c r="H111" s="326"/>
      <c r="I111" s="326"/>
      <c r="J111" s="326"/>
      <c r="K111" s="326"/>
      <c r="L111" s="326"/>
      <c r="M111" s="326"/>
      <c r="N111" s="326"/>
      <c r="O111" s="326"/>
      <c r="P111" s="326"/>
      <c r="Q111" s="326"/>
      <c r="R111" s="326"/>
      <c r="S111" s="326"/>
      <c r="T111" s="326"/>
      <c r="U111" s="326"/>
      <c r="V111" s="326"/>
      <c r="W111" s="326"/>
      <c r="X111" s="326"/>
      <c r="Y111" s="326"/>
      <c r="Z111" s="326"/>
      <c r="AA111" s="326"/>
      <c r="AB111" s="326"/>
      <c r="AC111" s="326"/>
      <c r="AD111" s="326"/>
      <c r="AE111" s="326"/>
      <c r="AF111" s="326"/>
      <c r="AG111" s="326"/>
      <c r="AH111" s="326"/>
      <c r="AI111" s="326"/>
      <c r="AJ111" s="326"/>
      <c r="AK111" s="326"/>
      <c r="AL111" s="326"/>
      <c r="AM111" s="326"/>
      <c r="AN111" s="326"/>
      <c r="AO111" s="326"/>
      <c r="AP111" s="326"/>
      <c r="AQ111" s="326"/>
      <c r="AR111" s="326"/>
      <c r="AS111" s="330">
        <f>1000-1000</f>
        <v>0</v>
      </c>
      <c r="AT111" s="326"/>
      <c r="AU111" s="326"/>
      <c r="AV111" s="326"/>
      <c r="AW111" s="326"/>
      <c r="AX111" s="326"/>
      <c r="AY111" s="326"/>
      <c r="AZ111" s="326"/>
      <c r="BA111" s="326"/>
      <c r="BB111" s="326"/>
      <c r="BC111" s="326"/>
      <c r="BD111" s="326"/>
      <c r="BE111" s="326"/>
      <c r="BF111" s="326"/>
      <c r="BG111" s="326"/>
      <c r="BH111" s="326"/>
      <c r="BI111" s="326"/>
      <c r="BJ111" s="326"/>
      <c r="BK111" s="326"/>
      <c r="BL111" s="326"/>
      <c r="BM111" s="326"/>
      <c r="BN111" s="326"/>
      <c r="BO111" s="326"/>
      <c r="BP111" s="326"/>
      <c r="BQ111" s="326"/>
      <c r="BR111" s="326"/>
      <c r="BS111" s="326"/>
      <c r="BT111" s="326"/>
      <c r="BU111" s="326"/>
      <c r="BV111" s="326"/>
      <c r="BW111" s="326"/>
      <c r="BX111" s="326"/>
      <c r="BY111" s="326"/>
      <c r="BZ111" s="326"/>
      <c r="CA111" s="326"/>
      <c r="CB111" s="326"/>
      <c r="CC111" s="326"/>
      <c r="CD111" s="326"/>
      <c r="CE111" s="326"/>
      <c r="CF111" s="326"/>
      <c r="CG111" s="326"/>
      <c r="CH111" s="326"/>
      <c r="CI111" s="326"/>
      <c r="CJ111" s="326"/>
      <c r="CK111" s="326"/>
      <c r="CL111" s="326"/>
      <c r="CM111" s="326"/>
      <c r="CN111" s="326"/>
      <c r="CO111" s="326"/>
      <c r="CP111" s="326"/>
      <c r="CQ111" s="326"/>
      <c r="CR111" s="326"/>
      <c r="CS111" s="326"/>
      <c r="CT111" s="326"/>
      <c r="CU111" s="326"/>
      <c r="CV111" s="326"/>
      <c r="CW111" s="326"/>
      <c r="CX111" s="326"/>
      <c r="CY111" s="326"/>
      <c r="CZ111" s="326"/>
      <c r="DA111" s="326"/>
      <c r="DB111" s="326"/>
      <c r="DC111" s="326"/>
      <c r="DD111" s="326"/>
      <c r="DE111" s="326"/>
      <c r="DF111" s="326"/>
      <c r="DG111" s="326"/>
      <c r="DH111" s="326"/>
      <c r="DI111" s="326"/>
      <c r="DJ111" s="326"/>
      <c r="DK111" s="326"/>
      <c r="DL111" s="326"/>
      <c r="DM111" s="326"/>
      <c r="DN111" s="326"/>
      <c r="DO111" s="326"/>
      <c r="DP111" s="326"/>
      <c r="DQ111" s="326"/>
      <c r="DR111" s="326"/>
      <c r="DS111" s="326"/>
      <c r="DT111" s="326"/>
      <c r="DU111" s="326"/>
      <c r="DV111" s="326"/>
      <c r="DW111" s="326"/>
      <c r="DX111" s="326"/>
      <c r="DY111" s="326"/>
      <c r="DZ111" s="326"/>
      <c r="EA111" s="326"/>
      <c r="EB111" s="331">
        <f>20-20</f>
        <v>0</v>
      </c>
      <c r="EC111" s="326"/>
      <c r="ED111" s="326"/>
      <c r="EE111" s="326"/>
      <c r="EF111" s="326"/>
      <c r="EG111" s="326"/>
      <c r="EH111" s="326"/>
      <c r="EI111" s="326"/>
      <c r="EJ111" s="326"/>
      <c r="EK111" s="326"/>
      <c r="EL111" s="326"/>
      <c r="EM111" s="326"/>
      <c r="EN111" s="326"/>
      <c r="EO111" s="326"/>
      <c r="EP111" s="326"/>
      <c r="EQ111" s="326"/>
      <c r="ER111" s="326"/>
      <c r="ES111" s="326"/>
      <c r="ET111" s="326"/>
      <c r="EU111" s="326"/>
      <c r="EV111" s="326"/>
      <c r="EW111" s="326"/>
      <c r="EX111" s="326"/>
      <c r="EY111" s="326"/>
      <c r="EZ111" s="326"/>
      <c r="FA111" s="326"/>
      <c r="FB111" s="326"/>
      <c r="FC111" s="326"/>
      <c r="FD111" s="326"/>
      <c r="FE111" s="326"/>
      <c r="FF111" s="326"/>
      <c r="FG111" s="330">
        <f>6000-6000</f>
        <v>0</v>
      </c>
      <c r="FH111" s="331">
        <f>8000-8000+1300-370</f>
        <v>930</v>
      </c>
      <c r="FI111" s="331">
        <f>6000-6000+330-230</f>
        <v>100</v>
      </c>
      <c r="FJ111" s="330">
        <f>500-500</f>
        <v>0</v>
      </c>
      <c r="FK111" s="332">
        <f>2000-2000+715-120</f>
        <v>595</v>
      </c>
      <c r="FM111" s="330">
        <f>2000-2000</f>
        <v>0</v>
      </c>
      <c r="FO111" s="330">
        <f>500-500</f>
        <v>0</v>
      </c>
      <c r="FP111" s="330">
        <f>500-500</f>
        <v>0</v>
      </c>
      <c r="FQ111" s="335">
        <f>500-500+1400-1400</f>
        <v>0</v>
      </c>
      <c r="FS111" s="330">
        <f>3000-3000</f>
        <v>0</v>
      </c>
      <c r="FT111" s="330">
        <f>3000-3000</f>
        <v>0</v>
      </c>
      <c r="FU111" s="330">
        <f>5000-5000</f>
        <v>0</v>
      </c>
      <c r="FV111" s="336">
        <f>2-2</f>
        <v>0</v>
      </c>
      <c r="FW111" s="326"/>
      <c r="FX111" s="326"/>
      <c r="FY111" s="326"/>
      <c r="FZ111" s="326"/>
      <c r="GA111" s="326"/>
      <c r="GB111" s="326"/>
      <c r="GC111" s="326"/>
      <c r="GD111" s="327" t="s">
        <v>850</v>
      </c>
      <c r="GE111" s="325" t="s">
        <v>887</v>
      </c>
      <c r="GF111" s="325" t="s">
        <v>522</v>
      </c>
      <c r="GG111" s="325" t="s">
        <v>850</v>
      </c>
      <c r="GH111" s="325" t="s">
        <v>523</v>
      </c>
      <c r="GI111" s="328">
        <f t="shared" si="16"/>
        <v>1625</v>
      </c>
      <c r="GJ111" s="329" t="s">
        <v>800</v>
      </c>
    </row>
    <row r="112" spans="1:192" s="358" customFormat="1" ht="11" thickBot="1">
      <c r="A112" s="342" t="s">
        <v>926</v>
      </c>
      <c r="B112" s="342" t="s">
        <v>525</v>
      </c>
      <c r="C112" s="342" t="s">
        <v>518</v>
      </c>
      <c r="D112" s="342" t="s">
        <v>3</v>
      </c>
      <c r="E112" s="356" t="s">
        <v>519</v>
      </c>
      <c r="F112" s="342" t="s">
        <v>520</v>
      </c>
      <c r="G112" s="342" t="s">
        <v>944</v>
      </c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  <c r="AA112" s="344"/>
      <c r="AB112" s="344"/>
      <c r="AC112" s="344"/>
      <c r="AD112" s="344"/>
      <c r="AE112" s="344"/>
      <c r="AF112" s="344"/>
      <c r="AG112" s="344"/>
      <c r="AH112" s="344"/>
      <c r="AI112" s="344"/>
      <c r="AJ112" s="344"/>
      <c r="AK112" s="344"/>
      <c r="AL112" s="344"/>
      <c r="AM112" s="344"/>
      <c r="AN112" s="344"/>
      <c r="AO112" s="344"/>
      <c r="AP112" s="344"/>
      <c r="AQ112" s="344"/>
      <c r="AR112" s="344"/>
      <c r="AS112" s="344"/>
      <c r="AT112" s="344"/>
      <c r="AU112" s="344"/>
      <c r="AV112" s="344"/>
      <c r="AW112" s="344"/>
      <c r="AX112" s="344"/>
      <c r="AY112" s="344"/>
      <c r="AZ112" s="344"/>
      <c r="BA112" s="344"/>
      <c r="BB112" s="344"/>
      <c r="BC112" s="344"/>
      <c r="BD112" s="344"/>
      <c r="BE112" s="344"/>
      <c r="BF112" s="344"/>
      <c r="BG112" s="344"/>
      <c r="BH112" s="344"/>
      <c r="BI112" s="344"/>
      <c r="BJ112" s="344"/>
      <c r="BK112" s="344"/>
      <c r="BL112" s="344"/>
      <c r="BM112" s="344"/>
      <c r="BN112" s="344"/>
      <c r="BO112" s="344"/>
      <c r="BP112" s="344"/>
      <c r="BQ112" s="344"/>
      <c r="BR112" s="344"/>
      <c r="BS112" s="344"/>
      <c r="BT112" s="344"/>
      <c r="BU112" s="344"/>
      <c r="BV112" s="344"/>
      <c r="BW112" s="344"/>
      <c r="BX112" s="344"/>
      <c r="BY112" s="344"/>
      <c r="BZ112" s="344"/>
      <c r="CA112" s="344"/>
      <c r="CB112" s="344"/>
      <c r="CC112" s="344"/>
      <c r="CD112" s="344"/>
      <c r="CE112" s="344"/>
      <c r="CF112" s="344"/>
      <c r="CG112" s="344"/>
      <c r="CH112" s="344"/>
      <c r="CI112" s="344"/>
      <c r="CJ112" s="344"/>
      <c r="CK112" s="344"/>
      <c r="CL112" s="344"/>
      <c r="CM112" s="344"/>
      <c r="CN112" s="344"/>
      <c r="CO112" s="344"/>
      <c r="CP112" s="344"/>
      <c r="CQ112" s="344"/>
      <c r="CR112" s="344"/>
      <c r="CS112" s="344"/>
      <c r="CT112" s="344"/>
      <c r="CU112" s="344"/>
      <c r="CV112" s="344"/>
      <c r="CW112" s="344"/>
      <c r="CX112" s="344"/>
      <c r="CY112" s="344"/>
      <c r="CZ112" s="344"/>
      <c r="DA112" s="344"/>
      <c r="DB112" s="344"/>
      <c r="DC112" s="344"/>
      <c r="DD112" s="344"/>
      <c r="DE112" s="344"/>
      <c r="DF112" s="344"/>
      <c r="DG112" s="344"/>
      <c r="DH112" s="344"/>
      <c r="DI112" s="344"/>
      <c r="DJ112" s="344"/>
      <c r="DK112" s="344"/>
      <c r="DL112" s="344"/>
      <c r="DM112" s="344"/>
      <c r="DN112" s="344"/>
      <c r="DO112" s="344"/>
      <c r="DP112" s="344"/>
      <c r="DQ112" s="344"/>
      <c r="DR112" s="344"/>
      <c r="DS112" s="344"/>
      <c r="DT112" s="344"/>
      <c r="DU112" s="344"/>
      <c r="DV112" s="344"/>
      <c r="DW112" s="344"/>
      <c r="DX112" s="344"/>
      <c r="DY112" s="344"/>
      <c r="DZ112" s="344"/>
      <c r="EA112" s="344"/>
      <c r="EB112" s="344"/>
      <c r="EC112" s="344"/>
      <c r="ED112" s="344"/>
      <c r="EE112" s="344"/>
      <c r="EF112" s="344"/>
      <c r="EG112" s="344"/>
      <c r="EH112" s="344"/>
      <c r="EI112" s="344"/>
      <c r="EJ112" s="344"/>
      <c r="EK112" s="344"/>
      <c r="EL112" s="344"/>
      <c r="EM112" s="344"/>
      <c r="EN112" s="344"/>
      <c r="EO112" s="344"/>
      <c r="EP112" s="344"/>
      <c r="EQ112" s="344"/>
      <c r="ER112" s="344"/>
      <c r="ES112" s="344"/>
      <c r="ET112" s="344"/>
      <c r="EU112" s="344"/>
      <c r="EV112" s="344"/>
      <c r="EW112" s="344"/>
      <c r="EX112" s="344"/>
      <c r="EY112" s="344"/>
      <c r="EZ112" s="344"/>
      <c r="FA112" s="344"/>
      <c r="FB112" s="344"/>
      <c r="FC112" s="344"/>
      <c r="FD112" s="344"/>
      <c r="FE112" s="344"/>
      <c r="FF112" s="344"/>
      <c r="FG112" s="344"/>
      <c r="FH112" s="344"/>
      <c r="FI112" s="344"/>
      <c r="FJ112" s="344"/>
      <c r="FK112" s="344"/>
      <c r="FL112" s="344"/>
      <c r="FM112" s="344"/>
      <c r="FN112" s="357">
        <f>1000-1000+800-360</f>
        <v>440</v>
      </c>
      <c r="FO112" s="344"/>
      <c r="FP112" s="344"/>
      <c r="FQ112" s="344"/>
      <c r="FR112" s="344"/>
      <c r="FS112" s="344"/>
      <c r="FT112" s="344"/>
      <c r="FU112" s="344"/>
      <c r="FV112" s="344"/>
      <c r="FW112" s="344"/>
      <c r="FX112" s="344"/>
      <c r="FY112" s="344"/>
      <c r="FZ112" s="344"/>
      <c r="GA112" s="344"/>
      <c r="GB112" s="344"/>
      <c r="GC112" s="344"/>
      <c r="GD112" s="343"/>
      <c r="GE112" s="342" t="s">
        <v>887</v>
      </c>
      <c r="GF112" s="342" t="s">
        <v>522</v>
      </c>
      <c r="GG112" s="342" t="s">
        <v>850</v>
      </c>
      <c r="GH112" s="342" t="s">
        <v>523</v>
      </c>
      <c r="GI112" s="345">
        <f t="shared" si="16"/>
        <v>440</v>
      </c>
      <c r="GJ112" s="346" t="s">
        <v>800</v>
      </c>
    </row>
    <row r="113" spans="1:192" s="329" customFormat="1">
      <c r="A113" s="325"/>
      <c r="B113" s="325"/>
      <c r="C113" s="325" t="s">
        <v>555</v>
      </c>
      <c r="D113" s="325" t="s">
        <v>636</v>
      </c>
      <c r="E113" s="327" t="s">
        <v>621</v>
      </c>
      <c r="F113" s="325"/>
      <c r="G113" s="325"/>
      <c r="H113" s="326"/>
      <c r="I113" s="326"/>
      <c r="J113" s="326"/>
      <c r="K113" s="326"/>
      <c r="L113" s="326"/>
      <c r="M113" s="326"/>
      <c r="N113" s="326"/>
      <c r="O113" s="326"/>
      <c r="P113" s="326"/>
      <c r="Q113" s="326"/>
      <c r="R113" s="326"/>
      <c r="S113" s="326"/>
      <c r="T113" s="326"/>
      <c r="U113" s="326"/>
      <c r="V113" s="326"/>
      <c r="W113" s="326"/>
      <c r="X113" s="326"/>
      <c r="Y113" s="326"/>
      <c r="Z113" s="326"/>
      <c r="AA113" s="326"/>
      <c r="AB113" s="326"/>
      <c r="AC113" s="326"/>
      <c r="AD113" s="326"/>
      <c r="AE113" s="326"/>
      <c r="AF113" s="326"/>
      <c r="AG113" s="326"/>
      <c r="AH113" s="326"/>
      <c r="AI113" s="326"/>
      <c r="AJ113" s="326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326"/>
      <c r="AU113" s="326"/>
      <c r="AV113" s="326"/>
      <c r="AW113" s="326"/>
      <c r="AX113" s="326"/>
      <c r="AY113" s="326"/>
      <c r="AZ113" s="326"/>
      <c r="BA113" s="326"/>
      <c r="BB113" s="326"/>
      <c r="BC113" s="326"/>
      <c r="BD113" s="326"/>
      <c r="BE113" s="326"/>
      <c r="BF113" s="326"/>
      <c r="BG113" s="326"/>
      <c r="BH113" s="326"/>
      <c r="BI113" s="326"/>
      <c r="BJ113" s="326"/>
      <c r="BK113" s="326"/>
      <c r="BL113" s="326"/>
      <c r="BM113" s="326"/>
      <c r="BN113" s="326"/>
      <c r="BO113" s="326"/>
      <c r="BP113" s="326"/>
      <c r="BQ113" s="326"/>
      <c r="BR113" s="326"/>
      <c r="BS113" s="326"/>
      <c r="BT113" s="326"/>
      <c r="BU113" s="326"/>
      <c r="BV113" s="326"/>
      <c r="BW113" s="326"/>
      <c r="BX113" s="326"/>
      <c r="BY113" s="326"/>
      <c r="BZ113" s="326"/>
      <c r="CA113" s="326"/>
      <c r="CB113" s="326"/>
      <c r="CC113" s="326"/>
      <c r="CD113" s="326"/>
      <c r="CE113" s="326"/>
      <c r="CF113" s="326"/>
      <c r="CG113" s="326"/>
      <c r="CH113" s="326"/>
      <c r="CI113" s="326"/>
      <c r="CJ113" s="326"/>
      <c r="CK113" s="326"/>
      <c r="CL113" s="326"/>
      <c r="CM113" s="326"/>
      <c r="CN113" s="326"/>
      <c r="CO113" s="326"/>
      <c r="CP113" s="326"/>
      <c r="CQ113" s="326"/>
      <c r="CR113" s="326"/>
      <c r="CS113" s="326"/>
      <c r="CT113" s="326"/>
      <c r="CU113" s="326"/>
      <c r="CV113" s="326"/>
      <c r="CW113" s="326"/>
      <c r="CX113" s="326"/>
      <c r="CY113" s="326"/>
      <c r="CZ113" s="326"/>
      <c r="DA113" s="326"/>
      <c r="DB113" s="326">
        <f>400</f>
        <v>400</v>
      </c>
      <c r="DC113" s="326"/>
      <c r="DD113" s="326"/>
      <c r="DE113" s="326"/>
      <c r="DF113" s="326"/>
      <c r="DG113" s="326"/>
      <c r="DH113" s="326"/>
      <c r="DI113" s="326"/>
      <c r="DJ113" s="326"/>
      <c r="DK113" s="326"/>
      <c r="DL113" s="326"/>
      <c r="DM113" s="326">
        <v>110</v>
      </c>
      <c r="DN113" s="326"/>
      <c r="DO113" s="326"/>
      <c r="DP113" s="326"/>
      <c r="DQ113" s="326"/>
      <c r="DR113" s="326"/>
      <c r="DS113" s="326"/>
      <c r="DT113" s="326"/>
      <c r="DU113" s="326"/>
      <c r="DV113" s="326"/>
      <c r="DW113" s="326"/>
      <c r="DX113" s="326"/>
      <c r="DY113" s="326"/>
      <c r="DZ113" s="326"/>
      <c r="EA113" s="326"/>
      <c r="EB113" s="326"/>
      <c r="EC113" s="326"/>
      <c r="ED113" s="326"/>
      <c r="EE113" s="326"/>
      <c r="EF113" s="326"/>
      <c r="EG113" s="326"/>
      <c r="EH113" s="326"/>
      <c r="EI113" s="326">
        <f>680</f>
        <v>680</v>
      </c>
      <c r="EJ113" s="326"/>
      <c r="EK113" s="326"/>
      <c r="EL113" s="326"/>
      <c r="EM113" s="326"/>
      <c r="EN113" s="326">
        <f>20</f>
        <v>20</v>
      </c>
      <c r="EO113" s="326"/>
      <c r="EP113" s="326"/>
      <c r="EQ113" s="326"/>
      <c r="ER113" s="326"/>
      <c r="ES113" s="326"/>
      <c r="ET113" s="326"/>
      <c r="EU113" s="326"/>
      <c r="EV113" s="326"/>
      <c r="EW113" s="326">
        <f>100</f>
        <v>100</v>
      </c>
      <c r="EX113" s="326"/>
      <c r="EY113" s="326"/>
      <c r="EZ113" s="326"/>
      <c r="FA113" s="326"/>
      <c r="FB113" s="326"/>
      <c r="FC113" s="326"/>
      <c r="FD113" s="326"/>
      <c r="FE113" s="326"/>
      <c r="FF113" s="326"/>
      <c r="FG113" s="326"/>
      <c r="FH113" s="326"/>
      <c r="FI113" s="326"/>
      <c r="FJ113" s="326"/>
      <c r="FK113" s="326"/>
      <c r="FL113" s="326">
        <v>240</v>
      </c>
      <c r="FM113" s="326"/>
      <c r="FN113" s="326"/>
      <c r="FO113" s="326"/>
      <c r="FP113" s="326"/>
      <c r="FQ113" s="326"/>
      <c r="FR113" s="326">
        <v>2</v>
      </c>
      <c r="FS113" s="326"/>
      <c r="FT113" s="326"/>
      <c r="FU113" s="326"/>
      <c r="FV113" s="326">
        <v>10</v>
      </c>
      <c r="FW113" s="326"/>
      <c r="FX113" s="326"/>
      <c r="FY113" s="326"/>
      <c r="FZ113" s="326"/>
      <c r="GA113" s="326"/>
      <c r="GB113" s="326"/>
      <c r="GC113" s="326"/>
      <c r="GD113" s="327"/>
      <c r="GE113" s="325"/>
      <c r="GF113" s="325"/>
      <c r="GG113" s="325"/>
      <c r="GH113" s="325"/>
      <c r="GI113" s="328">
        <f t="shared" ref="GI113:GI115" si="17">SUM(H113:GC113)</f>
        <v>1562</v>
      </c>
    </row>
    <row r="114" spans="1:192" s="329" customFormat="1">
      <c r="A114" s="337"/>
      <c r="B114" s="337"/>
      <c r="C114" s="337" t="s">
        <v>555</v>
      </c>
      <c r="D114" s="337" t="s">
        <v>633</v>
      </c>
      <c r="E114" s="338" t="s">
        <v>621</v>
      </c>
      <c r="F114" s="337"/>
      <c r="G114" s="337"/>
      <c r="H114" s="331"/>
      <c r="I114" s="331"/>
      <c r="J114" s="331"/>
      <c r="K114" s="331"/>
      <c r="L114" s="331"/>
      <c r="M114" s="331"/>
      <c r="N114" s="331"/>
      <c r="O114" s="331"/>
      <c r="P114" s="331"/>
      <c r="Q114" s="331"/>
      <c r="R114" s="331"/>
      <c r="S114" s="331"/>
      <c r="T114" s="331"/>
      <c r="U114" s="331"/>
      <c r="V114" s="331"/>
      <c r="W114" s="331"/>
      <c r="X114" s="331">
        <v>10</v>
      </c>
      <c r="Y114" s="331">
        <v>80</v>
      </c>
      <c r="Z114" s="331"/>
      <c r="AA114" s="331"/>
      <c r="AB114" s="331">
        <v>80</v>
      </c>
      <c r="AC114" s="331">
        <v>80</v>
      </c>
      <c r="AD114" s="331">
        <v>30</v>
      </c>
      <c r="AE114" s="331"/>
      <c r="AF114" s="331"/>
      <c r="AG114" s="331"/>
      <c r="AH114" s="331">
        <v>2</v>
      </c>
      <c r="AI114" s="331"/>
      <c r="AJ114" s="331"/>
      <c r="AK114" s="331"/>
      <c r="AL114" s="331"/>
      <c r="AM114" s="331"/>
      <c r="AN114" s="331"/>
      <c r="AO114" s="331"/>
      <c r="AP114" s="331"/>
      <c r="AQ114" s="331"/>
      <c r="AR114" s="331"/>
      <c r="AS114" s="331"/>
      <c r="AT114" s="331"/>
      <c r="AU114" s="331"/>
      <c r="AV114" s="331"/>
      <c r="AW114" s="331"/>
      <c r="AX114" s="331"/>
      <c r="AY114" s="331"/>
      <c r="AZ114" s="331">
        <v>45</v>
      </c>
      <c r="BA114" s="331">
        <v>5</v>
      </c>
      <c r="BB114" s="331"/>
      <c r="BC114" s="331">
        <v>140</v>
      </c>
      <c r="BD114" s="331"/>
      <c r="BE114" s="331"/>
      <c r="BF114" s="331"/>
      <c r="BG114" s="331">
        <v>80</v>
      </c>
      <c r="BH114" s="331"/>
      <c r="BI114" s="331"/>
      <c r="BJ114" s="331"/>
      <c r="BK114" s="331"/>
      <c r="BL114" s="331">
        <v>8</v>
      </c>
      <c r="BM114" s="331"/>
      <c r="BN114" s="331"/>
      <c r="BO114" s="331"/>
      <c r="BP114" s="331">
        <v>70</v>
      </c>
      <c r="BQ114" s="331">
        <v>70</v>
      </c>
      <c r="BR114" s="331"/>
      <c r="BS114" s="331">
        <v>40</v>
      </c>
      <c r="BT114" s="331">
        <v>11</v>
      </c>
      <c r="BU114" s="331"/>
      <c r="BV114" s="331"/>
      <c r="BW114" s="331"/>
      <c r="BX114" s="331"/>
      <c r="BY114" s="331">
        <v>8</v>
      </c>
      <c r="BZ114" s="331"/>
      <c r="CA114" s="331">
        <v>5</v>
      </c>
      <c r="CB114" s="331">
        <v>35</v>
      </c>
      <c r="CC114" s="331">
        <v>25</v>
      </c>
      <c r="CD114" s="331"/>
      <c r="CE114" s="331"/>
      <c r="CF114" s="331">
        <v>140</v>
      </c>
      <c r="CG114" s="331"/>
      <c r="CH114" s="331"/>
      <c r="CI114" s="331"/>
      <c r="CJ114" s="331">
        <v>10</v>
      </c>
      <c r="CK114" s="331">
        <v>6</v>
      </c>
      <c r="CL114" s="331">
        <v>10</v>
      </c>
      <c r="CM114" s="331">
        <v>60</v>
      </c>
      <c r="CN114" s="331"/>
      <c r="CO114" s="331"/>
      <c r="CP114" s="331"/>
      <c r="CQ114" s="331">
        <v>75</v>
      </c>
      <c r="CR114" s="331">
        <v>280</v>
      </c>
      <c r="CS114" s="331">
        <v>70</v>
      </c>
      <c r="CT114" s="331"/>
      <c r="CU114" s="331"/>
      <c r="CV114" s="331"/>
      <c r="CW114" s="331"/>
      <c r="CX114" s="331">
        <v>260</v>
      </c>
      <c r="CY114" s="331">
        <v>170</v>
      </c>
      <c r="CZ114" s="331">
        <v>290</v>
      </c>
      <c r="DA114" s="331">
        <v>160</v>
      </c>
      <c r="DB114" s="331"/>
      <c r="DC114" s="331"/>
      <c r="DD114" s="331"/>
      <c r="DE114" s="331"/>
      <c r="DF114" s="331"/>
      <c r="DG114" s="331">
        <v>370</v>
      </c>
      <c r="DH114" s="331"/>
      <c r="DI114" s="331"/>
      <c r="DJ114" s="331">
        <v>260</v>
      </c>
      <c r="DK114" s="331"/>
      <c r="DL114" s="331">
        <v>160</v>
      </c>
      <c r="DM114" s="331"/>
      <c r="DN114" s="331"/>
      <c r="DO114" s="331"/>
      <c r="DP114" s="331"/>
      <c r="DQ114" s="331"/>
      <c r="DR114" s="331"/>
      <c r="DS114" s="331"/>
      <c r="DT114" s="331"/>
      <c r="DU114" s="331"/>
      <c r="DV114" s="331"/>
      <c r="DW114" s="331"/>
      <c r="DX114" s="331"/>
      <c r="DY114" s="331">
        <f>590</f>
        <v>590</v>
      </c>
      <c r="DZ114" s="331"/>
      <c r="EA114" s="331"/>
      <c r="EB114" s="331">
        <f>20</f>
        <v>20</v>
      </c>
      <c r="EC114" s="331"/>
      <c r="ED114" s="331"/>
      <c r="EE114" s="331"/>
      <c r="EF114" s="331">
        <v>20</v>
      </c>
      <c r="EG114" s="331"/>
      <c r="EH114" s="331"/>
      <c r="EI114" s="331"/>
      <c r="EJ114" s="331"/>
      <c r="EK114" s="331">
        <v>10</v>
      </c>
      <c r="EL114" s="331"/>
      <c r="EM114" s="331">
        <f>30</f>
        <v>30</v>
      </c>
      <c r="EN114" s="331"/>
      <c r="EO114" s="331"/>
      <c r="EP114" s="331">
        <v>1000</v>
      </c>
      <c r="EQ114" s="331"/>
      <c r="ER114" s="331">
        <v>2240</v>
      </c>
      <c r="ES114" s="331"/>
      <c r="ET114" s="331"/>
      <c r="EU114" s="331"/>
      <c r="EV114" s="331"/>
      <c r="EW114" s="331"/>
      <c r="EX114" s="331"/>
      <c r="EY114" s="331"/>
      <c r="EZ114" s="331"/>
      <c r="FA114" s="331"/>
      <c r="FB114" s="331"/>
      <c r="FC114" s="331"/>
      <c r="FD114" s="331"/>
      <c r="FE114" s="331">
        <f>4</f>
        <v>4</v>
      </c>
      <c r="FF114" s="331"/>
      <c r="FG114" s="331"/>
      <c r="FH114" s="331">
        <v>260</v>
      </c>
      <c r="FI114" s="331">
        <v>230</v>
      </c>
      <c r="FJ114" s="331"/>
      <c r="FK114" s="331">
        <v>120</v>
      </c>
      <c r="FL114" s="331"/>
      <c r="FM114" s="331"/>
      <c r="FN114" s="331"/>
      <c r="FO114" s="331"/>
      <c r="FP114" s="331"/>
      <c r="FQ114" s="331"/>
      <c r="FR114" s="331"/>
      <c r="FS114" s="331"/>
      <c r="FT114" s="331"/>
      <c r="FU114" s="331"/>
      <c r="FV114" s="331">
        <v>2</v>
      </c>
      <c r="FW114" s="331"/>
      <c r="FX114" s="331"/>
      <c r="FY114" s="331"/>
      <c r="FZ114" s="331"/>
      <c r="GA114" s="331"/>
      <c r="GB114" s="331"/>
      <c r="GC114" s="331"/>
      <c r="GD114" s="338"/>
      <c r="GE114" s="337"/>
      <c r="GF114" s="337"/>
      <c r="GG114" s="337"/>
      <c r="GH114" s="337"/>
      <c r="GI114" s="339">
        <f t="shared" si="17"/>
        <v>7671</v>
      </c>
    </row>
    <row r="115" spans="1:192" s="329" customFormat="1" ht="11" thickBot="1">
      <c r="A115" s="342"/>
      <c r="B115" s="342"/>
      <c r="C115" s="342" t="s">
        <v>555</v>
      </c>
      <c r="D115" s="342" t="s">
        <v>3</v>
      </c>
      <c r="E115" s="343" t="s">
        <v>621</v>
      </c>
      <c r="F115" s="342"/>
      <c r="G115" s="342"/>
      <c r="H115" s="344"/>
      <c r="I115" s="344">
        <v>20</v>
      </c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  <c r="AA115" s="344"/>
      <c r="AB115" s="344"/>
      <c r="AC115" s="344"/>
      <c r="AD115" s="344"/>
      <c r="AE115" s="344"/>
      <c r="AF115" s="344"/>
      <c r="AG115" s="344"/>
      <c r="AH115" s="344"/>
      <c r="AI115" s="344"/>
      <c r="AJ115" s="344"/>
      <c r="AK115" s="344"/>
      <c r="AL115" s="344"/>
      <c r="AM115" s="344"/>
      <c r="AN115" s="344"/>
      <c r="AO115" s="344"/>
      <c r="AP115" s="344"/>
      <c r="AQ115" s="344"/>
      <c r="AR115" s="344"/>
      <c r="AS115" s="344"/>
      <c r="AT115" s="344"/>
      <c r="AU115" s="344">
        <v>7</v>
      </c>
      <c r="AV115" s="344"/>
      <c r="AW115" s="344"/>
      <c r="AX115" s="344">
        <v>20</v>
      </c>
      <c r="AY115" s="344"/>
      <c r="AZ115" s="344"/>
      <c r="BA115" s="344"/>
      <c r="BB115" s="344"/>
      <c r="BC115" s="344"/>
      <c r="BD115" s="344"/>
      <c r="BE115" s="344">
        <v>15</v>
      </c>
      <c r="BF115" s="344"/>
      <c r="BG115" s="344"/>
      <c r="BH115" s="344"/>
      <c r="BI115" s="344"/>
      <c r="BJ115" s="344"/>
      <c r="BK115" s="344"/>
      <c r="BL115" s="344"/>
      <c r="BM115" s="344"/>
      <c r="BN115" s="344">
        <v>5</v>
      </c>
      <c r="BO115" s="344">
        <v>7</v>
      </c>
      <c r="BP115" s="344"/>
      <c r="BQ115" s="344"/>
      <c r="BR115" s="344"/>
      <c r="BS115" s="344"/>
      <c r="BT115" s="344"/>
      <c r="BU115" s="344"/>
      <c r="BV115" s="344"/>
      <c r="BW115" s="344"/>
      <c r="BX115" s="344"/>
      <c r="BY115" s="344"/>
      <c r="BZ115" s="344"/>
      <c r="CA115" s="344"/>
      <c r="CB115" s="344"/>
      <c r="CC115" s="344"/>
      <c r="CD115" s="344"/>
      <c r="CE115" s="344"/>
      <c r="CF115" s="344"/>
      <c r="CG115" s="344">
        <v>70</v>
      </c>
      <c r="CH115" s="344"/>
      <c r="CI115" s="344"/>
      <c r="CJ115" s="344"/>
      <c r="CK115" s="344"/>
      <c r="CL115" s="344"/>
      <c r="CM115" s="344"/>
      <c r="CN115" s="344"/>
      <c r="CO115" s="344"/>
      <c r="CP115" s="344"/>
      <c r="CQ115" s="344"/>
      <c r="CR115" s="344"/>
      <c r="CS115" s="344"/>
      <c r="CT115" s="344"/>
      <c r="CU115" s="344"/>
      <c r="CV115" s="344"/>
      <c r="CW115" s="344"/>
      <c r="CX115" s="344"/>
      <c r="CY115" s="344"/>
      <c r="CZ115" s="344"/>
      <c r="DA115" s="344"/>
      <c r="DB115" s="344"/>
      <c r="DC115" s="344"/>
      <c r="DD115" s="344"/>
      <c r="DE115" s="344"/>
      <c r="DF115" s="344"/>
      <c r="DG115" s="344"/>
      <c r="DH115" s="344"/>
      <c r="DI115" s="344"/>
      <c r="DJ115" s="344"/>
      <c r="DK115" s="344"/>
      <c r="DL115" s="344"/>
      <c r="DM115" s="344"/>
      <c r="DN115" s="344"/>
      <c r="DO115" s="344"/>
      <c r="DP115" s="344"/>
      <c r="DQ115" s="344"/>
      <c r="DR115" s="344"/>
      <c r="DS115" s="344"/>
      <c r="DT115" s="344"/>
      <c r="DU115" s="344"/>
      <c r="DV115" s="344"/>
      <c r="DW115" s="344"/>
      <c r="DX115" s="344"/>
      <c r="DY115" s="344"/>
      <c r="DZ115" s="344"/>
      <c r="EA115" s="344"/>
      <c r="EB115" s="344"/>
      <c r="EC115" s="344"/>
      <c r="ED115" s="344"/>
      <c r="EE115" s="344"/>
      <c r="EF115" s="344"/>
      <c r="EG115" s="344"/>
      <c r="EH115" s="344"/>
      <c r="EI115" s="344"/>
      <c r="EJ115" s="344"/>
      <c r="EK115" s="344"/>
      <c r="EL115" s="344"/>
      <c r="EM115" s="344"/>
      <c r="EN115" s="344"/>
      <c r="EO115" s="344"/>
      <c r="EP115" s="344"/>
      <c r="EQ115" s="344"/>
      <c r="ER115" s="344"/>
      <c r="ES115" s="344"/>
      <c r="ET115" s="344"/>
      <c r="EU115" s="344"/>
      <c r="EV115" s="344"/>
      <c r="EW115" s="344"/>
      <c r="EX115" s="344"/>
      <c r="EY115" s="344"/>
      <c r="EZ115" s="344"/>
      <c r="FA115" s="344"/>
      <c r="FB115" s="344"/>
      <c r="FC115" s="344"/>
      <c r="FD115" s="344"/>
      <c r="FE115" s="344"/>
      <c r="FF115" s="344"/>
      <c r="FG115" s="344"/>
      <c r="FH115" s="344"/>
      <c r="FI115" s="344"/>
      <c r="FJ115" s="344"/>
      <c r="FK115" s="344"/>
      <c r="FL115" s="344"/>
      <c r="FM115" s="344"/>
      <c r="FN115" s="344">
        <v>200</v>
      </c>
      <c r="FO115" s="344"/>
      <c r="FP115" s="344"/>
      <c r="FQ115" s="344"/>
      <c r="FR115" s="344"/>
      <c r="FS115" s="344"/>
      <c r="FT115" s="344"/>
      <c r="FU115" s="344"/>
      <c r="FV115" s="344"/>
      <c r="FW115" s="344"/>
      <c r="FX115" s="344"/>
      <c r="FY115" s="344"/>
      <c r="FZ115" s="344"/>
      <c r="GA115" s="344"/>
      <c r="GB115" s="344"/>
      <c r="GC115" s="344"/>
      <c r="GD115" s="343"/>
      <c r="GE115" s="342"/>
      <c r="GF115" s="342"/>
      <c r="GG115" s="342"/>
      <c r="GH115" s="342"/>
      <c r="GI115" s="345">
        <f t="shared" si="17"/>
        <v>344</v>
      </c>
      <c r="GJ115" s="346"/>
    </row>
    <row r="117" spans="1:192">
      <c r="E117" s="85" t="s">
        <v>623</v>
      </c>
      <c r="I117" s="92">
        <f>I43+I44+I45+I49+I50+I51+I58+I59+I60+I73+I74+I75+I76+I77+I78+I91+I92+I93+I94</f>
        <v>0</v>
      </c>
      <c r="X117" s="92">
        <f>X43+X44+X45+X49+X50+X51+X58+X59+X60+X73+X74+X75+X76+X77+X78+X91+X92+X93+X94</f>
        <v>5</v>
      </c>
      <c r="Y117" s="92">
        <f>Y43+Y44+Y45+Y49+Y50+Y51+Y58+Y59+Y60+Y73+Y74+Y75+Y76+Y77+Y78+Y91+Y92+Y93+Y94</f>
        <v>55</v>
      </c>
      <c r="AB117" s="92">
        <f t="shared" ref="AB117:AD117" si="18">AB43+AB44+AB45+AB49+AB50+AB51+AB58+AB59+AB60+AB73+AB74+AB75+AB76+AB77+AB78+AB91+AB92+AB93+AB94</f>
        <v>55</v>
      </c>
      <c r="AC117" s="92">
        <f t="shared" si="18"/>
        <v>45</v>
      </c>
      <c r="AD117" s="92">
        <f t="shared" si="18"/>
        <v>0</v>
      </c>
      <c r="AH117" s="92">
        <f t="shared" ref="AH117" si="19">AH43+AH44+AH45+AH49+AH50+AH51+AH58+AH59+AH60+AH73+AH74+AH75+AH76+AH77+AH78+AH91+AH92+AH93+AH94</f>
        <v>0</v>
      </c>
      <c r="AU117" s="92">
        <f t="shared" ref="AU117:BG117" si="20">AU43+AU44+AU45+AU49+AU50+AU51+AU58+AU59+AU60+AU73+AU74+AU75+AU76+AU77+AU78+AU91+AU92+AU93+AU94</f>
        <v>7</v>
      </c>
      <c r="AX117" s="92">
        <f t="shared" si="20"/>
        <v>12</v>
      </c>
      <c r="AZ117" s="92">
        <f t="shared" si="20"/>
        <v>25</v>
      </c>
      <c r="BA117" s="92">
        <f t="shared" si="20"/>
        <v>0</v>
      </c>
      <c r="BC117" s="92">
        <f t="shared" si="20"/>
        <v>70</v>
      </c>
      <c r="BE117" s="92">
        <f t="shared" si="20"/>
        <v>10</v>
      </c>
      <c r="BG117" s="92">
        <f t="shared" si="20"/>
        <v>80</v>
      </c>
      <c r="BL117" s="92">
        <f t="shared" ref="BL117:BT117" si="21">BL43+BL44+BL45+BL49+BL50+BL51+BL58+BL59+BL60+BL73+BL74+BL75+BL76+BL77+BL78+BL91+BL92+BL93+BL94</f>
        <v>4</v>
      </c>
      <c r="BN117" s="92">
        <f t="shared" si="21"/>
        <v>2</v>
      </c>
      <c r="BO117" s="92">
        <f t="shared" si="21"/>
        <v>3</v>
      </c>
      <c r="BP117" s="92">
        <f t="shared" si="21"/>
        <v>45</v>
      </c>
      <c r="BQ117" s="92">
        <f t="shared" si="21"/>
        <v>45</v>
      </c>
      <c r="BS117" s="92">
        <f t="shared" si="21"/>
        <v>28</v>
      </c>
      <c r="BT117" s="92">
        <f t="shared" si="21"/>
        <v>10</v>
      </c>
      <c r="BY117" s="92">
        <f t="shared" ref="BY117:CC117" si="22">BY43+BY44+BY45+BY49+BY50+BY51+BY58+BY59+BY60+BY73+BY74+BY75+BY76+BY77+BY78+BY91+BY92+BY93+BY94</f>
        <v>0</v>
      </c>
      <c r="CA117" s="92">
        <f t="shared" si="22"/>
        <v>2</v>
      </c>
      <c r="CB117" s="92">
        <f t="shared" si="22"/>
        <v>20</v>
      </c>
      <c r="CC117" s="92">
        <f t="shared" si="22"/>
        <v>15</v>
      </c>
      <c r="CF117" s="92">
        <f t="shared" ref="CF117:CM117" si="23">CF43+CF44+CF45+CF49+CF50+CF51+CF58+CF59+CF60+CF73+CF74+CF75+CF76+CF77+CF78+CF91+CF92+CF93+CF94</f>
        <v>100</v>
      </c>
      <c r="CG117" s="92">
        <f t="shared" si="23"/>
        <v>50</v>
      </c>
      <c r="CJ117" s="92">
        <f t="shared" si="23"/>
        <v>10</v>
      </c>
      <c r="CK117" s="92">
        <f t="shared" si="23"/>
        <v>6</v>
      </c>
      <c r="CL117" s="92">
        <f t="shared" si="23"/>
        <v>1</v>
      </c>
      <c r="CM117" s="92">
        <f t="shared" si="23"/>
        <v>40</v>
      </c>
      <c r="CQ117" s="92">
        <f t="shared" ref="CQ117:CX117" si="24">CQ43+CQ44+CQ45+CQ49+CQ50+CQ51+CQ58+CQ59+CQ60+CQ73+CQ74+CQ75+CQ76+CQ77+CQ78+CQ91+CQ92+CQ93+CQ94</f>
        <v>50</v>
      </c>
      <c r="CR117" s="92">
        <f t="shared" si="24"/>
        <v>200</v>
      </c>
      <c r="CS117" s="92">
        <f t="shared" si="24"/>
        <v>50</v>
      </c>
      <c r="CX117" s="92">
        <f t="shared" si="24"/>
        <v>200</v>
      </c>
      <c r="CY117" s="92">
        <f t="shared" ref="CY117:DB117" si="25">CY43+CY44+CY45+CY49+CY50+CY51+CY58+CY59+CY60+CY73+CY74+CY75+CY76+CY77+CY78+CY91+CY92+CY93+CY94</f>
        <v>100</v>
      </c>
      <c r="CZ117" s="92">
        <f t="shared" si="25"/>
        <v>200</v>
      </c>
      <c r="DA117" s="92">
        <f t="shared" si="25"/>
        <v>80</v>
      </c>
      <c r="DB117" s="92">
        <f t="shared" si="25"/>
        <v>280</v>
      </c>
      <c r="DG117" s="92">
        <f t="shared" ref="DG117:DM117" si="26">DG43+DG44+DG45+DG49+DG50+DG51+DG58+DG59+DG60+DG73+DG74+DG75+DG76+DG77+DG78+DG91+DG92+DG93+DG94</f>
        <v>280</v>
      </c>
      <c r="DJ117" s="92">
        <f t="shared" si="26"/>
        <v>180</v>
      </c>
      <c r="DL117" s="92">
        <f t="shared" si="26"/>
        <v>110</v>
      </c>
      <c r="DM117" s="92">
        <f t="shared" si="26"/>
        <v>80</v>
      </c>
      <c r="DY117" s="92">
        <f t="shared" ref="DY117:EF117" si="27">DY43+DY44+DY45+DY49+DY50+DY51+DY58+DY59+DY60+DY73+DY74+DY75+DY76+DY77+DY78+DY91+DY92+DY93+DY94</f>
        <v>440</v>
      </c>
      <c r="EB117" s="92">
        <f t="shared" si="27"/>
        <v>0</v>
      </c>
      <c r="EF117" s="92">
        <f t="shared" si="27"/>
        <v>0</v>
      </c>
      <c r="EI117" s="92">
        <f t="shared" ref="EI117:EW117" si="28">EI43+EI44+EI45+EI49+EI50+EI51+EI58+EI59+EI60+EI73+EI74+EI75+EI76+EI77+EI78+EI91+EI92+EI93+EI94</f>
        <v>510</v>
      </c>
      <c r="EK117" s="92">
        <f t="shared" si="28"/>
        <v>0</v>
      </c>
      <c r="EM117" s="92">
        <f t="shared" si="28"/>
        <v>0</v>
      </c>
      <c r="EN117" s="92">
        <f t="shared" si="28"/>
        <v>0</v>
      </c>
      <c r="EP117" s="92">
        <f>EP43+EP44+EP45+EP49+EP50+EP51+EP58+EP59+EP60+EP73+EP74+EP75+EP76+EP77+EP78+EP91+EP92+EP93+EP94</f>
        <v>660</v>
      </c>
      <c r="ER117" s="92">
        <f t="shared" si="28"/>
        <v>1560</v>
      </c>
      <c r="EW117" s="92">
        <f t="shared" si="28"/>
        <v>0</v>
      </c>
      <c r="FE117" s="92">
        <f t="shared" ref="FE117" si="29">FE43+FE44+FE45+FE49+FE50+FE51+FE58+FE59+FE60+FE73+FE74+FE75+FE76+FE77+FE78+FE91+FE92+FE93+FE94</f>
        <v>0</v>
      </c>
      <c r="FH117" s="92">
        <f t="shared" ref="FH117:FR117" si="30">FH43+FH44+FH45+FH49+FH50+FH51+FH58+FH59+FH60+FH73+FH74+FH75+FH76+FH77+FH78+FH91+FH92+FH93+FH94</f>
        <v>160</v>
      </c>
      <c r="FI117" s="92">
        <f t="shared" si="30"/>
        <v>150</v>
      </c>
      <c r="FK117" s="92">
        <f t="shared" si="30"/>
        <v>100</v>
      </c>
      <c r="FL117" s="92">
        <f t="shared" si="30"/>
        <v>200</v>
      </c>
      <c r="FN117" s="92">
        <f t="shared" si="30"/>
        <v>100</v>
      </c>
      <c r="FR117" s="92">
        <f t="shared" si="30"/>
        <v>2</v>
      </c>
      <c r="FV117" s="92">
        <f t="shared" ref="FV117" si="31">FV43+FV44+FV45+FV49+FV50+FV51+FV58+FV59+FV60+FV73+FV74+FV75+FV76+FV77+FV78+FV91+FV92+FV93+FV94</f>
        <v>12</v>
      </c>
      <c r="GI117" s="92">
        <f>SUM(H117:GH117)</f>
        <v>6449</v>
      </c>
    </row>
    <row r="118" spans="1:192">
      <c r="E118" s="87" t="s">
        <v>624</v>
      </c>
      <c r="I118" s="92">
        <f>I34+I35+I36+I37+I38+I39+I40+I41+I42+I52+I53+I54+I79+I80+I81+I82+I83+I84+I88+I89+I90+I98+I99+I100</f>
        <v>20</v>
      </c>
      <c r="X118" s="92">
        <f>X34+X35+X36+X37+X38+X39+X40+X41+X42+X52+X53+X54+X79+X80+X81+X82+X83+X84+X88+X89+X90+X98+X99+X100</f>
        <v>5</v>
      </c>
      <c r="Y118" s="92">
        <f>Y34+Y35+Y36+Y37+Y38+Y39+Y40+Y41+Y42+Y52+Y53+Y54+Y79+Y80+Y81+Y82+Y83+Y84+Y88+Y89+Y90+Y98+Y99+Y100</f>
        <v>15</v>
      </c>
      <c r="AB118" s="92">
        <f t="shared" ref="AB118:AD118" si="32">AB34+AB35+AB36+AB37+AB38+AB39+AB40+AB41+AB42+AB52+AB53+AB54+AB79+AB80+AB81+AB82+AB83+AB84+AB88+AB89+AB90+AB98+AB99+AB100</f>
        <v>10</v>
      </c>
      <c r="AC118" s="92">
        <f t="shared" si="32"/>
        <v>20</v>
      </c>
      <c r="AD118" s="92">
        <f t="shared" si="32"/>
        <v>13</v>
      </c>
      <c r="AH118" s="92">
        <f t="shared" ref="AH118" si="33">AH34+AH35+AH36+AH37+AH38+AH39+AH40+AH41+AH42+AH52+AH53+AH54+AH79+AH80+AH81+AH82+AH83+AH84+AH88+AH89+AH90+AH98+AH99+AH100</f>
        <v>2</v>
      </c>
      <c r="AU118" s="92">
        <f t="shared" ref="AU118:BG118" si="34">AU34+AU35+AU36+AU37+AU38+AU39+AU40+AU41+AU42+AU52+AU53+AU54+AU79+AU80+AU81+AU82+AU83+AU84+AU88+AU89+AU90+AU98+AU99+AU100</f>
        <v>0</v>
      </c>
      <c r="AX118" s="92">
        <f t="shared" si="34"/>
        <v>4</v>
      </c>
      <c r="AZ118" s="92">
        <f t="shared" si="34"/>
        <v>15</v>
      </c>
      <c r="BA118" s="92">
        <f t="shared" si="34"/>
        <v>2</v>
      </c>
      <c r="BC118" s="92">
        <f t="shared" si="34"/>
        <v>40</v>
      </c>
      <c r="BE118" s="92">
        <f t="shared" si="34"/>
        <v>2</v>
      </c>
      <c r="BG118" s="92">
        <f t="shared" si="34"/>
        <v>0</v>
      </c>
      <c r="BL118" s="92">
        <f t="shared" ref="BL118:BT118" si="35">BL34+BL35+BL36+BL37+BL38+BL39+BL40+BL41+BL42+BL52+BL53+BL54+BL79+BL80+BL81+BL82+BL83+BL84+BL88+BL89+BL90+BL98+BL99+BL100</f>
        <v>2</v>
      </c>
      <c r="BN118" s="92">
        <f t="shared" si="35"/>
        <v>1</v>
      </c>
      <c r="BO118" s="92">
        <f t="shared" si="35"/>
        <v>1</v>
      </c>
      <c r="BP118" s="92">
        <f t="shared" si="35"/>
        <v>12</v>
      </c>
      <c r="BQ118" s="92">
        <f t="shared" si="35"/>
        <v>12</v>
      </c>
      <c r="BS118" s="92">
        <f t="shared" si="35"/>
        <v>6</v>
      </c>
      <c r="BT118" s="92">
        <f t="shared" si="35"/>
        <v>1</v>
      </c>
      <c r="BY118" s="92">
        <f t="shared" ref="BY118:CC118" si="36">BY34+BY35+BY36+BY37+BY38+BY39+BY40+BY41+BY42+BY52+BY53+BY54+BY79+BY80+BY81+BY82+BY83+BY84+BY88+BY89+BY90+BY98+BY99+BY100</f>
        <v>2</v>
      </c>
      <c r="CA118" s="92">
        <f t="shared" si="36"/>
        <v>1</v>
      </c>
      <c r="CB118" s="92">
        <f t="shared" si="36"/>
        <v>5</v>
      </c>
      <c r="CC118" s="92">
        <f t="shared" si="36"/>
        <v>3</v>
      </c>
      <c r="CF118" s="92">
        <f t="shared" ref="CF118:CM118" si="37">CF34+CF35+CF36+CF37+CF38+CF39+CF40+CF41+CF42+CF52+CF53+CF54+CF79+CF80+CF81+CF82+CF83+CF84+CF88+CF89+CF90+CF98+CF99+CF100</f>
        <v>12</v>
      </c>
      <c r="CG118" s="92">
        <f t="shared" si="37"/>
        <v>5</v>
      </c>
      <c r="CJ118" s="92">
        <f t="shared" si="37"/>
        <v>0</v>
      </c>
      <c r="CK118" s="92">
        <f t="shared" si="37"/>
        <v>0</v>
      </c>
      <c r="CL118" s="92">
        <f t="shared" si="37"/>
        <v>5</v>
      </c>
      <c r="CM118" s="92">
        <f t="shared" si="37"/>
        <v>6</v>
      </c>
      <c r="CQ118" s="92">
        <f t="shared" ref="CQ118:CX118" si="38">CQ34+CQ35+CQ36+CQ37+CQ38+CQ39+CQ40+CQ41+CQ42+CQ52+CQ53+CQ54+CQ79+CQ80+CQ81+CQ82+CQ83+CQ84+CQ88+CQ89+CQ90+CQ98+CQ99+CQ100</f>
        <v>6</v>
      </c>
      <c r="CR118" s="92">
        <f t="shared" si="38"/>
        <v>20</v>
      </c>
      <c r="CS118" s="92">
        <f t="shared" si="38"/>
        <v>6</v>
      </c>
      <c r="CX118" s="92">
        <f t="shared" si="38"/>
        <v>20</v>
      </c>
      <c r="CY118" s="92">
        <f t="shared" ref="CY118:DB118" si="39">CY34+CY35+CY36+CY37+CY38+CY39+CY40+CY41+CY42+CY52+CY53+CY54+CY79+CY80+CY81+CY82+CY83+CY84+CY88+CY89+CY90+CY98+CY99+CY100</f>
        <v>20</v>
      </c>
      <c r="CZ118" s="92">
        <f t="shared" si="39"/>
        <v>25</v>
      </c>
      <c r="DA118" s="92">
        <f t="shared" si="39"/>
        <v>18</v>
      </c>
      <c r="DB118" s="92">
        <f t="shared" si="39"/>
        <v>30</v>
      </c>
      <c r="DG118" s="92">
        <f t="shared" ref="DG118:DM118" si="40">DG34+DG35+DG36+DG37+DG38+DG39+DG40+DG41+DG42+DG52+DG53+DG54+DG79+DG80+DG81+DG82+DG83+DG84+DG88+DG89+DG90+DG98+DG99+DG100</f>
        <v>30</v>
      </c>
      <c r="DJ118" s="92">
        <f t="shared" si="40"/>
        <v>23</v>
      </c>
      <c r="DL118" s="92">
        <f t="shared" si="40"/>
        <v>13</v>
      </c>
      <c r="DM118" s="92">
        <f t="shared" si="40"/>
        <v>5</v>
      </c>
      <c r="DY118" s="92">
        <f t="shared" ref="DY118:EF118" si="41">DY34+DY35+DY36+DY37+DY38+DY39+DY40+DY41+DY42+DY52+DY53+DY54+DY79+DY80+DY81+DY82+DY83+DY84+DY88+DY89+DY90+DY98+DY99+DY100</f>
        <v>130</v>
      </c>
      <c r="EB118" s="92">
        <f t="shared" si="41"/>
        <v>20</v>
      </c>
      <c r="EF118" s="92">
        <f t="shared" si="41"/>
        <v>0</v>
      </c>
      <c r="EI118" s="92">
        <f t="shared" ref="EI118:EW118" si="42">EI34+EI35+EI36+EI37+EI38+EI39+EI40+EI41+EI42+EI52+EI53+EI54+EI79+EI80+EI81+EI82+EI83+EI84+EI88+EI89+EI90+EI98+EI99+EI100</f>
        <v>120</v>
      </c>
      <c r="EK118" s="92">
        <f t="shared" si="42"/>
        <v>10</v>
      </c>
      <c r="EM118" s="92">
        <f t="shared" si="42"/>
        <v>0</v>
      </c>
      <c r="EN118" s="92">
        <f t="shared" si="42"/>
        <v>0</v>
      </c>
      <c r="EP118" s="92">
        <f t="shared" si="42"/>
        <v>120</v>
      </c>
      <c r="ER118" s="92">
        <f t="shared" si="42"/>
        <v>290</v>
      </c>
      <c r="EW118" s="92">
        <f t="shared" si="42"/>
        <v>40</v>
      </c>
      <c r="FE118" s="92">
        <f t="shared" ref="FE118" si="43">FE34+FE35+FE36+FE37+FE38+FE39+FE40+FE41+FE42+FE52+FE53+FE54+FE79+FE80+FE81+FE82+FE83+FE84+FE88+FE89+FE90+FE98+FE99+FE100</f>
        <v>0</v>
      </c>
      <c r="FH118" s="92">
        <f t="shared" ref="FH118:FR118" si="44">FH34+FH35+FH36+FH37+FH38+FH39+FH40+FH41+FH42+FH52+FH53+FH54+FH79+FH80+FH81+FH82+FH83+FH84+FH88+FH89+FH90+FH98+FH99+FH100</f>
        <v>50</v>
      </c>
      <c r="FI118" s="92">
        <f t="shared" si="44"/>
        <v>50</v>
      </c>
      <c r="FK118" s="92">
        <f t="shared" si="44"/>
        <v>20</v>
      </c>
      <c r="FL118" s="92">
        <f t="shared" si="44"/>
        <v>20</v>
      </c>
      <c r="FN118" s="92">
        <f t="shared" si="44"/>
        <v>0</v>
      </c>
      <c r="FR118" s="92">
        <f t="shared" si="44"/>
        <v>0</v>
      </c>
      <c r="FV118" s="92">
        <f t="shared" ref="FV118" si="45">FV34+FV35+FV36+FV37+FV38+FV39+FV40+FV41+FV42+FV52+FV53+FV54+FV79+FV80+FV81+FV82+FV83+FV84+FV88+FV89+FV90+FV98+FV99+FV100</f>
        <v>0</v>
      </c>
      <c r="GI118" s="92">
        <f t="shared" ref="GI118:GI122" si="46">SUM(H118:GH118)</f>
        <v>1308</v>
      </c>
    </row>
    <row r="119" spans="1:192">
      <c r="E119" s="87" t="s">
        <v>625</v>
      </c>
      <c r="I119" s="92">
        <f>I31+I32+I33+I43+I44+I45+I55+I56+I57</f>
        <v>0</v>
      </c>
      <c r="X119" s="92">
        <f>X31+X32+X33+X43+X44+X45+X55+X56+X57</f>
        <v>0</v>
      </c>
      <c r="Y119" s="92">
        <f>Y31+Y32+Y33+Y43+Y44+Y45+Y55+Y56+Y57</f>
        <v>5</v>
      </c>
      <c r="AB119" s="92">
        <f t="shared" ref="AB119:AD119" si="47">AB31+AB32+AB33+AB43+AB44+AB45+AB55+AB56+AB57</f>
        <v>5</v>
      </c>
      <c r="AC119" s="92">
        <f t="shared" si="47"/>
        <v>5</v>
      </c>
      <c r="AD119" s="92">
        <f t="shared" si="47"/>
        <v>5</v>
      </c>
      <c r="AH119" s="92">
        <f t="shared" ref="AH119" si="48">AH31+AH32+AH33+AH43+AH44+AH45+AH55+AH56+AH57</f>
        <v>0</v>
      </c>
      <c r="AU119" s="92">
        <f t="shared" ref="AU119:BG119" si="49">AU31+AU32+AU33+AU43+AU44+AU45+AU55+AU56+AU57</f>
        <v>0</v>
      </c>
      <c r="AX119" s="92">
        <f t="shared" si="49"/>
        <v>0</v>
      </c>
      <c r="AZ119" s="92">
        <f t="shared" si="49"/>
        <v>0</v>
      </c>
      <c r="BA119" s="92">
        <f t="shared" si="49"/>
        <v>1</v>
      </c>
      <c r="BC119" s="92">
        <f t="shared" si="49"/>
        <v>20</v>
      </c>
      <c r="BE119" s="92">
        <f t="shared" si="49"/>
        <v>0</v>
      </c>
      <c r="BG119" s="92">
        <f t="shared" si="49"/>
        <v>0</v>
      </c>
      <c r="BL119" s="92">
        <f t="shared" ref="BL119:BT119" si="50">BL31+BL32+BL33+BL43+BL44+BL45+BL55+BL56+BL57</f>
        <v>0</v>
      </c>
      <c r="BN119" s="92">
        <f t="shared" si="50"/>
        <v>0</v>
      </c>
      <c r="BO119" s="92">
        <f t="shared" si="50"/>
        <v>1</v>
      </c>
      <c r="BP119" s="92">
        <f t="shared" si="50"/>
        <v>4</v>
      </c>
      <c r="BQ119" s="92">
        <f t="shared" si="50"/>
        <v>5</v>
      </c>
      <c r="BS119" s="92">
        <f t="shared" si="50"/>
        <v>2</v>
      </c>
      <c r="BT119" s="92">
        <f t="shared" si="50"/>
        <v>0</v>
      </c>
      <c r="BY119" s="92">
        <f t="shared" ref="BY119:CC119" si="51">BY31+BY32+BY33+BY43+BY44+BY45+BY55+BY56+BY57</f>
        <v>4</v>
      </c>
      <c r="CA119" s="92">
        <f t="shared" si="51"/>
        <v>0</v>
      </c>
      <c r="CB119" s="92">
        <f t="shared" si="51"/>
        <v>4</v>
      </c>
      <c r="CC119" s="92">
        <f t="shared" si="51"/>
        <v>2</v>
      </c>
      <c r="CF119" s="92">
        <f t="shared" ref="CF119:CM119" si="52">CF31+CF32+CF33+CF43+CF44+CF45+CF55+CF56+CF57</f>
        <v>10</v>
      </c>
      <c r="CG119" s="92">
        <f t="shared" si="52"/>
        <v>5</v>
      </c>
      <c r="CJ119" s="92">
        <f t="shared" si="52"/>
        <v>0</v>
      </c>
      <c r="CK119" s="92">
        <f t="shared" si="52"/>
        <v>0</v>
      </c>
      <c r="CL119" s="92">
        <f t="shared" si="52"/>
        <v>1</v>
      </c>
      <c r="CM119" s="92">
        <f t="shared" si="52"/>
        <v>4</v>
      </c>
      <c r="CQ119" s="92">
        <f t="shared" ref="CQ119:CX119" si="53">CQ31+CQ32+CQ33+CQ43+CQ44+CQ45+CQ55+CQ56+CQ57</f>
        <v>7</v>
      </c>
      <c r="CR119" s="92">
        <f t="shared" si="53"/>
        <v>20</v>
      </c>
      <c r="CS119" s="92">
        <f t="shared" si="53"/>
        <v>5</v>
      </c>
      <c r="CX119" s="92">
        <f t="shared" si="53"/>
        <v>20</v>
      </c>
      <c r="CY119" s="92">
        <f t="shared" ref="CY119:DB119" si="54">CY31+CY32+CY33+CY43+CY44+CY45+CY55+CY56+CY57</f>
        <v>20</v>
      </c>
      <c r="CZ119" s="92">
        <f t="shared" si="54"/>
        <v>15</v>
      </c>
      <c r="DA119" s="92">
        <f t="shared" si="54"/>
        <v>20</v>
      </c>
      <c r="DB119" s="92">
        <f t="shared" si="54"/>
        <v>40</v>
      </c>
      <c r="DG119" s="92">
        <f t="shared" ref="DG119:DM119" si="55">DG31+DG32+DG33+DG43+DG44+DG45+DG55+DG56+DG57</f>
        <v>10</v>
      </c>
      <c r="DJ119" s="92">
        <f t="shared" si="55"/>
        <v>20</v>
      </c>
      <c r="DL119" s="92">
        <f t="shared" si="55"/>
        <v>15</v>
      </c>
      <c r="DM119" s="92">
        <f t="shared" si="55"/>
        <v>10</v>
      </c>
      <c r="DY119" s="92">
        <f t="shared" ref="DY119:EF119" si="56">DY31+DY32+DY33+DY43+DY44+DY45+DY55+DY56+DY57</f>
        <v>20</v>
      </c>
      <c r="EB119" s="92">
        <f t="shared" si="56"/>
        <v>0</v>
      </c>
      <c r="EF119" s="92">
        <f t="shared" si="56"/>
        <v>0</v>
      </c>
      <c r="EI119" s="92">
        <f t="shared" ref="EI119:EW119" si="57">EI31+EI32+EI33+EI43+EI44+EI45+EI55+EI56+EI57</f>
        <v>20</v>
      </c>
      <c r="EK119" s="92">
        <f t="shared" si="57"/>
        <v>0</v>
      </c>
      <c r="EM119" s="92">
        <f t="shared" si="57"/>
        <v>0</v>
      </c>
      <c r="EN119" s="92">
        <f t="shared" si="57"/>
        <v>0</v>
      </c>
      <c r="EP119" s="92">
        <f>EP31+EP32+EP33+EP43+EP44+EP45+EP55+EP56+EP57</f>
        <v>60</v>
      </c>
      <c r="ER119" s="92">
        <f t="shared" si="57"/>
        <v>120</v>
      </c>
      <c r="EW119" s="92">
        <f t="shared" si="57"/>
        <v>20</v>
      </c>
      <c r="FE119" s="92">
        <f t="shared" ref="FE119" si="58">FE31+FE32+FE33+FE43+FE44+FE45+FE55+FE56+FE57</f>
        <v>0</v>
      </c>
      <c r="FH119" s="92">
        <f t="shared" ref="FH119:FR119" si="59">FH31+FH32+FH33+FH43+FH44+FH45+FH55+FH56+FH57</f>
        <v>10</v>
      </c>
      <c r="FI119" s="92">
        <f t="shared" si="59"/>
        <v>10</v>
      </c>
      <c r="FK119" s="92">
        <f t="shared" si="59"/>
        <v>0</v>
      </c>
      <c r="FL119" s="92">
        <f t="shared" si="59"/>
        <v>20</v>
      </c>
      <c r="FN119" s="92">
        <f t="shared" si="59"/>
        <v>0</v>
      </c>
      <c r="FR119" s="92">
        <f t="shared" si="59"/>
        <v>0</v>
      </c>
      <c r="FV119" s="92">
        <f t="shared" ref="FV119" si="60">FV31+FV32+FV33+FV43+FV44+FV45+FV55+FV56+FV57</f>
        <v>0</v>
      </c>
      <c r="GI119" s="92">
        <f t="shared" si="46"/>
        <v>565</v>
      </c>
    </row>
    <row r="120" spans="1:192">
      <c r="E120" s="87" t="s">
        <v>626</v>
      </c>
      <c r="I120" s="92">
        <f>I46+I47+I48+I70+I71+I72+I85+I86+I87+I101+I102+I103</f>
        <v>0</v>
      </c>
      <c r="X120" s="92">
        <f>X46+X47+X48+X70+X71+X72+X85+X86+X87+X101+X102+X103</f>
        <v>0</v>
      </c>
      <c r="Y120" s="92">
        <f>Y46+Y47+Y48+Y70+Y71+Y72+Y85+Y86+Y87+Y101+Y102+Y103</f>
        <v>0</v>
      </c>
      <c r="AB120" s="92">
        <f t="shared" ref="AB120:AD120" si="61">AB46+AB47+AB48+AB70+AB71+AB72+AB85+AB86+AB87+AB101+AB102+AB103</f>
        <v>0</v>
      </c>
      <c r="AC120" s="92">
        <f t="shared" si="61"/>
        <v>0</v>
      </c>
      <c r="AD120" s="92">
        <f t="shared" si="61"/>
        <v>0</v>
      </c>
      <c r="AH120" s="92">
        <f t="shared" ref="AH120" si="62">AH46+AH47+AH48+AH70+AH71+AH72+AH85+AH86+AH87+AH101+AH102+AH103</f>
        <v>0</v>
      </c>
      <c r="AU120" s="92">
        <f t="shared" ref="AU120:BG120" si="63">AU46+AU47+AU48+AU70+AU71+AU72+AU85+AU86+AU87+AU101+AU102+AU103</f>
        <v>0</v>
      </c>
      <c r="AX120" s="92">
        <f t="shared" si="63"/>
        <v>0</v>
      </c>
      <c r="AZ120" s="92">
        <f t="shared" si="63"/>
        <v>5</v>
      </c>
      <c r="BA120" s="92">
        <f t="shared" si="63"/>
        <v>1</v>
      </c>
      <c r="BC120" s="92">
        <f t="shared" si="63"/>
        <v>10</v>
      </c>
      <c r="BE120" s="92">
        <f t="shared" si="63"/>
        <v>2</v>
      </c>
      <c r="BG120" s="92">
        <f t="shared" si="63"/>
        <v>0</v>
      </c>
      <c r="BL120" s="92">
        <f t="shared" ref="BL120:BT120" si="64">BL46+BL47+BL48+BL70+BL71+BL72+BL85+BL86+BL87+BL101+BL102+BL103</f>
        <v>0</v>
      </c>
      <c r="BN120" s="92">
        <f t="shared" si="64"/>
        <v>2</v>
      </c>
      <c r="BO120" s="92">
        <f t="shared" si="64"/>
        <v>1</v>
      </c>
      <c r="BP120" s="92">
        <f t="shared" si="64"/>
        <v>5</v>
      </c>
      <c r="BQ120" s="92">
        <f t="shared" si="64"/>
        <v>8</v>
      </c>
      <c r="BS120" s="92">
        <f t="shared" si="64"/>
        <v>3</v>
      </c>
      <c r="BT120" s="92">
        <f t="shared" si="64"/>
        <v>0</v>
      </c>
      <c r="BY120" s="92">
        <f t="shared" ref="BY120:CC120" si="65">BY46+BY47+BY48+BY70+BY71+BY72+BY85+BY86+BY87+BY101+BY102+BY103</f>
        <v>0</v>
      </c>
      <c r="CA120" s="92">
        <f t="shared" si="65"/>
        <v>0</v>
      </c>
      <c r="CB120" s="92">
        <f t="shared" si="65"/>
        <v>2</v>
      </c>
      <c r="CC120" s="92">
        <f t="shared" si="65"/>
        <v>3</v>
      </c>
      <c r="CF120" s="92">
        <f t="shared" ref="CF120:CM120" si="66">CF46+CF47+CF48+CF70+CF71+CF72+CF85+CF86+CF87+CF101+CF102+CF103</f>
        <v>10</v>
      </c>
      <c r="CG120" s="92">
        <f t="shared" si="66"/>
        <v>5</v>
      </c>
      <c r="CJ120" s="92">
        <f t="shared" si="66"/>
        <v>0</v>
      </c>
      <c r="CK120" s="92">
        <f t="shared" si="66"/>
        <v>0</v>
      </c>
      <c r="CL120" s="92">
        <f t="shared" si="66"/>
        <v>2</v>
      </c>
      <c r="CM120" s="92">
        <f t="shared" si="66"/>
        <v>5</v>
      </c>
      <c r="CQ120" s="92">
        <f t="shared" ref="CQ120:CX120" si="67">CQ46+CQ47+CQ48+CQ70+CQ71+CQ72+CQ85+CQ86+CQ87+CQ101+CQ102+CQ103</f>
        <v>7</v>
      </c>
      <c r="CR120" s="92">
        <f t="shared" si="67"/>
        <v>20</v>
      </c>
      <c r="CS120" s="92">
        <f t="shared" si="67"/>
        <v>5</v>
      </c>
      <c r="CX120" s="92">
        <f t="shared" si="67"/>
        <v>0</v>
      </c>
      <c r="CY120" s="92">
        <f t="shared" ref="CY120:DB120" si="68">CY46+CY47+CY48+CY70+CY71+CY72+CY85+CY86+CY87+CY101+CY102+CY103</f>
        <v>0</v>
      </c>
      <c r="CZ120" s="92">
        <f t="shared" si="68"/>
        <v>25</v>
      </c>
      <c r="DA120" s="92">
        <f t="shared" si="68"/>
        <v>22</v>
      </c>
      <c r="DB120" s="92">
        <f t="shared" si="68"/>
        <v>30</v>
      </c>
      <c r="DG120" s="92">
        <f t="shared" ref="DG120:DM120" si="69">DG46+DG47+DG48+DG70+DG71+DG72+DG85+DG86+DG87+DG101+DG102+DG103</f>
        <v>20</v>
      </c>
      <c r="DJ120" s="92">
        <f t="shared" si="69"/>
        <v>17</v>
      </c>
      <c r="DL120" s="92">
        <f t="shared" si="69"/>
        <v>12</v>
      </c>
      <c r="DM120" s="92">
        <f t="shared" si="69"/>
        <v>10</v>
      </c>
      <c r="DY120" s="92">
        <f t="shared" ref="DY120:EF120" si="70">DY46+DY47+DY48+DY70+DY71+DY72+DY85+DY86+DY87+DY101+DY102+DY103</f>
        <v>0</v>
      </c>
      <c r="EB120" s="92">
        <f t="shared" si="70"/>
        <v>0</v>
      </c>
      <c r="EF120" s="92">
        <f t="shared" si="70"/>
        <v>10</v>
      </c>
      <c r="EI120" s="92">
        <f t="shared" ref="EI120:EW120" si="71">EI46+EI47+EI48+EI70+EI71+EI72+EI85+EI86+EI87+EI101+EI102+EI103</f>
        <v>0</v>
      </c>
      <c r="EK120" s="92">
        <f t="shared" si="71"/>
        <v>0</v>
      </c>
      <c r="EM120" s="92">
        <f t="shared" si="71"/>
        <v>0</v>
      </c>
      <c r="EN120" s="92">
        <f t="shared" si="71"/>
        <v>20</v>
      </c>
      <c r="EP120" s="92">
        <f t="shared" si="71"/>
        <v>120</v>
      </c>
      <c r="ER120" s="92">
        <f t="shared" si="71"/>
        <v>200</v>
      </c>
      <c r="EW120" s="92">
        <f t="shared" si="71"/>
        <v>20</v>
      </c>
      <c r="FE120" s="92">
        <f t="shared" ref="FE120" si="72">FE46+FE47+FE48+FE70+FE71+FE72+FE85+FE86+FE87+FE101+FE102+FE103</f>
        <v>0</v>
      </c>
      <c r="FH120" s="92">
        <f t="shared" ref="FH120:FR120" si="73">FH46+FH47+FH48+FH70+FH71+FH72+FH85+FH86+FH87+FH101+FH102+FH103</f>
        <v>0</v>
      </c>
      <c r="FI120" s="92">
        <f t="shared" si="73"/>
        <v>0</v>
      </c>
      <c r="FK120" s="92">
        <f t="shared" si="73"/>
        <v>0</v>
      </c>
      <c r="FL120" s="92">
        <f t="shared" si="73"/>
        <v>0</v>
      </c>
      <c r="FN120" s="92">
        <f t="shared" si="73"/>
        <v>100</v>
      </c>
      <c r="FR120" s="92">
        <f t="shared" si="73"/>
        <v>0</v>
      </c>
      <c r="FV120" s="92">
        <f t="shared" ref="FV120" si="74">FV46+FV47+FV48+FV70+FV71+FV72+FV85+FV86+FV87+FV101+FV102+FV103</f>
        <v>0</v>
      </c>
      <c r="GI120" s="92">
        <f t="shared" si="46"/>
        <v>702</v>
      </c>
    </row>
    <row r="121" spans="1:192" ht="10.5" thickBot="1">
      <c r="A121" s="189"/>
      <c r="B121" s="189"/>
      <c r="C121" s="189"/>
      <c r="D121" s="189"/>
      <c r="E121" s="89" t="s">
        <v>627</v>
      </c>
      <c r="F121" s="189"/>
      <c r="G121" s="189"/>
      <c r="H121" s="189"/>
      <c r="I121" s="189">
        <f>I61+I62+I63+I64+I65+I66+I67+I68+I69+I95+I96+I97+I104+I105+I106</f>
        <v>0</v>
      </c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>
        <f>X61+X62+X63+X64+X65+X66+X67+X68+X69+X95+X96+X97+X104+X105+X106</f>
        <v>0</v>
      </c>
      <c r="Y121" s="189">
        <f>Y61+Y62+Y63+Y64+Y65+Y66+Y67+Y68+Y69+Y95+Y96+Y97+Y104+Y105+Y106</f>
        <v>5</v>
      </c>
      <c r="Z121" s="189"/>
      <c r="AA121" s="189"/>
      <c r="AB121" s="189">
        <f t="shared" ref="AB121:AD121" si="75">AB61+AB62+AB63+AB64+AB65+AB66+AB67+AB68+AB69+AB95+AB96+AB97+AB104+AB105+AB106</f>
        <v>10</v>
      </c>
      <c r="AC121" s="189">
        <f t="shared" si="75"/>
        <v>10</v>
      </c>
      <c r="AD121" s="189">
        <f t="shared" si="75"/>
        <v>12</v>
      </c>
      <c r="AE121" s="189"/>
      <c r="AF121" s="189"/>
      <c r="AG121" s="189"/>
      <c r="AH121" s="189">
        <f t="shared" ref="AH121" si="76">AH61+AH62+AH63+AH64+AH65+AH66+AH67+AH68+AH69+AH95+AH96+AH97+AH104+AH105+AH106</f>
        <v>0</v>
      </c>
      <c r="AI121" s="189"/>
      <c r="AJ121" s="189"/>
      <c r="AK121" s="189"/>
      <c r="AL121" s="189"/>
      <c r="AM121" s="189"/>
      <c r="AN121" s="189"/>
      <c r="AO121" s="189"/>
      <c r="AP121" s="189"/>
      <c r="AQ121" s="189"/>
      <c r="AR121" s="189"/>
      <c r="AS121" s="189"/>
      <c r="AT121" s="189"/>
      <c r="AU121" s="189">
        <f t="shared" ref="AU121:BG121" si="77">AU61+AU62+AU63+AU64+AU65+AU66+AU67+AU68+AU69+AU95+AU96+AU97+AU104+AU105+AU106</f>
        <v>0</v>
      </c>
      <c r="AV121" s="189"/>
      <c r="AW121" s="189"/>
      <c r="AX121" s="189">
        <f t="shared" si="77"/>
        <v>4</v>
      </c>
      <c r="AY121" s="189"/>
      <c r="AZ121" s="189">
        <f t="shared" si="77"/>
        <v>0</v>
      </c>
      <c r="BA121" s="189">
        <f t="shared" si="77"/>
        <v>1</v>
      </c>
      <c r="BB121" s="189"/>
      <c r="BC121" s="189">
        <f t="shared" si="77"/>
        <v>0</v>
      </c>
      <c r="BD121" s="189"/>
      <c r="BE121" s="189">
        <f t="shared" si="77"/>
        <v>1</v>
      </c>
      <c r="BF121" s="189"/>
      <c r="BG121" s="189">
        <f t="shared" si="77"/>
        <v>0</v>
      </c>
      <c r="BH121" s="189"/>
      <c r="BI121" s="189"/>
      <c r="BJ121" s="189"/>
      <c r="BK121" s="189"/>
      <c r="BL121" s="189">
        <f t="shared" ref="BL121:BT121" si="78">BL61+BL62+BL63+BL64+BL65+BL66+BL67+BL68+BL69+BL95+BL96+BL97+BL104+BL105+BL106</f>
        <v>2</v>
      </c>
      <c r="BM121" s="189"/>
      <c r="BN121" s="189">
        <f t="shared" si="78"/>
        <v>0</v>
      </c>
      <c r="BO121" s="189">
        <f t="shared" si="78"/>
        <v>1</v>
      </c>
      <c r="BP121" s="189">
        <f t="shared" si="78"/>
        <v>4</v>
      </c>
      <c r="BQ121" s="189">
        <f t="shared" si="78"/>
        <v>0</v>
      </c>
      <c r="BR121" s="189"/>
      <c r="BS121" s="189">
        <f t="shared" si="78"/>
        <v>1</v>
      </c>
      <c r="BT121" s="189">
        <f t="shared" si="78"/>
        <v>0</v>
      </c>
      <c r="BU121" s="189"/>
      <c r="BV121" s="189"/>
      <c r="BW121" s="189"/>
      <c r="BX121" s="189"/>
      <c r="BY121" s="189">
        <f t="shared" ref="BY121:CC121" si="79">BY61+BY62+BY63+BY64+BY65+BY66+BY67+BY68+BY69+BY95+BY96+BY97+BY104+BY105+BY106</f>
        <v>2</v>
      </c>
      <c r="BZ121" s="189"/>
      <c r="CA121" s="189">
        <f t="shared" si="79"/>
        <v>2</v>
      </c>
      <c r="CB121" s="189">
        <f t="shared" si="79"/>
        <v>4</v>
      </c>
      <c r="CC121" s="189">
        <f t="shared" si="79"/>
        <v>2</v>
      </c>
      <c r="CD121" s="189"/>
      <c r="CE121" s="189"/>
      <c r="CF121" s="189">
        <f>CF61+CF62+CF63+CF64+CF65+CF66+CF67+CF68+CF69+CF95+CF96+CF97+CF104+CF105+CF106</f>
        <v>8</v>
      </c>
      <c r="CG121" s="189">
        <f t="shared" ref="CG121:CM121" si="80">CG61+CG62+CG63+CG64+CG65+CG66+CG67+CG68+CG69+CG95+CG96+CG97+CG104+CG105+CG106</f>
        <v>5</v>
      </c>
      <c r="CH121" s="189"/>
      <c r="CI121" s="189"/>
      <c r="CJ121" s="189">
        <f t="shared" si="80"/>
        <v>0</v>
      </c>
      <c r="CK121" s="189">
        <f t="shared" si="80"/>
        <v>0</v>
      </c>
      <c r="CL121" s="189">
        <f t="shared" si="80"/>
        <v>1</v>
      </c>
      <c r="CM121" s="189">
        <f t="shared" si="80"/>
        <v>5</v>
      </c>
      <c r="CN121" s="189"/>
      <c r="CO121" s="189"/>
      <c r="CP121" s="189"/>
      <c r="CQ121" s="189">
        <f t="shared" ref="CQ121:CX121" si="81">CQ61+CQ62+CQ63+CQ64+CQ65+CQ66+CQ67+CQ68+CQ69+CQ95+CQ96+CQ97+CQ104+CQ105+CQ106</f>
        <v>5</v>
      </c>
      <c r="CR121" s="189">
        <f t="shared" si="81"/>
        <v>20</v>
      </c>
      <c r="CS121" s="189">
        <f t="shared" si="81"/>
        <v>4</v>
      </c>
      <c r="CT121" s="189"/>
      <c r="CU121" s="189"/>
      <c r="CV121" s="189"/>
      <c r="CW121" s="189"/>
      <c r="CX121" s="189">
        <f t="shared" si="81"/>
        <v>20</v>
      </c>
      <c r="CY121" s="189">
        <f t="shared" ref="CY121:DA121" si="82">CY61+CY62+CY63+CY64+CY65+CY66+CY67+CY68+CY69+CY95+CY96+CY97+CY104+CY105+CY106</f>
        <v>30</v>
      </c>
      <c r="CZ121" s="189">
        <f t="shared" si="82"/>
        <v>25</v>
      </c>
      <c r="DA121" s="189">
        <f t="shared" si="82"/>
        <v>20</v>
      </c>
      <c r="DB121" s="189">
        <f>DB61+DB62+DB63+DB64+DB65+DB66+DB67+DB68+DB69+DB95+DB96+DB97+DB104+DB105+DB106</f>
        <v>20</v>
      </c>
      <c r="DC121" s="189"/>
      <c r="DD121" s="189"/>
      <c r="DE121" s="189"/>
      <c r="DF121" s="189"/>
      <c r="DG121" s="189">
        <f t="shared" ref="DG121:DM121" si="83">DG61+DG62+DG63+DG64+DG65+DG66+DG67+DG68+DG69+DG95+DG96+DG97+DG104+DG105+DG106</f>
        <v>30</v>
      </c>
      <c r="DH121" s="189"/>
      <c r="DI121" s="189"/>
      <c r="DJ121" s="189">
        <f t="shared" si="83"/>
        <v>20</v>
      </c>
      <c r="DK121" s="189"/>
      <c r="DL121" s="189">
        <f t="shared" si="83"/>
        <v>10</v>
      </c>
      <c r="DM121" s="189">
        <f t="shared" si="83"/>
        <v>5</v>
      </c>
      <c r="DN121" s="189"/>
      <c r="DO121" s="189"/>
      <c r="DP121" s="189"/>
      <c r="DQ121" s="189"/>
      <c r="DR121" s="189"/>
      <c r="DS121" s="189"/>
      <c r="DT121" s="189"/>
      <c r="DU121" s="189"/>
      <c r="DV121" s="189"/>
      <c r="DW121" s="189"/>
      <c r="DX121" s="189"/>
      <c r="DY121" s="189">
        <f t="shared" ref="DY121:EF121" si="84">DY61+DY62+DY63+DY64+DY65+DY66+DY67+DY68+DY69+DY95+DY96+DY97+DY104+DY105+DY106</f>
        <v>0</v>
      </c>
      <c r="DZ121" s="189"/>
      <c r="EA121" s="189"/>
      <c r="EB121" s="189">
        <f t="shared" si="84"/>
        <v>0</v>
      </c>
      <c r="EC121" s="189"/>
      <c r="ED121" s="189"/>
      <c r="EE121" s="189"/>
      <c r="EF121" s="189">
        <f t="shared" si="84"/>
        <v>10</v>
      </c>
      <c r="EG121" s="189"/>
      <c r="EH121" s="189"/>
      <c r="EI121" s="189">
        <f t="shared" ref="EI121:EW121" si="85">EI61+EI62+EI63+EI64+EI65+EI66+EI67+EI68+EI69+EI95+EI96+EI97+EI104+EI105+EI106</f>
        <v>30</v>
      </c>
      <c r="EJ121" s="189"/>
      <c r="EK121" s="189">
        <f t="shared" si="85"/>
        <v>0</v>
      </c>
      <c r="EL121" s="189"/>
      <c r="EM121" s="189">
        <f t="shared" si="85"/>
        <v>30</v>
      </c>
      <c r="EN121" s="189">
        <f t="shared" si="85"/>
        <v>0</v>
      </c>
      <c r="EO121" s="189"/>
      <c r="EP121" s="189">
        <f t="shared" si="85"/>
        <v>40</v>
      </c>
      <c r="EQ121" s="189"/>
      <c r="ER121" s="189">
        <f t="shared" si="85"/>
        <v>70</v>
      </c>
      <c r="ES121" s="189"/>
      <c r="ET121" s="189"/>
      <c r="EU121" s="189"/>
      <c r="EV121" s="189"/>
      <c r="EW121" s="189">
        <f t="shared" si="85"/>
        <v>20</v>
      </c>
      <c r="EX121" s="189"/>
      <c r="EY121" s="189"/>
      <c r="EZ121" s="189"/>
      <c r="FA121" s="189"/>
      <c r="FB121" s="189"/>
      <c r="FC121" s="189"/>
      <c r="FD121" s="189"/>
      <c r="FE121" s="189">
        <f t="shared" ref="FE121" si="86">FE61+FE62+FE63+FE64+FE65+FE66+FE67+FE68+FE69+FE95+FE96+FE97+FE104+FE105+FE106</f>
        <v>4</v>
      </c>
      <c r="FF121" s="189"/>
      <c r="FG121" s="189"/>
      <c r="FH121" s="189">
        <f t="shared" ref="FH121:FR121" si="87">FH61+FH62+FH63+FH64+FH65+FH66+FH67+FH68+FH69+FH95+FH96+FH97+FH104+FH105+FH106</f>
        <v>40</v>
      </c>
      <c r="FI121" s="189">
        <f t="shared" si="87"/>
        <v>20</v>
      </c>
      <c r="FJ121" s="189"/>
      <c r="FK121" s="189">
        <f t="shared" si="87"/>
        <v>0</v>
      </c>
      <c r="FL121" s="189">
        <f t="shared" si="87"/>
        <v>0</v>
      </c>
      <c r="FM121" s="189"/>
      <c r="FN121" s="189">
        <f t="shared" si="87"/>
        <v>0</v>
      </c>
      <c r="FO121" s="189"/>
      <c r="FP121" s="189"/>
      <c r="FQ121" s="189"/>
      <c r="FR121" s="189">
        <f t="shared" si="87"/>
        <v>0</v>
      </c>
      <c r="FS121" s="189"/>
      <c r="FT121" s="189"/>
      <c r="FU121" s="189"/>
      <c r="FV121" s="189">
        <f t="shared" ref="FV121" si="88">FV61+FV62+FV63+FV64+FV65+FV66+FV67+FV68+FV69+FV95+FV96+FV97+FV104+FV105+FV106</f>
        <v>0</v>
      </c>
      <c r="FW121" s="189"/>
      <c r="FX121" s="189"/>
      <c r="FY121" s="189"/>
      <c r="FZ121" s="189"/>
      <c r="GA121" s="189"/>
      <c r="GB121" s="189"/>
      <c r="GC121" s="189"/>
      <c r="GD121" s="189"/>
      <c r="GE121" s="189"/>
      <c r="GF121" s="189"/>
      <c r="GG121" s="189"/>
      <c r="GH121" s="189"/>
      <c r="GI121" s="189">
        <f t="shared" si="46"/>
        <v>553</v>
      </c>
      <c r="GJ121" s="189"/>
    </row>
    <row r="122" spans="1:192" ht="10.5">
      <c r="E122" s="91" t="s">
        <v>628</v>
      </c>
      <c r="I122" s="92">
        <f>SUBTOTAL(9,I117:I121)</f>
        <v>20</v>
      </c>
      <c r="X122" s="92">
        <f>SUBTOTAL(9,X117:X121)</f>
        <v>10</v>
      </c>
      <c r="Y122" s="92">
        <f>SUBTOTAL(9,Y117:Y121)</f>
        <v>80</v>
      </c>
      <c r="AB122" s="92">
        <f t="shared" ref="AB122:AD122" si="89">SUBTOTAL(9,AB117:AB121)</f>
        <v>80</v>
      </c>
      <c r="AC122" s="92">
        <f t="shared" si="89"/>
        <v>80</v>
      </c>
      <c r="AD122" s="92">
        <f t="shared" si="89"/>
        <v>30</v>
      </c>
      <c r="AH122" s="92">
        <f t="shared" ref="AH122" si="90">SUBTOTAL(9,AH117:AH121)</f>
        <v>2</v>
      </c>
      <c r="AU122" s="92">
        <f t="shared" ref="AU122" si="91">SUBTOTAL(9,AU117:AU121)</f>
        <v>7</v>
      </c>
      <c r="AX122" s="92">
        <f t="shared" ref="AX122" si="92">SUBTOTAL(9,AX117:AX121)</f>
        <v>20</v>
      </c>
      <c r="AZ122" s="92">
        <f t="shared" ref="AZ122" si="93">SUBTOTAL(9,AZ117:AZ121)</f>
        <v>45</v>
      </c>
      <c r="BA122" s="92">
        <f t="shared" ref="BA122" si="94">SUBTOTAL(9,BA117:BA121)</f>
        <v>5</v>
      </c>
      <c r="BC122" s="92">
        <f t="shared" ref="BC122" si="95">SUBTOTAL(9,BC117:BC121)</f>
        <v>140</v>
      </c>
      <c r="BE122" s="92">
        <f t="shared" ref="BE122" si="96">SUBTOTAL(9,BE117:BE121)</f>
        <v>15</v>
      </c>
      <c r="BG122" s="92">
        <f t="shared" ref="BG122" si="97">SUBTOTAL(9,BG117:BG121)</f>
        <v>80</v>
      </c>
      <c r="BL122" s="92">
        <f t="shared" ref="BL122" si="98">SUBTOTAL(9,BL117:BL121)</f>
        <v>8</v>
      </c>
      <c r="BN122" s="92">
        <f t="shared" ref="BN122" si="99">SUBTOTAL(9,BN117:BN121)</f>
        <v>5</v>
      </c>
      <c r="BO122" s="92">
        <f t="shared" ref="BO122" si="100">SUBTOTAL(9,BO117:BO121)</f>
        <v>7</v>
      </c>
      <c r="BP122" s="92">
        <f t="shared" ref="BP122" si="101">SUBTOTAL(9,BP117:BP121)</f>
        <v>70</v>
      </c>
      <c r="BQ122" s="92">
        <f t="shared" ref="BQ122" si="102">SUBTOTAL(9,BQ117:BQ121)</f>
        <v>70</v>
      </c>
      <c r="BS122" s="92">
        <f t="shared" ref="BS122" si="103">SUBTOTAL(9,BS117:BS121)</f>
        <v>40</v>
      </c>
      <c r="BT122" s="92">
        <f t="shared" ref="BT122" si="104">SUBTOTAL(9,BT117:BT121)</f>
        <v>11</v>
      </c>
      <c r="BY122" s="92">
        <f t="shared" ref="BY122" si="105">SUBTOTAL(9,BY117:BY121)</f>
        <v>8</v>
      </c>
      <c r="CA122" s="92">
        <f t="shared" ref="CA122" si="106">SUBTOTAL(9,CA117:CA121)</f>
        <v>5</v>
      </c>
      <c r="CB122" s="92">
        <f t="shared" ref="CB122" si="107">SUBTOTAL(9,CB117:CB121)</f>
        <v>35</v>
      </c>
      <c r="CC122" s="92">
        <f t="shared" ref="CC122" si="108">SUBTOTAL(9,CC117:CC121)</f>
        <v>25</v>
      </c>
      <c r="CF122" s="92">
        <f t="shared" ref="CF122" si="109">SUBTOTAL(9,CF117:CF121)</f>
        <v>140</v>
      </c>
      <c r="CG122" s="92">
        <f t="shared" ref="CG122" si="110">SUBTOTAL(9,CG117:CG121)</f>
        <v>70</v>
      </c>
      <c r="CJ122" s="92">
        <f t="shared" ref="CJ122" si="111">SUBTOTAL(9,CJ117:CJ121)</f>
        <v>10</v>
      </c>
      <c r="CK122" s="92">
        <f t="shared" ref="CK122" si="112">SUBTOTAL(9,CK117:CK121)</f>
        <v>6</v>
      </c>
      <c r="CL122" s="92">
        <f t="shared" ref="CL122" si="113">SUBTOTAL(9,CL117:CL121)</f>
        <v>10</v>
      </c>
      <c r="CM122" s="92">
        <f t="shared" ref="CM122" si="114">SUBTOTAL(9,CM117:CM121)</f>
        <v>60</v>
      </c>
      <c r="CQ122" s="92">
        <f t="shared" ref="CQ122" si="115">SUBTOTAL(9,CQ117:CQ121)</f>
        <v>75</v>
      </c>
      <c r="CR122" s="92">
        <f t="shared" ref="CR122" si="116">SUBTOTAL(9,CR117:CR121)</f>
        <v>280</v>
      </c>
      <c r="CS122" s="92">
        <f t="shared" ref="CS122" si="117">SUBTOTAL(9,CS117:CS121)</f>
        <v>70</v>
      </c>
      <c r="CX122" s="92">
        <f t="shared" ref="CX122" si="118">SUBTOTAL(9,CX117:CX121)</f>
        <v>260</v>
      </c>
      <c r="CY122" s="92">
        <f t="shared" ref="CY122" si="119">SUBTOTAL(9,CY117:CY121)</f>
        <v>170</v>
      </c>
      <c r="CZ122" s="92">
        <f t="shared" ref="CZ122" si="120">SUBTOTAL(9,CZ117:CZ121)</f>
        <v>290</v>
      </c>
      <c r="DA122" s="92">
        <f t="shared" ref="DA122" si="121">SUBTOTAL(9,DA117:DA121)</f>
        <v>160</v>
      </c>
      <c r="DB122" s="92">
        <f t="shared" ref="DB122" si="122">SUBTOTAL(9,DB117:DB121)</f>
        <v>400</v>
      </c>
      <c r="DG122" s="92">
        <f t="shared" ref="DG122" si="123">SUBTOTAL(9,DG117:DG121)</f>
        <v>370</v>
      </c>
      <c r="DJ122" s="92">
        <f t="shared" ref="DJ122" si="124">SUBTOTAL(9,DJ117:DJ121)</f>
        <v>260</v>
      </c>
      <c r="DL122" s="92">
        <f t="shared" ref="DL122" si="125">SUBTOTAL(9,DL117:DL121)</f>
        <v>160</v>
      </c>
      <c r="DM122" s="92">
        <f t="shared" ref="DM122" si="126">SUBTOTAL(9,DM117:DM121)</f>
        <v>110</v>
      </c>
      <c r="DY122" s="92">
        <f t="shared" ref="DY122" si="127">SUBTOTAL(9,DY117:DY121)</f>
        <v>590</v>
      </c>
      <c r="EB122" s="92">
        <f t="shared" ref="EB122" si="128">SUBTOTAL(9,EB117:EB121)</f>
        <v>20</v>
      </c>
      <c r="EF122" s="92">
        <f t="shared" ref="EF122" si="129">SUBTOTAL(9,EF117:EF121)</f>
        <v>20</v>
      </c>
      <c r="EI122" s="92">
        <f t="shared" ref="EI122" si="130">SUBTOTAL(9,EI117:EI121)</f>
        <v>680</v>
      </c>
      <c r="EK122" s="92">
        <f t="shared" ref="EK122" si="131">SUBTOTAL(9,EK117:EK121)</f>
        <v>10</v>
      </c>
      <c r="EM122" s="92">
        <f t="shared" ref="EM122" si="132">SUBTOTAL(9,EM117:EM121)</f>
        <v>30</v>
      </c>
      <c r="EN122" s="92">
        <f t="shared" ref="EN122" si="133">SUBTOTAL(9,EN117:EN121)</f>
        <v>20</v>
      </c>
      <c r="EP122" s="92">
        <f t="shared" ref="EP122" si="134">SUBTOTAL(9,EP117:EP121)</f>
        <v>1000</v>
      </c>
      <c r="ER122" s="92">
        <f t="shared" ref="ER122" si="135">SUBTOTAL(9,ER117:ER121)</f>
        <v>2240</v>
      </c>
      <c r="EW122" s="92">
        <f t="shared" ref="EW122" si="136">SUBTOTAL(9,EW117:EW121)</f>
        <v>100</v>
      </c>
      <c r="FE122" s="92">
        <f t="shared" ref="FE122" si="137">SUBTOTAL(9,FE117:FE121)</f>
        <v>4</v>
      </c>
      <c r="FH122" s="92">
        <f t="shared" ref="FH122" si="138">SUBTOTAL(9,FH117:FH121)</f>
        <v>260</v>
      </c>
      <c r="FI122" s="92">
        <f t="shared" ref="FI122" si="139">SUBTOTAL(9,FI117:FI121)</f>
        <v>230</v>
      </c>
      <c r="FK122" s="92">
        <f t="shared" ref="FK122" si="140">SUBTOTAL(9,FK117:FK121)</f>
        <v>120</v>
      </c>
      <c r="FL122" s="92">
        <f t="shared" ref="FL122" si="141">SUBTOTAL(9,FL117:FL121)</f>
        <v>240</v>
      </c>
      <c r="FN122" s="92">
        <f t="shared" ref="FN122" si="142">SUBTOTAL(9,FN117:FN121)</f>
        <v>200</v>
      </c>
      <c r="FR122" s="92">
        <f t="shared" ref="FR122" si="143">SUBTOTAL(9,FR117:FR121)</f>
        <v>2</v>
      </c>
      <c r="FV122" s="92">
        <f t="shared" ref="FV122" si="144">SUBTOTAL(9,FV117:FV121)</f>
        <v>12</v>
      </c>
      <c r="GI122" s="92">
        <f t="shared" si="46"/>
        <v>9577</v>
      </c>
    </row>
  </sheetData>
  <autoFilter ref="A6:GJ115" xr:uid="{00000000-0009-0000-0000-000003000000}">
    <filterColumn colId="2">
      <filters>
        <filter val="UA1J"/>
        <filter val="UA1K"/>
      </filters>
    </filterColumn>
  </autoFilter>
  <phoneticPr fontId="3" type="noConversion"/>
  <conditionalFormatting sqref="F5:F6 F92:F93">
    <cfRule type="cellIs" dxfId="949" priority="230" stopIfTrue="1" operator="equal">
      <formula>"E7"</formula>
    </cfRule>
    <cfRule type="cellIs" dxfId="948" priority="231" stopIfTrue="1" operator="equal">
      <formula>"E7A"</formula>
    </cfRule>
  </conditionalFormatting>
  <conditionalFormatting sqref="F115">
    <cfRule type="cellIs" dxfId="947" priority="228" stopIfTrue="1" operator="equal">
      <formula>"E7"</formula>
    </cfRule>
    <cfRule type="cellIs" dxfId="946" priority="229" stopIfTrue="1" operator="equal">
      <formula>"E7A"</formula>
    </cfRule>
  </conditionalFormatting>
  <conditionalFormatting sqref="F114">
    <cfRule type="cellIs" dxfId="945" priority="226" stopIfTrue="1" operator="equal">
      <formula>"E7"</formula>
    </cfRule>
    <cfRule type="cellIs" dxfId="944" priority="227" stopIfTrue="1" operator="equal">
      <formula>"E7A"</formula>
    </cfRule>
  </conditionalFormatting>
  <conditionalFormatting sqref="F7">
    <cfRule type="cellIs" dxfId="943" priority="224" stopIfTrue="1" operator="equal">
      <formula>"E7"</formula>
    </cfRule>
    <cfRule type="cellIs" dxfId="942" priority="225" stopIfTrue="1" operator="equal">
      <formula>"E7A"</formula>
    </cfRule>
  </conditionalFormatting>
  <conditionalFormatting sqref="F10">
    <cfRule type="cellIs" dxfId="941" priority="222" stopIfTrue="1" operator="equal">
      <formula>"E7"</formula>
    </cfRule>
    <cfRule type="cellIs" dxfId="940" priority="223" stopIfTrue="1" operator="equal">
      <formula>"E7A"</formula>
    </cfRule>
  </conditionalFormatting>
  <conditionalFormatting sqref="F85">
    <cfRule type="cellIs" dxfId="939" priority="220" stopIfTrue="1" operator="equal">
      <formula>"E7"</formula>
    </cfRule>
    <cfRule type="cellIs" dxfId="938" priority="221" stopIfTrue="1" operator="equal">
      <formula>"E7A"</formula>
    </cfRule>
  </conditionalFormatting>
  <conditionalFormatting sqref="F13">
    <cfRule type="cellIs" dxfId="937" priority="216" stopIfTrue="1" operator="equal">
      <formula>"E7"</formula>
    </cfRule>
    <cfRule type="cellIs" dxfId="936" priority="217" stopIfTrue="1" operator="equal">
      <formula>"E7A"</formula>
    </cfRule>
  </conditionalFormatting>
  <conditionalFormatting sqref="F82">
    <cfRule type="cellIs" dxfId="935" priority="218" stopIfTrue="1" operator="equal">
      <formula>"E7"</formula>
    </cfRule>
    <cfRule type="cellIs" dxfId="934" priority="219" stopIfTrue="1" operator="equal">
      <formula>"E7A"</formula>
    </cfRule>
  </conditionalFormatting>
  <conditionalFormatting sqref="F46">
    <cfRule type="cellIs" dxfId="933" priority="214" stopIfTrue="1" operator="equal">
      <formula>"E7"</formula>
    </cfRule>
    <cfRule type="cellIs" dxfId="932" priority="215" stopIfTrue="1" operator="equal">
      <formula>"E7A"</formula>
    </cfRule>
  </conditionalFormatting>
  <conditionalFormatting sqref="F88">
    <cfRule type="cellIs" dxfId="931" priority="212" stopIfTrue="1" operator="equal">
      <formula>"E7"</formula>
    </cfRule>
    <cfRule type="cellIs" dxfId="930" priority="213" stopIfTrue="1" operator="equal">
      <formula>"E7A"</formula>
    </cfRule>
  </conditionalFormatting>
  <conditionalFormatting sqref="B7 B110 B113:B115 B91:B93">
    <cfRule type="expression" dxfId="929" priority="211">
      <formula>$B7="A"</formula>
    </cfRule>
  </conditionalFormatting>
  <conditionalFormatting sqref="B10 B46 B82 B13 B85 B88">
    <cfRule type="expression" dxfId="928" priority="210">
      <formula>$B10="A"</formula>
    </cfRule>
  </conditionalFormatting>
  <conditionalFormatting sqref="H6 FW6:GC6 BC6:BY6 CA6:CC6 CE6:CI6 CK6:ED6 ER6:FO6">
    <cfRule type="expression" dxfId="927" priority="190">
      <formula>H334=0</formula>
    </cfRule>
  </conditionalFormatting>
  <conditionalFormatting sqref="F110">
    <cfRule type="cellIs" dxfId="926" priority="208" stopIfTrue="1" operator="equal">
      <formula>"E7"</formula>
    </cfRule>
    <cfRule type="cellIs" dxfId="925" priority="209" stopIfTrue="1" operator="equal">
      <formula>"E7A"</formula>
    </cfRule>
  </conditionalFormatting>
  <conditionalFormatting sqref="F113">
    <cfRule type="cellIs" dxfId="924" priority="206" stopIfTrue="1" operator="equal">
      <formula>"E7"</formula>
    </cfRule>
    <cfRule type="cellIs" dxfId="923" priority="207" stopIfTrue="1" operator="equal">
      <formula>"E7A"</formula>
    </cfRule>
  </conditionalFormatting>
  <conditionalFormatting sqref="F91:F93">
    <cfRule type="cellIs" dxfId="922" priority="204" stopIfTrue="1" operator="equal">
      <formula>"E7"</formula>
    </cfRule>
    <cfRule type="cellIs" dxfId="921" priority="205" stopIfTrue="1" operator="equal">
      <formula>"E7A"</formula>
    </cfRule>
  </conditionalFormatting>
  <conditionalFormatting sqref="F101">
    <cfRule type="cellIs" dxfId="920" priority="202" stopIfTrue="1" operator="equal">
      <formula>"E7"</formula>
    </cfRule>
    <cfRule type="cellIs" dxfId="919" priority="203" stopIfTrue="1" operator="equal">
      <formula>"E7A"</formula>
    </cfRule>
  </conditionalFormatting>
  <conditionalFormatting sqref="F104">
    <cfRule type="cellIs" dxfId="918" priority="200" stopIfTrue="1" operator="equal">
      <formula>"E7"</formula>
    </cfRule>
    <cfRule type="cellIs" dxfId="917" priority="201" stopIfTrue="1" operator="equal">
      <formula>"E7A"</formula>
    </cfRule>
  </conditionalFormatting>
  <conditionalFormatting sqref="F107">
    <cfRule type="cellIs" dxfId="916" priority="198" stopIfTrue="1" operator="equal">
      <formula>"E7"</formula>
    </cfRule>
    <cfRule type="cellIs" dxfId="915" priority="199" stopIfTrue="1" operator="equal">
      <formula>"E7A"</formula>
    </cfRule>
  </conditionalFormatting>
  <conditionalFormatting sqref="B94:B95 B98 B101 B104 B107">
    <cfRule type="expression" dxfId="914" priority="197">
      <formula>$B94="A"</formula>
    </cfRule>
  </conditionalFormatting>
  <conditionalFormatting sqref="F94">
    <cfRule type="cellIs" dxfId="913" priority="195" stopIfTrue="1" operator="equal">
      <formula>"E7"</formula>
    </cfRule>
    <cfRule type="cellIs" dxfId="912" priority="196" stopIfTrue="1" operator="equal">
      <formula>"E7A"</formula>
    </cfRule>
  </conditionalFormatting>
  <conditionalFormatting sqref="F95">
    <cfRule type="cellIs" dxfId="911" priority="193" stopIfTrue="1" operator="equal">
      <formula>"E7"</formula>
    </cfRule>
    <cfRule type="cellIs" dxfId="910" priority="194" stopIfTrue="1" operator="equal">
      <formula>"E7A"</formula>
    </cfRule>
  </conditionalFormatting>
  <conditionalFormatting sqref="F98">
    <cfRule type="cellIs" dxfId="909" priority="191" stopIfTrue="1" operator="equal">
      <formula>"E7"</formula>
    </cfRule>
    <cfRule type="cellIs" dxfId="908" priority="192" stopIfTrue="1" operator="equal">
      <formula>"E7A"</formula>
    </cfRule>
  </conditionalFormatting>
  <conditionalFormatting sqref="I6:BA6">
    <cfRule type="expression" dxfId="907" priority="189">
      <formula>I334=0</formula>
    </cfRule>
  </conditionalFormatting>
  <conditionalFormatting sqref="H1:BA1 CA1:CC1 CE1:CI1 BC1:BY1 CK1:ED1">
    <cfRule type="duplicateValues" dxfId="906" priority="188"/>
  </conditionalFormatting>
  <conditionalFormatting sqref="I1:K1">
    <cfRule type="duplicateValues" dxfId="905" priority="187"/>
  </conditionalFormatting>
  <conditionalFormatting sqref="O1">
    <cfRule type="duplicateValues" dxfId="904" priority="186"/>
  </conditionalFormatting>
  <conditionalFormatting sqref="F22">
    <cfRule type="cellIs" dxfId="903" priority="184" stopIfTrue="1" operator="equal">
      <formula>"E7"</formula>
    </cfRule>
    <cfRule type="cellIs" dxfId="902" priority="185" stopIfTrue="1" operator="equal">
      <formula>"E7A"</formula>
    </cfRule>
  </conditionalFormatting>
  <conditionalFormatting sqref="F19">
    <cfRule type="cellIs" dxfId="901" priority="182" stopIfTrue="1" operator="equal">
      <formula>"E7"</formula>
    </cfRule>
    <cfRule type="cellIs" dxfId="900" priority="183" stopIfTrue="1" operator="equal">
      <formula>"E7A"</formula>
    </cfRule>
  </conditionalFormatting>
  <conditionalFormatting sqref="F16">
    <cfRule type="cellIs" dxfId="899" priority="180" stopIfTrue="1" operator="equal">
      <formula>"E7"</formula>
    </cfRule>
    <cfRule type="cellIs" dxfId="898" priority="181" stopIfTrue="1" operator="equal">
      <formula>"E7A"</formula>
    </cfRule>
  </conditionalFormatting>
  <conditionalFormatting sqref="F25">
    <cfRule type="cellIs" dxfId="897" priority="178" stopIfTrue="1" operator="equal">
      <formula>"E7"</formula>
    </cfRule>
    <cfRule type="cellIs" dxfId="896" priority="179" stopIfTrue="1" operator="equal">
      <formula>"E7A"</formula>
    </cfRule>
  </conditionalFormatting>
  <conditionalFormatting sqref="B16 B19 B22 B25">
    <cfRule type="expression" dxfId="895" priority="177">
      <formula>$B16="A"</formula>
    </cfRule>
  </conditionalFormatting>
  <conditionalFormatting sqref="B28">
    <cfRule type="expression" dxfId="894" priority="176">
      <formula>$B28="A"</formula>
    </cfRule>
  </conditionalFormatting>
  <conditionalFormatting sqref="F28">
    <cfRule type="cellIs" dxfId="893" priority="174" stopIfTrue="1" operator="equal">
      <formula>"E7"</formula>
    </cfRule>
    <cfRule type="cellIs" dxfId="892" priority="175" stopIfTrue="1" operator="equal">
      <formula>"E7A"</formula>
    </cfRule>
  </conditionalFormatting>
  <conditionalFormatting sqref="F40">
    <cfRule type="cellIs" dxfId="891" priority="172" stopIfTrue="1" operator="equal">
      <formula>"E7"</formula>
    </cfRule>
    <cfRule type="cellIs" dxfId="890" priority="173" stopIfTrue="1" operator="equal">
      <formula>"E7A"</formula>
    </cfRule>
  </conditionalFormatting>
  <conditionalFormatting sqref="F43">
    <cfRule type="cellIs" dxfId="889" priority="170" stopIfTrue="1" operator="equal">
      <formula>"E7"</formula>
    </cfRule>
    <cfRule type="cellIs" dxfId="888" priority="171" stopIfTrue="1" operator="equal">
      <formula>"E7A"</formula>
    </cfRule>
  </conditionalFormatting>
  <conditionalFormatting sqref="B31 B34 B37 B40 B43">
    <cfRule type="expression" dxfId="887" priority="169">
      <formula>$B31="A"</formula>
    </cfRule>
  </conditionalFormatting>
  <conditionalFormatting sqref="F31">
    <cfRule type="cellIs" dxfId="886" priority="167" stopIfTrue="1" operator="equal">
      <formula>"E7"</formula>
    </cfRule>
    <cfRule type="cellIs" dxfId="885" priority="168" stopIfTrue="1" operator="equal">
      <formula>"E7A"</formula>
    </cfRule>
  </conditionalFormatting>
  <conditionalFormatting sqref="F34">
    <cfRule type="cellIs" dxfId="884" priority="165" stopIfTrue="1" operator="equal">
      <formula>"E7"</formula>
    </cfRule>
    <cfRule type="cellIs" dxfId="883" priority="166" stopIfTrue="1" operator="equal">
      <formula>"E7A"</formula>
    </cfRule>
  </conditionalFormatting>
  <conditionalFormatting sqref="F37">
    <cfRule type="cellIs" dxfId="882" priority="163" stopIfTrue="1" operator="equal">
      <formula>"E7"</formula>
    </cfRule>
    <cfRule type="cellIs" dxfId="881" priority="164" stopIfTrue="1" operator="equal">
      <formula>"E7A"</formula>
    </cfRule>
  </conditionalFormatting>
  <conditionalFormatting sqref="H4">
    <cfRule type="duplicateValues" dxfId="880" priority="162"/>
  </conditionalFormatting>
  <conditionalFormatting sqref="I4:BA4 BC4:BY4 CA4:CC4 CE4:CI4 CK4:ED4">
    <cfRule type="duplicateValues" dxfId="879" priority="161"/>
  </conditionalFormatting>
  <conditionalFormatting sqref="EE6:EP6">
    <cfRule type="expression" dxfId="878" priority="160">
      <formula>EE334=0</formula>
    </cfRule>
  </conditionalFormatting>
  <conditionalFormatting sqref="F79">
    <cfRule type="cellIs" dxfId="877" priority="158" stopIfTrue="1" operator="equal">
      <formula>"E7"</formula>
    </cfRule>
    <cfRule type="cellIs" dxfId="876" priority="159" stopIfTrue="1" operator="equal">
      <formula>"E7A"</formula>
    </cfRule>
  </conditionalFormatting>
  <conditionalFormatting sqref="B79">
    <cfRule type="expression" dxfId="875" priority="157">
      <formula>$B79="A"</formula>
    </cfRule>
  </conditionalFormatting>
  <conditionalFormatting sqref="F55">
    <cfRule type="cellIs" dxfId="874" priority="155" stopIfTrue="1" operator="equal">
      <formula>"E7"</formula>
    </cfRule>
    <cfRule type="cellIs" dxfId="873" priority="156" stopIfTrue="1" operator="equal">
      <formula>"E7A"</formula>
    </cfRule>
  </conditionalFormatting>
  <conditionalFormatting sqref="F52">
    <cfRule type="cellIs" dxfId="872" priority="153" stopIfTrue="1" operator="equal">
      <formula>"E7"</formula>
    </cfRule>
    <cfRule type="cellIs" dxfId="871" priority="154" stopIfTrue="1" operator="equal">
      <formula>"E7A"</formula>
    </cfRule>
  </conditionalFormatting>
  <conditionalFormatting sqref="F49">
    <cfRule type="cellIs" dxfId="870" priority="151" stopIfTrue="1" operator="equal">
      <formula>"E7"</formula>
    </cfRule>
    <cfRule type="cellIs" dxfId="869" priority="152" stopIfTrue="1" operator="equal">
      <formula>"E7A"</formula>
    </cfRule>
  </conditionalFormatting>
  <conditionalFormatting sqref="F58">
    <cfRule type="cellIs" dxfId="868" priority="149" stopIfTrue="1" operator="equal">
      <formula>"E7"</formula>
    </cfRule>
    <cfRule type="cellIs" dxfId="867" priority="150" stopIfTrue="1" operator="equal">
      <formula>"E7A"</formula>
    </cfRule>
  </conditionalFormatting>
  <conditionalFormatting sqref="B49 B52 B55 B58">
    <cfRule type="expression" dxfId="866" priority="148">
      <formula>$B49="A"</formula>
    </cfRule>
  </conditionalFormatting>
  <conditionalFormatting sqref="B61">
    <cfRule type="expression" dxfId="865" priority="147">
      <formula>$B61="A"</formula>
    </cfRule>
  </conditionalFormatting>
  <conditionalFormatting sqref="F61">
    <cfRule type="cellIs" dxfId="864" priority="145" stopIfTrue="1" operator="equal">
      <formula>"E7"</formula>
    </cfRule>
    <cfRule type="cellIs" dxfId="863" priority="146" stopIfTrue="1" operator="equal">
      <formula>"E7A"</formula>
    </cfRule>
  </conditionalFormatting>
  <conditionalFormatting sqref="F73">
    <cfRule type="cellIs" dxfId="862" priority="143" stopIfTrue="1" operator="equal">
      <formula>"E7"</formula>
    </cfRule>
    <cfRule type="cellIs" dxfId="861" priority="144" stopIfTrue="1" operator="equal">
      <formula>"E7A"</formula>
    </cfRule>
  </conditionalFormatting>
  <conditionalFormatting sqref="F76">
    <cfRule type="cellIs" dxfId="860" priority="141" stopIfTrue="1" operator="equal">
      <formula>"E7"</formula>
    </cfRule>
    <cfRule type="cellIs" dxfId="859" priority="142" stopIfTrue="1" operator="equal">
      <formula>"E7A"</formula>
    </cfRule>
  </conditionalFormatting>
  <conditionalFormatting sqref="B64 B67 B70 B73 B76">
    <cfRule type="expression" dxfId="858" priority="140">
      <formula>$B64="A"</formula>
    </cfRule>
  </conditionalFormatting>
  <conditionalFormatting sqref="F64">
    <cfRule type="cellIs" dxfId="857" priority="138" stopIfTrue="1" operator="equal">
      <formula>"E7"</formula>
    </cfRule>
    <cfRule type="cellIs" dxfId="856" priority="139" stopIfTrue="1" operator="equal">
      <formula>"E7A"</formula>
    </cfRule>
  </conditionalFormatting>
  <conditionalFormatting sqref="F67">
    <cfRule type="cellIs" dxfId="855" priority="136" stopIfTrue="1" operator="equal">
      <formula>"E7"</formula>
    </cfRule>
    <cfRule type="cellIs" dxfId="854" priority="137" stopIfTrue="1" operator="equal">
      <formula>"E7A"</formula>
    </cfRule>
  </conditionalFormatting>
  <conditionalFormatting sqref="F70">
    <cfRule type="cellIs" dxfId="853" priority="134" stopIfTrue="1" operator="equal">
      <formula>"E7"</formula>
    </cfRule>
    <cfRule type="cellIs" dxfId="852" priority="135" stopIfTrue="1" operator="equal">
      <formula>"E7A"</formula>
    </cfRule>
  </conditionalFormatting>
  <conditionalFormatting sqref="FP6:FV6">
    <cfRule type="expression" dxfId="851" priority="133">
      <formula>FP334=0</formula>
    </cfRule>
  </conditionalFormatting>
  <conditionalFormatting sqref="FP1:FV1">
    <cfRule type="duplicateValues" dxfId="850" priority="132"/>
  </conditionalFormatting>
  <conditionalFormatting sqref="FP4:FV4">
    <cfRule type="duplicateValues" dxfId="849" priority="131"/>
  </conditionalFormatting>
  <conditionalFormatting sqref="EE1:EP1 FW1 FZ1:GA1 GC1 ER1:FO1">
    <cfRule type="duplicateValues" dxfId="848" priority="232"/>
  </conditionalFormatting>
  <conditionalFormatting sqref="EE4:EP4 FW4:GC4 ER4:FO4">
    <cfRule type="duplicateValues" dxfId="847" priority="233"/>
  </conditionalFormatting>
  <conditionalFormatting sqref="F8:F9">
    <cfRule type="cellIs" dxfId="846" priority="129" stopIfTrue="1" operator="equal">
      <formula>"E7"</formula>
    </cfRule>
    <cfRule type="cellIs" dxfId="845" priority="130" stopIfTrue="1" operator="equal">
      <formula>"E7A"</formula>
    </cfRule>
  </conditionalFormatting>
  <conditionalFormatting sqref="B8:B9">
    <cfRule type="expression" dxfId="844" priority="128">
      <formula>$B8="A"</formula>
    </cfRule>
  </conditionalFormatting>
  <conditionalFormatting sqref="F11:F12">
    <cfRule type="cellIs" dxfId="843" priority="126" stopIfTrue="1" operator="equal">
      <formula>"E7"</formula>
    </cfRule>
    <cfRule type="cellIs" dxfId="842" priority="127" stopIfTrue="1" operator="equal">
      <formula>"E7A"</formula>
    </cfRule>
  </conditionalFormatting>
  <conditionalFormatting sqref="B11:B12">
    <cfRule type="expression" dxfId="841" priority="125">
      <formula>$B11="A"</formula>
    </cfRule>
  </conditionalFormatting>
  <conditionalFormatting sqref="F14:F15">
    <cfRule type="cellIs" dxfId="840" priority="123" stopIfTrue="1" operator="equal">
      <formula>"E7"</formula>
    </cfRule>
    <cfRule type="cellIs" dxfId="839" priority="124" stopIfTrue="1" operator="equal">
      <formula>"E7A"</formula>
    </cfRule>
  </conditionalFormatting>
  <conditionalFormatting sqref="B14:B15">
    <cfRule type="expression" dxfId="838" priority="122">
      <formula>$B14="A"</formula>
    </cfRule>
  </conditionalFormatting>
  <conditionalFormatting sqref="F17:F18">
    <cfRule type="cellIs" dxfId="837" priority="120" stopIfTrue="1" operator="equal">
      <formula>"E7"</formula>
    </cfRule>
    <cfRule type="cellIs" dxfId="836" priority="121" stopIfTrue="1" operator="equal">
      <formula>"E7A"</formula>
    </cfRule>
  </conditionalFormatting>
  <conditionalFormatting sqref="B17:B18">
    <cfRule type="expression" dxfId="835" priority="119">
      <formula>$B17="A"</formula>
    </cfRule>
  </conditionalFormatting>
  <conditionalFormatting sqref="F20:F21">
    <cfRule type="cellIs" dxfId="834" priority="117" stopIfTrue="1" operator="equal">
      <formula>"E7"</formula>
    </cfRule>
    <cfRule type="cellIs" dxfId="833" priority="118" stopIfTrue="1" operator="equal">
      <formula>"E7A"</formula>
    </cfRule>
  </conditionalFormatting>
  <conditionalFormatting sqref="B20:B21">
    <cfRule type="expression" dxfId="832" priority="116">
      <formula>$B20="A"</formula>
    </cfRule>
  </conditionalFormatting>
  <conditionalFormatting sqref="F23:F24">
    <cfRule type="cellIs" dxfId="831" priority="114" stopIfTrue="1" operator="equal">
      <formula>"E7"</formula>
    </cfRule>
    <cfRule type="cellIs" dxfId="830" priority="115" stopIfTrue="1" operator="equal">
      <formula>"E7A"</formula>
    </cfRule>
  </conditionalFormatting>
  <conditionalFormatting sqref="B23:B24">
    <cfRule type="expression" dxfId="829" priority="113">
      <formula>$B23="A"</formula>
    </cfRule>
  </conditionalFormatting>
  <conditionalFormatting sqref="F26:F27">
    <cfRule type="cellIs" dxfId="828" priority="111" stopIfTrue="1" operator="equal">
      <formula>"E7"</formula>
    </cfRule>
    <cfRule type="cellIs" dxfId="827" priority="112" stopIfTrue="1" operator="equal">
      <formula>"E7A"</formula>
    </cfRule>
  </conditionalFormatting>
  <conditionalFormatting sqref="B26:B27">
    <cfRule type="expression" dxfId="826" priority="110">
      <formula>$B26="A"</formula>
    </cfRule>
  </conditionalFormatting>
  <conditionalFormatting sqref="B29:B30">
    <cfRule type="expression" dxfId="825" priority="109">
      <formula>$B29="A"</formula>
    </cfRule>
  </conditionalFormatting>
  <conditionalFormatting sqref="F29:F30">
    <cfRule type="cellIs" dxfId="824" priority="107" stopIfTrue="1" operator="equal">
      <formula>"E7"</formula>
    </cfRule>
    <cfRule type="cellIs" dxfId="823" priority="108" stopIfTrue="1" operator="equal">
      <formula>"E7A"</formula>
    </cfRule>
  </conditionalFormatting>
  <conditionalFormatting sqref="B32:B33">
    <cfRule type="expression" dxfId="822" priority="106">
      <formula>$B32="A"</formula>
    </cfRule>
  </conditionalFormatting>
  <conditionalFormatting sqref="F32:F33">
    <cfRule type="cellIs" dxfId="821" priority="104" stopIfTrue="1" operator="equal">
      <formula>"E7"</formula>
    </cfRule>
    <cfRule type="cellIs" dxfId="820" priority="105" stopIfTrue="1" operator="equal">
      <formula>"E7A"</formula>
    </cfRule>
  </conditionalFormatting>
  <conditionalFormatting sqref="B35:B36">
    <cfRule type="expression" dxfId="819" priority="103">
      <formula>$B35="A"</formula>
    </cfRule>
  </conditionalFormatting>
  <conditionalFormatting sqref="F35:F36">
    <cfRule type="cellIs" dxfId="818" priority="101" stopIfTrue="1" operator="equal">
      <formula>"E7"</formula>
    </cfRule>
    <cfRule type="cellIs" dxfId="817" priority="102" stopIfTrue="1" operator="equal">
      <formula>"E7A"</formula>
    </cfRule>
  </conditionalFormatting>
  <conditionalFormatting sqref="B38:B39">
    <cfRule type="expression" dxfId="816" priority="100">
      <formula>$B38="A"</formula>
    </cfRule>
  </conditionalFormatting>
  <conditionalFormatting sqref="F38:F39">
    <cfRule type="cellIs" dxfId="815" priority="98" stopIfTrue="1" operator="equal">
      <formula>"E7"</formula>
    </cfRule>
    <cfRule type="cellIs" dxfId="814" priority="99" stopIfTrue="1" operator="equal">
      <formula>"E7A"</formula>
    </cfRule>
  </conditionalFormatting>
  <conditionalFormatting sqref="F41:F42">
    <cfRule type="cellIs" dxfId="813" priority="96" stopIfTrue="1" operator="equal">
      <formula>"E7"</formula>
    </cfRule>
    <cfRule type="cellIs" dxfId="812" priority="97" stopIfTrue="1" operator="equal">
      <formula>"E7A"</formula>
    </cfRule>
  </conditionalFormatting>
  <conditionalFormatting sqref="B41:B42">
    <cfRule type="expression" dxfId="811" priority="95">
      <formula>$B41="A"</formula>
    </cfRule>
  </conditionalFormatting>
  <conditionalFormatting sqref="F44:F45">
    <cfRule type="cellIs" dxfId="810" priority="93" stopIfTrue="1" operator="equal">
      <formula>"E7"</formula>
    </cfRule>
    <cfRule type="cellIs" dxfId="809" priority="94" stopIfTrue="1" operator="equal">
      <formula>"E7A"</formula>
    </cfRule>
  </conditionalFormatting>
  <conditionalFormatting sqref="B44:B45">
    <cfRule type="expression" dxfId="808" priority="92">
      <formula>$B44="A"</formula>
    </cfRule>
  </conditionalFormatting>
  <conditionalFormatting sqref="F47:F48">
    <cfRule type="cellIs" dxfId="807" priority="90" stopIfTrue="1" operator="equal">
      <formula>"E7"</formula>
    </cfRule>
    <cfRule type="cellIs" dxfId="806" priority="91" stopIfTrue="1" operator="equal">
      <formula>"E7A"</formula>
    </cfRule>
  </conditionalFormatting>
  <conditionalFormatting sqref="B47:B48">
    <cfRule type="expression" dxfId="805" priority="89">
      <formula>$B47="A"</formula>
    </cfRule>
  </conditionalFormatting>
  <conditionalFormatting sqref="F50:F51">
    <cfRule type="cellIs" dxfId="804" priority="87" stopIfTrue="1" operator="equal">
      <formula>"E7"</formula>
    </cfRule>
    <cfRule type="cellIs" dxfId="803" priority="88" stopIfTrue="1" operator="equal">
      <formula>"E7A"</formula>
    </cfRule>
  </conditionalFormatting>
  <conditionalFormatting sqref="B50:B51">
    <cfRule type="expression" dxfId="802" priority="86">
      <formula>$B50="A"</formula>
    </cfRule>
  </conditionalFormatting>
  <conditionalFormatting sqref="F53:F54">
    <cfRule type="cellIs" dxfId="801" priority="84" stopIfTrue="1" operator="equal">
      <formula>"E7"</formula>
    </cfRule>
    <cfRule type="cellIs" dxfId="800" priority="85" stopIfTrue="1" operator="equal">
      <formula>"E7A"</formula>
    </cfRule>
  </conditionalFormatting>
  <conditionalFormatting sqref="B53:B54">
    <cfRule type="expression" dxfId="799" priority="83">
      <formula>$B53="A"</formula>
    </cfRule>
  </conditionalFormatting>
  <conditionalFormatting sqref="F56:F57">
    <cfRule type="cellIs" dxfId="798" priority="81" stopIfTrue="1" operator="equal">
      <formula>"E7"</formula>
    </cfRule>
    <cfRule type="cellIs" dxfId="797" priority="82" stopIfTrue="1" operator="equal">
      <formula>"E7A"</formula>
    </cfRule>
  </conditionalFormatting>
  <conditionalFormatting sqref="B56:B57">
    <cfRule type="expression" dxfId="796" priority="80">
      <formula>$B56="A"</formula>
    </cfRule>
  </conditionalFormatting>
  <conditionalFormatting sqref="F59:F60">
    <cfRule type="cellIs" dxfId="795" priority="78" stopIfTrue="1" operator="equal">
      <formula>"E7"</formula>
    </cfRule>
    <cfRule type="cellIs" dxfId="794" priority="79" stopIfTrue="1" operator="equal">
      <formula>"E7A"</formula>
    </cfRule>
  </conditionalFormatting>
  <conditionalFormatting sqref="B59:B60">
    <cfRule type="expression" dxfId="793" priority="77">
      <formula>$B59="A"</formula>
    </cfRule>
  </conditionalFormatting>
  <conditionalFormatting sqref="B62:B63">
    <cfRule type="expression" dxfId="792" priority="76">
      <formula>$B62="A"</formula>
    </cfRule>
  </conditionalFormatting>
  <conditionalFormatting sqref="F62:F63">
    <cfRule type="cellIs" dxfId="791" priority="74" stopIfTrue="1" operator="equal">
      <formula>"E7"</formula>
    </cfRule>
    <cfRule type="cellIs" dxfId="790" priority="75" stopIfTrue="1" operator="equal">
      <formula>"E7A"</formula>
    </cfRule>
  </conditionalFormatting>
  <conditionalFormatting sqref="B65:B66">
    <cfRule type="expression" dxfId="789" priority="73">
      <formula>$B65="A"</formula>
    </cfRule>
  </conditionalFormatting>
  <conditionalFormatting sqref="F65:F66">
    <cfRule type="cellIs" dxfId="788" priority="71" stopIfTrue="1" operator="equal">
      <formula>"E7"</formula>
    </cfRule>
    <cfRule type="cellIs" dxfId="787" priority="72" stopIfTrue="1" operator="equal">
      <formula>"E7A"</formula>
    </cfRule>
  </conditionalFormatting>
  <conditionalFormatting sqref="B68:B69">
    <cfRule type="expression" dxfId="786" priority="70">
      <formula>$B68="A"</formula>
    </cfRule>
  </conditionalFormatting>
  <conditionalFormatting sqref="F68:F69">
    <cfRule type="cellIs" dxfId="785" priority="68" stopIfTrue="1" operator="equal">
      <formula>"E7"</formula>
    </cfRule>
    <cfRule type="cellIs" dxfId="784" priority="69" stopIfTrue="1" operator="equal">
      <formula>"E7A"</formula>
    </cfRule>
  </conditionalFormatting>
  <conditionalFormatting sqref="B71:B72">
    <cfRule type="expression" dxfId="783" priority="67">
      <formula>$B71="A"</formula>
    </cfRule>
  </conditionalFormatting>
  <conditionalFormatting sqref="F71:F72">
    <cfRule type="cellIs" dxfId="782" priority="65" stopIfTrue="1" operator="equal">
      <formula>"E7"</formula>
    </cfRule>
    <cfRule type="cellIs" dxfId="781" priority="66" stopIfTrue="1" operator="equal">
      <formula>"E7A"</formula>
    </cfRule>
  </conditionalFormatting>
  <conditionalFormatting sqref="F74:F75">
    <cfRule type="cellIs" dxfId="780" priority="63" stopIfTrue="1" operator="equal">
      <formula>"E7"</formula>
    </cfRule>
    <cfRule type="cellIs" dxfId="779" priority="64" stopIfTrue="1" operator="equal">
      <formula>"E7A"</formula>
    </cfRule>
  </conditionalFormatting>
  <conditionalFormatting sqref="B74:B75">
    <cfRule type="expression" dxfId="778" priority="62">
      <formula>$B74="A"</formula>
    </cfRule>
  </conditionalFormatting>
  <conditionalFormatting sqref="F77:F78">
    <cfRule type="cellIs" dxfId="777" priority="60" stopIfTrue="1" operator="equal">
      <formula>"E7"</formula>
    </cfRule>
    <cfRule type="cellIs" dxfId="776" priority="61" stopIfTrue="1" operator="equal">
      <formula>"E7A"</formula>
    </cfRule>
  </conditionalFormatting>
  <conditionalFormatting sqref="B77:B78">
    <cfRule type="expression" dxfId="775" priority="59">
      <formula>$B77="A"</formula>
    </cfRule>
  </conditionalFormatting>
  <conditionalFormatting sqref="F80:F81">
    <cfRule type="cellIs" dxfId="774" priority="57" stopIfTrue="1" operator="equal">
      <formula>"E7"</formula>
    </cfRule>
    <cfRule type="cellIs" dxfId="773" priority="58" stopIfTrue="1" operator="equal">
      <formula>"E7A"</formula>
    </cfRule>
  </conditionalFormatting>
  <conditionalFormatting sqref="B80:B81">
    <cfRule type="expression" dxfId="772" priority="56">
      <formula>$B80="A"</formula>
    </cfRule>
  </conditionalFormatting>
  <conditionalFormatting sqref="F83:F84">
    <cfRule type="cellIs" dxfId="771" priority="54" stopIfTrue="1" operator="equal">
      <formula>"E7"</formula>
    </cfRule>
    <cfRule type="cellIs" dxfId="770" priority="55" stopIfTrue="1" operator="equal">
      <formula>"E7A"</formula>
    </cfRule>
  </conditionalFormatting>
  <conditionalFormatting sqref="B83:B84">
    <cfRule type="expression" dxfId="769" priority="53">
      <formula>$B83="A"</formula>
    </cfRule>
  </conditionalFormatting>
  <conditionalFormatting sqref="F86:F87">
    <cfRule type="cellIs" dxfId="768" priority="51" stopIfTrue="1" operator="equal">
      <formula>"E7"</formula>
    </cfRule>
    <cfRule type="cellIs" dxfId="767" priority="52" stopIfTrue="1" operator="equal">
      <formula>"E7A"</formula>
    </cfRule>
  </conditionalFormatting>
  <conditionalFormatting sqref="B86:B87">
    <cfRule type="expression" dxfId="766" priority="50">
      <formula>$B86="A"</formula>
    </cfRule>
  </conditionalFormatting>
  <conditionalFormatting sqref="F89:F90">
    <cfRule type="cellIs" dxfId="765" priority="48" stopIfTrue="1" operator="equal">
      <formula>"E7"</formula>
    </cfRule>
    <cfRule type="cellIs" dxfId="764" priority="49" stopIfTrue="1" operator="equal">
      <formula>"E7A"</formula>
    </cfRule>
  </conditionalFormatting>
  <conditionalFormatting sqref="B89:B90">
    <cfRule type="expression" dxfId="763" priority="47">
      <formula>$B89="A"</formula>
    </cfRule>
  </conditionalFormatting>
  <conditionalFormatting sqref="B96:B97">
    <cfRule type="expression" dxfId="762" priority="46">
      <formula>$B96="A"</formula>
    </cfRule>
  </conditionalFormatting>
  <conditionalFormatting sqref="F96:F97">
    <cfRule type="cellIs" dxfId="761" priority="44" stopIfTrue="1" operator="equal">
      <formula>"E7"</formula>
    </cfRule>
    <cfRule type="cellIs" dxfId="760" priority="45" stopIfTrue="1" operator="equal">
      <formula>"E7A"</formula>
    </cfRule>
  </conditionalFormatting>
  <conditionalFormatting sqref="B99:B100">
    <cfRule type="expression" dxfId="759" priority="43">
      <formula>$B99="A"</formula>
    </cfRule>
  </conditionalFormatting>
  <conditionalFormatting sqref="F99:F100">
    <cfRule type="cellIs" dxfId="758" priority="41" stopIfTrue="1" operator="equal">
      <formula>"E7"</formula>
    </cfRule>
    <cfRule type="cellIs" dxfId="757" priority="42" stopIfTrue="1" operator="equal">
      <formula>"E7A"</formula>
    </cfRule>
  </conditionalFormatting>
  <conditionalFormatting sqref="F102:F103">
    <cfRule type="cellIs" dxfId="756" priority="39" stopIfTrue="1" operator="equal">
      <formula>"E7"</formula>
    </cfRule>
    <cfRule type="cellIs" dxfId="755" priority="40" stopIfTrue="1" operator="equal">
      <formula>"E7A"</formula>
    </cfRule>
  </conditionalFormatting>
  <conditionalFormatting sqref="B102:B103">
    <cfRule type="expression" dxfId="754" priority="38">
      <formula>$B102="A"</formula>
    </cfRule>
  </conditionalFormatting>
  <conditionalFormatting sqref="F105:F106">
    <cfRule type="cellIs" dxfId="753" priority="36" stopIfTrue="1" operator="equal">
      <formula>"E7"</formula>
    </cfRule>
    <cfRule type="cellIs" dxfId="752" priority="37" stopIfTrue="1" operator="equal">
      <formula>"E7A"</formula>
    </cfRule>
  </conditionalFormatting>
  <conditionalFormatting sqref="B105:B106">
    <cfRule type="expression" dxfId="751" priority="35">
      <formula>$B105="A"</formula>
    </cfRule>
  </conditionalFormatting>
  <conditionalFormatting sqref="F108:F109">
    <cfRule type="cellIs" dxfId="750" priority="33" stopIfTrue="1" operator="equal">
      <formula>"E7"</formula>
    </cfRule>
    <cfRule type="cellIs" dxfId="749" priority="34" stopIfTrue="1" operator="equal">
      <formula>"E7A"</formula>
    </cfRule>
  </conditionalFormatting>
  <conditionalFormatting sqref="B108:B109">
    <cfRule type="expression" dxfId="748" priority="32">
      <formula>$B108="A"</formula>
    </cfRule>
  </conditionalFormatting>
  <conditionalFormatting sqref="B111:B112">
    <cfRule type="expression" dxfId="747" priority="31">
      <formula>$B111="A"</formula>
    </cfRule>
  </conditionalFormatting>
  <conditionalFormatting sqref="F111:F112">
    <cfRule type="cellIs" dxfId="746" priority="29" stopIfTrue="1" operator="equal">
      <formula>"E7"</formula>
    </cfRule>
    <cfRule type="cellIs" dxfId="745" priority="30" stopIfTrue="1" operator="equal">
      <formula>"E7A"</formula>
    </cfRule>
  </conditionalFormatting>
  <conditionalFormatting sqref="FX1">
    <cfRule type="duplicateValues" dxfId="744" priority="28"/>
  </conditionalFormatting>
  <conditionalFormatting sqref="FY1">
    <cfRule type="duplicateValues" dxfId="743" priority="27"/>
  </conditionalFormatting>
  <conditionalFormatting sqref="GB1">
    <cfRule type="duplicateValues" dxfId="742" priority="26"/>
  </conditionalFormatting>
  <conditionalFormatting sqref="BB6">
    <cfRule type="expression" dxfId="741" priority="23">
      <formula>BB334=0</formula>
    </cfRule>
  </conditionalFormatting>
  <conditionalFormatting sqref="BB1">
    <cfRule type="duplicateValues" dxfId="740" priority="22"/>
  </conditionalFormatting>
  <conditionalFormatting sqref="BB4">
    <cfRule type="duplicateValues" dxfId="739" priority="21"/>
  </conditionalFormatting>
  <conditionalFormatting sqref="BZ6">
    <cfRule type="expression" dxfId="738" priority="18">
      <formula>BZ334=0</formula>
    </cfRule>
  </conditionalFormatting>
  <conditionalFormatting sqref="BZ1">
    <cfRule type="duplicateValues" dxfId="737" priority="17"/>
  </conditionalFormatting>
  <conditionalFormatting sqref="BZ4">
    <cfRule type="duplicateValues" dxfId="736" priority="16"/>
  </conditionalFormatting>
  <conditionalFormatting sqref="CD6">
    <cfRule type="expression" dxfId="735" priority="13">
      <formula>CD334=0</formula>
    </cfRule>
  </conditionalFormatting>
  <conditionalFormatting sqref="CD1">
    <cfRule type="duplicateValues" dxfId="734" priority="12"/>
  </conditionalFormatting>
  <conditionalFormatting sqref="CD4">
    <cfRule type="duplicateValues" dxfId="733" priority="11"/>
  </conditionalFormatting>
  <conditionalFormatting sqref="CJ6">
    <cfRule type="expression" dxfId="732" priority="8">
      <formula>CJ334=0</formula>
    </cfRule>
  </conditionalFormatting>
  <conditionalFormatting sqref="CJ1">
    <cfRule type="duplicateValues" dxfId="731" priority="7"/>
  </conditionalFormatting>
  <conditionalFormatting sqref="CJ4">
    <cfRule type="duplicateValues" dxfId="730" priority="6"/>
  </conditionalFormatting>
  <conditionalFormatting sqref="EQ6">
    <cfRule type="expression" dxfId="729" priority="1">
      <formula>EQ334=0</formula>
    </cfRule>
  </conditionalFormatting>
  <conditionalFormatting sqref="EQ1">
    <cfRule type="duplicateValues" dxfId="728" priority="2"/>
  </conditionalFormatting>
  <conditionalFormatting sqref="EQ4">
    <cfRule type="duplicateValues" dxfId="727" priority="3"/>
  </conditionalFormatting>
  <conditionalFormatting sqref="H6">
    <cfRule type="expression" dxfId="726" priority="670">
      <formula>H$335&gt;0</formula>
    </cfRule>
    <cfRule type="duplicateValues" dxfId="725" priority="671"/>
  </conditionalFormatting>
  <conditionalFormatting sqref="I6:BA6 BC6:BY6 CA6:CC6 CE6:CI6 CK6:ED6">
    <cfRule type="expression" dxfId="724" priority="672">
      <formula>I$335&gt;0</formula>
    </cfRule>
    <cfRule type="duplicateValues" dxfId="723" priority="673"/>
  </conditionalFormatting>
  <conditionalFormatting sqref="FP6:FV6">
    <cfRule type="expression" dxfId="722" priority="682">
      <formula>FP$335&gt;0</formula>
    </cfRule>
    <cfRule type="duplicateValues" dxfId="721" priority="683"/>
  </conditionalFormatting>
  <conditionalFormatting sqref="EE6:EP6 FW6:GC6 ER6:FO6">
    <cfRule type="expression" dxfId="720" priority="684">
      <formula>EE$335&gt;0</formula>
    </cfRule>
    <cfRule type="duplicateValues" dxfId="719" priority="685"/>
  </conditionalFormatting>
  <conditionalFormatting sqref="BB6">
    <cfRule type="expression" dxfId="718" priority="690">
      <formula>BB$335&gt;0</formula>
    </cfRule>
    <cfRule type="duplicateValues" dxfId="717" priority="691"/>
  </conditionalFormatting>
  <conditionalFormatting sqref="BZ6">
    <cfRule type="expression" dxfId="716" priority="692">
      <formula>BZ$335&gt;0</formula>
    </cfRule>
    <cfRule type="duplicateValues" dxfId="715" priority="693"/>
  </conditionalFormatting>
  <conditionalFormatting sqref="CD6">
    <cfRule type="expression" dxfId="714" priority="694">
      <formula>CD$335&gt;0</formula>
    </cfRule>
    <cfRule type="duplicateValues" dxfId="713" priority="695"/>
  </conditionalFormatting>
  <conditionalFormatting sqref="CJ6">
    <cfRule type="expression" dxfId="712" priority="696">
      <formula>CJ$335&gt;0</formula>
    </cfRule>
    <cfRule type="duplicateValues" dxfId="711" priority="697"/>
  </conditionalFormatting>
  <conditionalFormatting sqref="EQ6">
    <cfRule type="expression" dxfId="710" priority="698">
      <formula>EQ$335&gt;0</formula>
    </cfRule>
    <cfRule type="duplicateValues" dxfId="709" priority="699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V129"/>
  <sheetViews>
    <sheetView workbookViewId="0">
      <pane xSplit="7" ySplit="6" topLeftCell="FG10" activePane="bottomRight" state="frozen"/>
      <selection pane="topRight" activeCell="H1" sqref="H1"/>
      <selection pane="bottomLeft" activeCell="A7" sqref="A7"/>
      <selection pane="bottomRight" activeCell="A60" sqref="A4:FK60"/>
    </sheetView>
  </sheetViews>
  <sheetFormatPr defaultColWidth="9" defaultRowHeight="10"/>
  <cols>
    <col min="1" max="1" width="4.69921875" style="92" bestFit="1" customWidth="1"/>
    <col min="2" max="2" width="8.8984375" style="92" bestFit="1" customWidth="1"/>
    <col min="3" max="3" width="5.8984375" style="92" bestFit="1" customWidth="1"/>
    <col min="4" max="4" width="5.19921875" style="92" bestFit="1" customWidth="1"/>
    <col min="5" max="5" width="17.09765625" style="92" bestFit="1" customWidth="1"/>
    <col min="6" max="6" width="10.3984375" style="92" bestFit="1" customWidth="1"/>
    <col min="7" max="7" width="10.59765625" style="92" bestFit="1" customWidth="1"/>
    <col min="8" max="8" width="9.5" style="92" bestFit="1" customWidth="1"/>
    <col min="9" max="9" width="12.5" style="92" bestFit="1" customWidth="1"/>
    <col min="10" max="11" width="11" style="92" bestFit="1" customWidth="1"/>
    <col min="12" max="12" width="9.5" style="92" bestFit="1" customWidth="1"/>
    <col min="13" max="13" width="12.19921875" style="92" bestFit="1" customWidth="1"/>
    <col min="14" max="15" width="11" style="92" bestFit="1" customWidth="1"/>
    <col min="16" max="16" width="9.59765625" style="92" bestFit="1" customWidth="1"/>
    <col min="17" max="17" width="8" style="92" bestFit="1" customWidth="1"/>
    <col min="18" max="18" width="8.5" style="92" bestFit="1" customWidth="1"/>
    <col min="19" max="20" width="9.09765625" style="92" bestFit="1" customWidth="1"/>
    <col min="21" max="21" width="8.5" style="92" bestFit="1" customWidth="1"/>
    <col min="22" max="22" width="9.5" style="92" bestFit="1" customWidth="1"/>
    <col min="23" max="23" width="10.19921875" style="92" bestFit="1" customWidth="1"/>
    <col min="24" max="24" width="10.59765625" style="92" bestFit="1" customWidth="1"/>
    <col min="25" max="25" width="11" style="92" bestFit="1" customWidth="1"/>
    <col min="26" max="26" width="10.8984375" style="92" bestFit="1" customWidth="1"/>
    <col min="27" max="27" width="9.5" style="92" bestFit="1" customWidth="1"/>
    <col min="28" max="28" width="12.19921875" style="92" bestFit="1" customWidth="1"/>
    <col min="29" max="29" width="11" style="92" bestFit="1" customWidth="1"/>
    <col min="30" max="30" width="9.5" style="92" bestFit="1" customWidth="1"/>
    <col min="31" max="31" width="8.69921875" style="92" bestFit="1" customWidth="1"/>
    <col min="32" max="32" width="9.5" style="92" bestFit="1" customWidth="1"/>
    <col min="33" max="33" width="11" style="92" bestFit="1" customWidth="1"/>
    <col min="34" max="34" width="9.59765625" style="92" bestFit="1" customWidth="1"/>
    <col min="35" max="35" width="9.09765625" style="92" bestFit="1" customWidth="1"/>
    <col min="36" max="36" width="8.5" style="92" bestFit="1" customWidth="1"/>
    <col min="37" max="37" width="11" style="92" bestFit="1" customWidth="1"/>
    <col min="38" max="38" width="11.3984375" style="92" bestFit="1" customWidth="1"/>
    <col min="39" max="39" width="11.09765625" style="92" bestFit="1" customWidth="1"/>
    <col min="40" max="40" width="10.8984375" style="92" bestFit="1" customWidth="1"/>
    <col min="41" max="41" width="10.3984375" style="92" bestFit="1" customWidth="1"/>
    <col min="42" max="42" width="11.8984375" style="92" bestFit="1" customWidth="1"/>
    <col min="43" max="43" width="11.69921875" style="92" bestFit="1" customWidth="1"/>
    <col min="44" max="44" width="11.3984375" style="92" bestFit="1" customWidth="1"/>
    <col min="45" max="46" width="10.5" style="92" bestFit="1" customWidth="1"/>
    <col min="47" max="47" width="9.8984375" style="92" bestFit="1" customWidth="1"/>
    <col min="48" max="49" width="10.3984375" style="92" bestFit="1" customWidth="1"/>
    <col min="50" max="50" width="11.19921875" style="92" bestFit="1" customWidth="1"/>
    <col min="51" max="51" width="12.5" style="92" bestFit="1" customWidth="1"/>
    <col min="52" max="52" width="10.3984375" style="92" bestFit="1" customWidth="1"/>
    <col min="53" max="55" width="11" style="92" bestFit="1" customWidth="1"/>
    <col min="56" max="57" width="10.8984375" style="92" bestFit="1" customWidth="1"/>
    <col min="58" max="58" width="9.5" style="92" bestFit="1" customWidth="1"/>
    <col min="59" max="59" width="9.19921875" style="92" bestFit="1" customWidth="1"/>
    <col min="60" max="60" width="9.69921875" style="92" bestFit="1" customWidth="1"/>
    <col min="61" max="61" width="9.8984375" style="92" bestFit="1" customWidth="1"/>
    <col min="62" max="63" width="10.3984375" style="92" bestFit="1" customWidth="1"/>
    <col min="64" max="64" width="10.19921875" style="92" bestFit="1" customWidth="1"/>
    <col min="65" max="65" width="11.5" style="92" bestFit="1" customWidth="1"/>
    <col min="66" max="66" width="9.5" style="92" bestFit="1" customWidth="1"/>
    <col min="67" max="68" width="10" style="92" bestFit="1" customWidth="1"/>
    <col min="69" max="70" width="9.8984375" style="92" bestFit="1" customWidth="1"/>
    <col min="71" max="71" width="8.8984375" style="92" bestFit="1" customWidth="1"/>
    <col min="72" max="72" width="9.8984375" style="92" bestFit="1" customWidth="1"/>
    <col min="73" max="74" width="10.3984375" style="92" bestFit="1" customWidth="1"/>
    <col min="75" max="75" width="11.19921875" style="92" bestFit="1" customWidth="1"/>
    <col min="76" max="76" width="12.5" style="92" bestFit="1" customWidth="1"/>
    <col min="77" max="77" width="10.3984375" style="92" bestFit="1" customWidth="1"/>
    <col min="78" max="78" width="11" style="92" bestFit="1" customWidth="1"/>
    <col min="79" max="79" width="12.59765625" style="92" bestFit="1" customWidth="1"/>
    <col min="80" max="80" width="11" style="92" bestFit="1" customWidth="1"/>
    <col min="81" max="82" width="10.8984375" style="92" bestFit="1" customWidth="1"/>
    <col min="83" max="84" width="9.5" style="92" bestFit="1" customWidth="1"/>
    <col min="85" max="85" width="9.19921875" style="92" bestFit="1" customWidth="1"/>
    <col min="86" max="87" width="11" style="92" bestFit="1" customWidth="1"/>
    <col min="88" max="89" width="10.8984375" style="92" bestFit="1" customWidth="1"/>
    <col min="90" max="90" width="9.5" style="92" bestFit="1" customWidth="1"/>
    <col min="91" max="94" width="11" style="92" bestFit="1" customWidth="1"/>
    <col min="95" max="96" width="10.8984375" style="92" bestFit="1" customWidth="1"/>
    <col min="97" max="97" width="9.5" style="92" bestFit="1" customWidth="1"/>
    <col min="98" max="98" width="10" style="92" bestFit="1" customWidth="1"/>
    <col min="99" max="99" width="11" style="92" bestFit="1" customWidth="1"/>
    <col min="100" max="100" width="10.59765625" style="92" bestFit="1" customWidth="1"/>
    <col min="101" max="101" width="12.19921875" style="92" bestFit="1" customWidth="1"/>
    <col min="102" max="102" width="11" style="92" bestFit="1" customWidth="1"/>
    <col min="103" max="105" width="10.8984375" style="92" bestFit="1" customWidth="1"/>
    <col min="106" max="106" width="9.59765625" style="92" bestFit="1" customWidth="1"/>
    <col min="107" max="108" width="9.5" style="92" bestFit="1" customWidth="1"/>
    <col min="109" max="109" width="10" style="92" bestFit="1" customWidth="1"/>
    <col min="110" max="110" width="10.59765625" style="92" bestFit="1" customWidth="1"/>
    <col min="111" max="111" width="11" style="92" bestFit="1" customWidth="1"/>
    <col min="112" max="113" width="10.8984375" style="92" bestFit="1" customWidth="1"/>
    <col min="114" max="114" width="9.5" style="92" bestFit="1" customWidth="1"/>
    <col min="115" max="115" width="10" style="92" bestFit="1" customWidth="1"/>
    <col min="116" max="116" width="12.3984375" style="92" bestFit="1" customWidth="1"/>
    <col min="117" max="117" width="10.5" style="92" bestFit="1" customWidth="1"/>
    <col min="118" max="118" width="11.8984375" style="92" bestFit="1" customWidth="1"/>
    <col min="119" max="120" width="10.3984375" style="92" bestFit="1" customWidth="1"/>
    <col min="121" max="121" width="10.5" style="92" bestFit="1" customWidth="1"/>
    <col min="122" max="122" width="11.8984375" style="92" bestFit="1" customWidth="1"/>
    <col min="123" max="123" width="10.3984375" style="92" bestFit="1" customWidth="1"/>
    <col min="124" max="124" width="10.5" style="92" bestFit="1" customWidth="1"/>
    <col min="125" max="126" width="10.8984375" style="92" bestFit="1" customWidth="1"/>
    <col min="127" max="127" width="10.59765625" style="92" bestFit="1" customWidth="1"/>
    <col min="128" max="128" width="11.8984375" style="92" bestFit="1" customWidth="1"/>
    <col min="129" max="129" width="11" style="92" bestFit="1" customWidth="1"/>
    <col min="130" max="130" width="10.5" style="92" bestFit="1" customWidth="1"/>
    <col min="131" max="131" width="11" style="92" bestFit="1" customWidth="1"/>
    <col min="132" max="132" width="10.3984375" style="92" bestFit="1" customWidth="1"/>
    <col min="133" max="133" width="12.59765625" style="92" bestFit="1" customWidth="1"/>
    <col min="134" max="134" width="10.8984375" style="92" bestFit="1" customWidth="1"/>
    <col min="135" max="135" width="10.59765625" style="92" bestFit="1" customWidth="1"/>
    <col min="136" max="136" width="11.69921875" style="92" bestFit="1" customWidth="1"/>
    <col min="137" max="137" width="12.3984375" style="92" bestFit="1" customWidth="1"/>
    <col min="138" max="138" width="10.5" style="92" bestFit="1" customWidth="1"/>
    <col min="139" max="139" width="11.5" style="92" bestFit="1" customWidth="1"/>
    <col min="140" max="140" width="10.3984375" style="92" bestFit="1" customWidth="1"/>
    <col min="141" max="141" width="11.8984375" style="92" bestFit="1" customWidth="1"/>
    <col min="142" max="142" width="11.3984375" style="92" bestFit="1" customWidth="1"/>
    <col min="143" max="144" width="10.3984375" style="92" bestFit="1" customWidth="1"/>
    <col min="145" max="145" width="11.8984375" style="92" bestFit="1" customWidth="1"/>
    <col min="146" max="146" width="10.5" style="92" bestFit="1" customWidth="1"/>
    <col min="147" max="147" width="11.5" style="92" bestFit="1" customWidth="1"/>
    <col min="148" max="148" width="11" style="92" bestFit="1" customWidth="1"/>
    <col min="149" max="149" width="11.8984375" style="92" bestFit="1" customWidth="1"/>
    <col min="150" max="150" width="11.3984375" style="92" bestFit="1" customWidth="1"/>
    <col min="151" max="151" width="10.5" style="92" bestFit="1" customWidth="1"/>
    <col min="152" max="152" width="11.69921875" style="92" bestFit="1" customWidth="1"/>
    <col min="153" max="153" width="11.59765625" style="92" bestFit="1" customWidth="1"/>
    <col min="154" max="154" width="11.5" style="92" bestFit="1" customWidth="1"/>
    <col min="155" max="155" width="10.09765625" style="92" bestFit="1" customWidth="1"/>
    <col min="156" max="156" width="11" style="92" bestFit="1" customWidth="1"/>
    <col min="157" max="157" width="11.3984375" style="92" bestFit="1" customWidth="1"/>
    <col min="158" max="158" width="11.09765625" style="92" bestFit="1" customWidth="1"/>
    <col min="159" max="159" width="11.3984375" style="92" bestFit="1" customWidth="1"/>
    <col min="160" max="160" width="10.8984375" style="92" bestFit="1" customWidth="1"/>
    <col min="161" max="161" width="11.3984375" style="92" bestFit="1" customWidth="1"/>
    <col min="162" max="162" width="10.8984375" style="92" bestFit="1" customWidth="1"/>
    <col min="163" max="163" width="11.3984375" style="92" bestFit="1" customWidth="1"/>
    <col min="164" max="164" width="10.5" style="92" bestFit="1" customWidth="1"/>
    <col min="165" max="165" width="11.3984375" style="92" bestFit="1" customWidth="1"/>
    <col min="166" max="166" width="11.69921875" style="92" bestFit="1" customWidth="1"/>
    <col min="167" max="167" width="11.3984375" style="92" bestFit="1" customWidth="1"/>
    <col min="168" max="168" width="10.59765625" style="92" bestFit="1" customWidth="1"/>
    <col min="169" max="169" width="10.09765625" style="92" bestFit="1" customWidth="1"/>
    <col min="170" max="171" width="7.5" style="92" bestFit="1" customWidth="1"/>
    <col min="172" max="172" width="4.69921875" style="92" bestFit="1" customWidth="1"/>
    <col min="173" max="173" width="9.5" style="92" bestFit="1" customWidth="1"/>
    <col min="174" max="174" width="5.19921875" style="92" bestFit="1" customWidth="1"/>
    <col min="175" max="175" width="16.8984375" style="92" bestFit="1" customWidth="1"/>
    <col min="176" max="176" width="18.8984375" style="92" bestFit="1" customWidth="1"/>
    <col min="177" max="177" width="6.3984375" style="92" bestFit="1" customWidth="1"/>
    <col min="178" max="178" width="14.09765625" style="92" bestFit="1" customWidth="1"/>
    <col min="179" max="16384" width="9" style="92"/>
  </cols>
  <sheetData>
    <row r="1" spans="1:178" s="102" customFormat="1" ht="11">
      <c r="A1" s="366"/>
      <c r="D1" s="128"/>
      <c r="E1" s="95"/>
      <c r="F1" s="95"/>
      <c r="G1" s="94" t="s">
        <v>0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 t="s">
        <v>966</v>
      </c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367" t="s">
        <v>1016</v>
      </c>
      <c r="FN1" s="99"/>
      <c r="FO1" s="99"/>
      <c r="FP1" s="99"/>
      <c r="FQ1" s="100"/>
      <c r="FR1" s="101"/>
    </row>
    <row r="2" spans="1:178" s="108" customFormat="1" ht="11">
      <c r="A2" s="112"/>
      <c r="E2" s="94"/>
      <c r="F2" s="94"/>
      <c r="G2" s="94" t="s">
        <v>2</v>
      </c>
      <c r="H2" s="103" t="s">
        <v>850</v>
      </c>
      <c r="I2" s="103" t="s">
        <v>4</v>
      </c>
      <c r="J2" s="103" t="s">
        <v>850</v>
      </c>
      <c r="K2" s="103" t="s">
        <v>5</v>
      </c>
      <c r="L2" s="103" t="s">
        <v>850</v>
      </c>
      <c r="M2" s="103" t="s">
        <v>850</v>
      </c>
      <c r="N2" s="103" t="s">
        <v>4</v>
      </c>
      <c r="O2" s="103" t="s">
        <v>5</v>
      </c>
      <c r="P2" s="103" t="s">
        <v>850</v>
      </c>
      <c r="Q2" s="103" t="s">
        <v>850</v>
      </c>
      <c r="R2" s="103" t="s">
        <v>850</v>
      </c>
      <c r="S2" s="103" t="s">
        <v>850</v>
      </c>
      <c r="T2" s="103" t="s">
        <v>5</v>
      </c>
      <c r="U2" s="103" t="s">
        <v>850</v>
      </c>
      <c r="V2" s="103" t="s">
        <v>850</v>
      </c>
      <c r="W2" s="103" t="s">
        <v>850</v>
      </c>
      <c r="X2" s="103" t="s">
        <v>4</v>
      </c>
      <c r="Y2" s="103" t="s">
        <v>5</v>
      </c>
      <c r="Z2" s="103" t="s">
        <v>850</v>
      </c>
      <c r="AA2" s="103" t="s">
        <v>850</v>
      </c>
      <c r="AB2" s="103" t="s">
        <v>5</v>
      </c>
      <c r="AC2" s="103" t="s">
        <v>850</v>
      </c>
      <c r="AD2" s="103" t="s">
        <v>5</v>
      </c>
      <c r="AE2" s="103" t="s">
        <v>4</v>
      </c>
      <c r="AF2" s="103" t="s">
        <v>850</v>
      </c>
      <c r="AG2" s="103" t="s">
        <v>850</v>
      </c>
      <c r="AH2" s="103" t="s">
        <v>850</v>
      </c>
      <c r="AI2" s="103" t="s">
        <v>850</v>
      </c>
      <c r="AJ2" s="103" t="s">
        <v>850</v>
      </c>
      <c r="AK2" s="103" t="s">
        <v>850</v>
      </c>
      <c r="AL2" s="103" t="s">
        <v>850</v>
      </c>
      <c r="AM2" s="103" t="s">
        <v>850</v>
      </c>
      <c r="AN2" s="103" t="s">
        <v>850</v>
      </c>
      <c r="AO2" s="103" t="s">
        <v>850</v>
      </c>
      <c r="AP2" s="103" t="s">
        <v>850</v>
      </c>
      <c r="AQ2" s="103" t="s">
        <v>850</v>
      </c>
      <c r="AR2" s="103" t="s">
        <v>850</v>
      </c>
      <c r="AS2" s="103" t="s">
        <v>850</v>
      </c>
      <c r="AT2" s="103" t="s">
        <v>850</v>
      </c>
      <c r="AU2" s="103" t="s">
        <v>5</v>
      </c>
      <c r="AV2" s="103" t="s">
        <v>850</v>
      </c>
      <c r="AW2" s="103" t="s">
        <v>850</v>
      </c>
      <c r="AX2" s="103" t="s">
        <v>4</v>
      </c>
      <c r="AY2" s="103" t="s">
        <v>4</v>
      </c>
      <c r="AZ2" s="103" t="s">
        <v>850</v>
      </c>
      <c r="BA2" s="103" t="s">
        <v>4</v>
      </c>
      <c r="BB2" s="103" t="s">
        <v>4</v>
      </c>
      <c r="BC2" s="103" t="s">
        <v>850</v>
      </c>
      <c r="BD2" s="103" t="s">
        <v>5</v>
      </c>
      <c r="BE2" s="103" t="s">
        <v>4</v>
      </c>
      <c r="BF2" s="103" t="s">
        <v>5</v>
      </c>
      <c r="BG2" s="103" t="s">
        <v>5</v>
      </c>
      <c r="BH2" s="103" t="s">
        <v>850</v>
      </c>
      <c r="BI2" s="103" t="s">
        <v>3</v>
      </c>
      <c r="BJ2" s="103" t="s">
        <v>850</v>
      </c>
      <c r="BK2" s="103" t="s">
        <v>850</v>
      </c>
      <c r="BL2" s="103" t="s">
        <v>4</v>
      </c>
      <c r="BM2" s="103" t="s">
        <v>4</v>
      </c>
      <c r="BN2" s="103" t="s">
        <v>5</v>
      </c>
      <c r="BO2" s="103" t="s">
        <v>5</v>
      </c>
      <c r="BP2" s="103" t="s">
        <v>5</v>
      </c>
      <c r="BQ2" s="103" t="s">
        <v>850</v>
      </c>
      <c r="BR2" s="103" t="s">
        <v>850</v>
      </c>
      <c r="BS2" s="103" t="s">
        <v>4</v>
      </c>
      <c r="BT2" s="103" t="s">
        <v>5</v>
      </c>
      <c r="BU2" s="103" t="s">
        <v>4</v>
      </c>
      <c r="BV2" s="103" t="s">
        <v>4</v>
      </c>
      <c r="BW2" s="103" t="s">
        <v>4</v>
      </c>
      <c r="BX2" s="103" t="s">
        <v>850</v>
      </c>
      <c r="BY2" s="103" t="s">
        <v>5</v>
      </c>
      <c r="BZ2" s="103" t="s">
        <v>850</v>
      </c>
      <c r="CA2" s="103" t="s">
        <v>850</v>
      </c>
      <c r="CB2" s="103" t="s">
        <v>5</v>
      </c>
      <c r="CC2" s="103" t="s">
        <v>850</v>
      </c>
      <c r="CD2" s="103" t="s">
        <v>3</v>
      </c>
      <c r="CE2" s="103" t="s">
        <v>5</v>
      </c>
      <c r="CF2" s="103" t="s">
        <v>4</v>
      </c>
      <c r="CG2" s="103" t="s">
        <v>5</v>
      </c>
      <c r="CH2" s="103" t="s">
        <v>5</v>
      </c>
      <c r="CI2" s="103" t="s">
        <v>5</v>
      </c>
      <c r="CJ2" s="103" t="s">
        <v>5</v>
      </c>
      <c r="CK2" s="103" t="s">
        <v>4</v>
      </c>
      <c r="CL2" s="103" t="s">
        <v>850</v>
      </c>
      <c r="CM2" s="103" t="s">
        <v>5</v>
      </c>
      <c r="CN2" s="103" t="s">
        <v>5</v>
      </c>
      <c r="CO2" s="103" t="s">
        <v>5</v>
      </c>
      <c r="CP2" s="103" t="s">
        <v>5</v>
      </c>
      <c r="CQ2" s="103" t="s">
        <v>850</v>
      </c>
      <c r="CR2" s="103" t="s">
        <v>3</v>
      </c>
      <c r="CS2" s="103" t="s">
        <v>4</v>
      </c>
      <c r="CT2" s="103" t="s">
        <v>850</v>
      </c>
      <c r="CU2" s="103" t="s">
        <v>850</v>
      </c>
      <c r="CV2" s="103" t="s">
        <v>5</v>
      </c>
      <c r="CW2" s="103" t="s">
        <v>5</v>
      </c>
      <c r="CX2" s="103" t="s">
        <v>5</v>
      </c>
      <c r="CY2" s="103" t="s">
        <v>850</v>
      </c>
      <c r="CZ2" s="103" t="s">
        <v>7</v>
      </c>
      <c r="DA2" s="103" t="s">
        <v>850</v>
      </c>
      <c r="DB2" s="103" t="s">
        <v>850</v>
      </c>
      <c r="DC2" s="103" t="s">
        <v>850</v>
      </c>
      <c r="DD2" s="103" t="s">
        <v>4</v>
      </c>
      <c r="DE2" s="103" t="s">
        <v>850</v>
      </c>
      <c r="DF2" s="103" t="s">
        <v>5</v>
      </c>
      <c r="DG2" s="103" t="s">
        <v>5</v>
      </c>
      <c r="DH2" s="103" t="s">
        <v>850</v>
      </c>
      <c r="DI2" s="103" t="s">
        <v>850</v>
      </c>
      <c r="DJ2" s="103" t="s">
        <v>850</v>
      </c>
      <c r="DK2" s="103" t="s">
        <v>850</v>
      </c>
      <c r="DL2" s="103" t="s">
        <v>850</v>
      </c>
      <c r="DM2" s="103" t="s">
        <v>850</v>
      </c>
      <c r="DN2" s="103" t="s">
        <v>4</v>
      </c>
      <c r="DO2" s="103" t="s">
        <v>4</v>
      </c>
      <c r="DP2" s="103" t="s">
        <v>9</v>
      </c>
      <c r="DQ2" s="103" t="s">
        <v>850</v>
      </c>
      <c r="DR2" s="103" t="s">
        <v>850</v>
      </c>
      <c r="DS2" s="103" t="s">
        <v>4</v>
      </c>
      <c r="DT2" s="103" t="s">
        <v>8</v>
      </c>
      <c r="DU2" s="103" t="s">
        <v>9</v>
      </c>
      <c r="DV2" s="103" t="s">
        <v>850</v>
      </c>
      <c r="DW2" s="103" t="s">
        <v>9</v>
      </c>
      <c r="DX2" s="103" t="s">
        <v>850</v>
      </c>
      <c r="DY2" s="103" t="s">
        <v>6</v>
      </c>
      <c r="DZ2" s="103" t="s">
        <v>850</v>
      </c>
      <c r="EA2" s="103" t="s">
        <v>850</v>
      </c>
      <c r="EB2" s="103" t="s">
        <v>8</v>
      </c>
      <c r="EC2" s="103" t="s">
        <v>850</v>
      </c>
      <c r="ED2" s="103" t="s">
        <v>9</v>
      </c>
      <c r="EE2" s="103" t="s">
        <v>9</v>
      </c>
      <c r="EF2" s="103" t="s">
        <v>850</v>
      </c>
      <c r="EG2" s="103" t="s">
        <v>4</v>
      </c>
      <c r="EH2" s="103" t="s">
        <v>8</v>
      </c>
      <c r="EI2" s="103" t="s">
        <v>850</v>
      </c>
      <c r="EJ2" s="103" t="s">
        <v>850</v>
      </c>
      <c r="EK2" s="103" t="s">
        <v>8</v>
      </c>
      <c r="EL2" s="103" t="s">
        <v>4</v>
      </c>
      <c r="EM2" s="103" t="s">
        <v>9</v>
      </c>
      <c r="EN2" s="103" t="s">
        <v>4</v>
      </c>
      <c r="EO2" s="103" t="s">
        <v>850</v>
      </c>
      <c r="EP2" s="103" t="s">
        <v>850</v>
      </c>
      <c r="EQ2" s="103" t="s">
        <v>4</v>
      </c>
      <c r="ER2" s="103" t="s">
        <v>850</v>
      </c>
      <c r="ES2" s="103" t="s">
        <v>850</v>
      </c>
      <c r="ET2" s="103" t="s">
        <v>850</v>
      </c>
      <c r="EU2" s="103" t="s">
        <v>4</v>
      </c>
      <c r="EV2" s="103" t="s">
        <v>8</v>
      </c>
      <c r="EW2" s="103" t="s">
        <v>8</v>
      </c>
      <c r="EX2" s="103" t="s">
        <v>4</v>
      </c>
      <c r="EY2" s="103" t="s">
        <v>850</v>
      </c>
      <c r="EZ2" s="103" t="s">
        <v>4</v>
      </c>
      <c r="FA2" s="103" t="s">
        <v>4</v>
      </c>
      <c r="FB2" s="103" t="s">
        <v>850</v>
      </c>
      <c r="FC2" s="103" t="s">
        <v>8</v>
      </c>
      <c r="FD2" s="103" t="s">
        <v>8</v>
      </c>
      <c r="FE2" s="103" t="s">
        <v>8</v>
      </c>
      <c r="FF2" s="103" t="s">
        <v>9</v>
      </c>
      <c r="FG2" s="103" t="s">
        <v>850</v>
      </c>
      <c r="FH2" s="103" t="s">
        <v>8</v>
      </c>
      <c r="FI2" s="103" t="s">
        <v>850</v>
      </c>
      <c r="FJ2" s="103" t="s">
        <v>850</v>
      </c>
      <c r="FK2" s="103" t="s">
        <v>850</v>
      </c>
      <c r="FL2" s="103" t="s">
        <v>850</v>
      </c>
      <c r="FM2" s="103" t="s">
        <v>3</v>
      </c>
      <c r="FN2" s="103" t="s">
        <v>850</v>
      </c>
      <c r="FO2" s="103" t="s">
        <v>850</v>
      </c>
      <c r="FP2" s="99"/>
      <c r="FQ2" s="106"/>
      <c r="FR2" s="107"/>
      <c r="FT2" s="108" t="s">
        <v>850</v>
      </c>
      <c r="FU2" s="108" t="s">
        <v>850</v>
      </c>
    </row>
    <row r="3" spans="1:178" s="108" customFormat="1">
      <c r="A3" s="112"/>
      <c r="E3" s="94"/>
      <c r="F3" s="94"/>
      <c r="G3" s="94" t="s">
        <v>10</v>
      </c>
      <c r="H3" s="103">
        <v>10</v>
      </c>
      <c r="I3" s="103">
        <v>5</v>
      </c>
      <c r="J3" s="103">
        <v>5</v>
      </c>
      <c r="K3" s="103">
        <v>10</v>
      </c>
      <c r="L3" s="103">
        <v>10</v>
      </c>
      <c r="M3" s="103">
        <v>5</v>
      </c>
      <c r="N3" s="103">
        <v>5</v>
      </c>
      <c r="O3" s="103">
        <v>10</v>
      </c>
      <c r="P3" s="103">
        <v>10</v>
      </c>
      <c r="Q3" s="103">
        <v>10</v>
      </c>
      <c r="R3" s="103">
        <v>10</v>
      </c>
      <c r="S3" s="103">
        <v>5</v>
      </c>
      <c r="T3" s="103">
        <v>10</v>
      </c>
      <c r="U3" s="103">
        <v>10</v>
      </c>
      <c r="V3" s="103">
        <v>10</v>
      </c>
      <c r="W3" s="103">
        <v>10</v>
      </c>
      <c r="X3" s="103">
        <v>10</v>
      </c>
      <c r="Y3" s="103">
        <v>10</v>
      </c>
      <c r="Z3" s="103">
        <v>10</v>
      </c>
      <c r="AA3" s="103">
        <v>10</v>
      </c>
      <c r="AB3" s="103">
        <v>10</v>
      </c>
      <c r="AC3" s="103">
        <v>10</v>
      </c>
      <c r="AD3" s="103">
        <v>10</v>
      </c>
      <c r="AE3" s="103">
        <v>10</v>
      </c>
      <c r="AF3" s="103">
        <v>10</v>
      </c>
      <c r="AG3" s="103">
        <v>10</v>
      </c>
      <c r="AH3" s="103">
        <v>10</v>
      </c>
      <c r="AI3" s="103">
        <v>10</v>
      </c>
      <c r="AJ3" s="103">
        <v>10</v>
      </c>
      <c r="AK3" s="103">
        <v>10</v>
      </c>
      <c r="AL3" s="103">
        <v>10</v>
      </c>
      <c r="AM3" s="103">
        <v>10</v>
      </c>
      <c r="AN3" s="103">
        <v>10</v>
      </c>
      <c r="AO3" s="103">
        <v>10</v>
      </c>
      <c r="AP3" s="103">
        <v>10</v>
      </c>
      <c r="AQ3" s="103">
        <v>10</v>
      </c>
      <c r="AR3" s="103">
        <v>10</v>
      </c>
      <c r="AS3" s="103">
        <v>10</v>
      </c>
      <c r="AT3" s="103">
        <v>10</v>
      </c>
      <c r="AU3" s="103">
        <v>1</v>
      </c>
      <c r="AV3" s="103">
        <v>1</v>
      </c>
      <c r="AW3" s="103">
        <v>1</v>
      </c>
      <c r="AX3" s="103">
        <v>4</v>
      </c>
      <c r="AY3" s="103">
        <v>5</v>
      </c>
      <c r="AZ3" s="103">
        <v>5</v>
      </c>
      <c r="BA3" s="103">
        <v>5</v>
      </c>
      <c r="BB3" s="103">
        <v>5</v>
      </c>
      <c r="BC3" s="103">
        <v>10</v>
      </c>
      <c r="BD3" s="103">
        <v>10</v>
      </c>
      <c r="BE3" s="103">
        <v>10</v>
      </c>
      <c r="BF3" s="103">
        <v>10</v>
      </c>
      <c r="BG3" s="103">
        <v>10</v>
      </c>
      <c r="BH3" s="103">
        <v>5</v>
      </c>
      <c r="BI3" s="103">
        <v>1</v>
      </c>
      <c r="BJ3" s="103">
        <v>1</v>
      </c>
      <c r="BK3" s="103">
        <v>1</v>
      </c>
      <c r="BL3" s="103">
        <v>4</v>
      </c>
      <c r="BM3" s="103">
        <v>5</v>
      </c>
      <c r="BN3" s="103">
        <v>5</v>
      </c>
      <c r="BO3" s="103">
        <v>5</v>
      </c>
      <c r="BP3" s="103">
        <v>10</v>
      </c>
      <c r="BQ3" s="103">
        <v>10</v>
      </c>
      <c r="BR3" s="103">
        <v>10</v>
      </c>
      <c r="BS3" s="103">
        <v>10</v>
      </c>
      <c r="BT3" s="103">
        <v>1</v>
      </c>
      <c r="BU3" s="103">
        <v>1</v>
      </c>
      <c r="BV3" s="103">
        <v>1</v>
      </c>
      <c r="BW3" s="103">
        <v>4</v>
      </c>
      <c r="BX3" s="103">
        <v>5</v>
      </c>
      <c r="BY3" s="103">
        <v>5</v>
      </c>
      <c r="BZ3" s="103">
        <v>5</v>
      </c>
      <c r="CA3" s="103">
        <v>10</v>
      </c>
      <c r="CB3" s="103">
        <v>10</v>
      </c>
      <c r="CC3" s="103">
        <v>10</v>
      </c>
      <c r="CD3" s="103">
        <v>10</v>
      </c>
      <c r="CE3" s="103">
        <v>10</v>
      </c>
      <c r="CF3" s="103">
        <v>10</v>
      </c>
      <c r="CG3" s="103">
        <v>10</v>
      </c>
      <c r="CH3" s="103">
        <v>5</v>
      </c>
      <c r="CI3" s="103">
        <v>10</v>
      </c>
      <c r="CJ3" s="103">
        <v>10</v>
      </c>
      <c r="CK3" s="103">
        <v>10</v>
      </c>
      <c r="CL3" s="103">
        <v>10</v>
      </c>
      <c r="CM3" s="103">
        <v>5</v>
      </c>
      <c r="CN3" s="103">
        <v>5</v>
      </c>
      <c r="CO3" s="103">
        <v>10</v>
      </c>
      <c r="CP3" s="103">
        <v>10</v>
      </c>
      <c r="CQ3" s="103">
        <v>10</v>
      </c>
      <c r="CR3" s="103">
        <v>10</v>
      </c>
      <c r="CS3" s="103">
        <v>10</v>
      </c>
      <c r="CT3" s="103">
        <v>5</v>
      </c>
      <c r="CU3" s="103">
        <v>5</v>
      </c>
      <c r="CV3" s="103">
        <v>10</v>
      </c>
      <c r="CW3" s="103">
        <v>10</v>
      </c>
      <c r="CX3" s="103">
        <v>10</v>
      </c>
      <c r="CY3" s="103">
        <v>10</v>
      </c>
      <c r="CZ3" s="103">
        <v>10</v>
      </c>
      <c r="DA3" s="103">
        <v>10</v>
      </c>
      <c r="DB3" s="103">
        <v>10</v>
      </c>
      <c r="DC3" s="103">
        <v>10</v>
      </c>
      <c r="DD3" s="103">
        <v>10</v>
      </c>
      <c r="DE3" s="103">
        <v>5</v>
      </c>
      <c r="DF3" s="103">
        <v>10</v>
      </c>
      <c r="DG3" s="103">
        <v>10</v>
      </c>
      <c r="DH3" s="103">
        <v>10</v>
      </c>
      <c r="DI3" s="103">
        <v>10</v>
      </c>
      <c r="DJ3" s="103">
        <v>10</v>
      </c>
      <c r="DK3" s="103">
        <v>5</v>
      </c>
      <c r="DL3" s="103">
        <v>10</v>
      </c>
      <c r="DM3" s="103">
        <v>10</v>
      </c>
      <c r="DN3" s="103">
        <v>10</v>
      </c>
      <c r="DO3" s="103">
        <v>10</v>
      </c>
      <c r="DP3" s="103">
        <v>10</v>
      </c>
      <c r="DQ3" s="103">
        <v>10</v>
      </c>
      <c r="DR3" s="103">
        <v>10</v>
      </c>
      <c r="DS3" s="103">
        <v>10</v>
      </c>
      <c r="DT3" s="103">
        <v>20</v>
      </c>
      <c r="DU3" s="103">
        <v>10</v>
      </c>
      <c r="DV3" s="103">
        <v>10</v>
      </c>
      <c r="DW3" s="103">
        <v>10</v>
      </c>
      <c r="DX3" s="103">
        <v>5</v>
      </c>
      <c r="DY3" s="103">
        <v>20</v>
      </c>
      <c r="DZ3" s="103">
        <v>10</v>
      </c>
      <c r="EA3" s="103">
        <v>20</v>
      </c>
      <c r="EB3" s="103">
        <v>10</v>
      </c>
      <c r="EC3" s="103">
        <v>10</v>
      </c>
      <c r="ED3" s="103">
        <v>20</v>
      </c>
      <c r="EE3" s="103">
        <v>20</v>
      </c>
      <c r="EF3" s="103">
        <v>10</v>
      </c>
      <c r="EG3" s="103">
        <v>20</v>
      </c>
      <c r="EH3" s="103">
        <v>20</v>
      </c>
      <c r="EI3" s="103">
        <v>20</v>
      </c>
      <c r="EJ3" s="103">
        <v>10</v>
      </c>
      <c r="EK3" s="103">
        <v>20</v>
      </c>
      <c r="EL3" s="103">
        <v>20</v>
      </c>
      <c r="EM3" s="103">
        <v>20</v>
      </c>
      <c r="EN3" s="103">
        <v>20</v>
      </c>
      <c r="EO3" s="103">
        <v>10</v>
      </c>
      <c r="EP3" s="103">
        <v>20</v>
      </c>
      <c r="EQ3" s="103">
        <v>20</v>
      </c>
      <c r="ER3" s="103">
        <v>20</v>
      </c>
      <c r="ES3" s="103">
        <v>10</v>
      </c>
      <c r="ET3" s="103">
        <v>20</v>
      </c>
      <c r="EU3" s="103">
        <v>20</v>
      </c>
      <c r="EV3" s="103">
        <v>20</v>
      </c>
      <c r="EW3" s="103">
        <v>20</v>
      </c>
      <c r="EX3" s="103">
        <v>20</v>
      </c>
      <c r="EY3" s="103">
        <v>20</v>
      </c>
      <c r="EZ3" s="103">
        <v>20</v>
      </c>
      <c r="FA3" s="103">
        <v>20</v>
      </c>
      <c r="FB3" s="103">
        <v>20</v>
      </c>
      <c r="FC3" s="103">
        <v>20</v>
      </c>
      <c r="FD3" s="103">
        <v>20</v>
      </c>
      <c r="FE3" s="103">
        <v>30</v>
      </c>
      <c r="FF3" s="103">
        <v>20</v>
      </c>
      <c r="FG3" s="103">
        <v>30</v>
      </c>
      <c r="FH3" s="103">
        <v>30</v>
      </c>
      <c r="FI3" s="103">
        <v>20</v>
      </c>
      <c r="FJ3" s="103">
        <v>30</v>
      </c>
      <c r="FK3" s="103">
        <v>30</v>
      </c>
      <c r="FL3" s="103">
        <v>20</v>
      </c>
      <c r="FM3" s="103"/>
      <c r="FN3" s="103"/>
      <c r="FO3" s="103"/>
      <c r="FP3" s="111"/>
      <c r="FQ3" s="112"/>
      <c r="FS3" s="106"/>
      <c r="FT3" s="107"/>
    </row>
    <row r="4" spans="1:178" s="93" customFormat="1" ht="40">
      <c r="A4" s="113"/>
      <c r="E4" s="113"/>
      <c r="F4" s="113"/>
      <c r="G4" s="113" t="s">
        <v>12</v>
      </c>
      <c r="H4" s="114" t="s">
        <v>13</v>
      </c>
      <c r="I4" s="114" t="s">
        <v>14</v>
      </c>
      <c r="J4" s="114" t="s">
        <v>15</v>
      </c>
      <c r="K4" s="114" t="s">
        <v>16</v>
      </c>
      <c r="L4" s="114" t="s">
        <v>17</v>
      </c>
      <c r="M4" s="114" t="s">
        <v>18</v>
      </c>
      <c r="N4" s="114" t="s">
        <v>19</v>
      </c>
      <c r="O4" s="114" t="s">
        <v>20</v>
      </c>
      <c r="P4" s="114" t="s">
        <v>21</v>
      </c>
      <c r="Q4" s="114" t="s">
        <v>22</v>
      </c>
      <c r="R4" s="114" t="s">
        <v>22</v>
      </c>
      <c r="S4" s="114" t="s">
        <v>23</v>
      </c>
      <c r="T4" s="114" t="s">
        <v>24</v>
      </c>
      <c r="U4" s="114" t="s">
        <v>25</v>
      </c>
      <c r="V4" s="114" t="s">
        <v>26</v>
      </c>
      <c r="W4" s="114" t="s">
        <v>26</v>
      </c>
      <c r="X4" s="114" t="s">
        <v>27</v>
      </c>
      <c r="Y4" s="114" t="s">
        <v>28</v>
      </c>
      <c r="Z4" s="114" t="s">
        <v>637</v>
      </c>
      <c r="AA4" s="114" t="s">
        <v>29</v>
      </c>
      <c r="AB4" s="114" t="s">
        <v>30</v>
      </c>
      <c r="AC4" s="114" t="s">
        <v>31</v>
      </c>
      <c r="AD4" s="114" t="s">
        <v>32</v>
      </c>
      <c r="AE4" s="114" t="s">
        <v>33</v>
      </c>
      <c r="AF4" s="114" t="s">
        <v>34</v>
      </c>
      <c r="AG4" s="114" t="s">
        <v>35</v>
      </c>
      <c r="AH4" s="114" t="s">
        <v>36</v>
      </c>
      <c r="AI4" s="114" t="s">
        <v>37</v>
      </c>
      <c r="AJ4" s="114" t="s">
        <v>38</v>
      </c>
      <c r="AK4" s="114" t="s">
        <v>39</v>
      </c>
      <c r="AL4" s="114" t="s">
        <v>638</v>
      </c>
      <c r="AM4" s="114" t="s">
        <v>851</v>
      </c>
      <c r="AN4" s="114" t="s">
        <v>41</v>
      </c>
      <c r="AO4" s="114" t="s">
        <v>42</v>
      </c>
      <c r="AP4" s="114" t="s">
        <v>43</v>
      </c>
      <c r="AQ4" s="114" t="s">
        <v>44</v>
      </c>
      <c r="AR4" s="114" t="s">
        <v>45</v>
      </c>
      <c r="AS4" s="114" t="s">
        <v>46</v>
      </c>
      <c r="AT4" s="114" t="s">
        <v>47</v>
      </c>
      <c r="AU4" s="114" t="s">
        <v>48</v>
      </c>
      <c r="AV4" s="114" t="s">
        <v>48</v>
      </c>
      <c r="AW4" s="114" t="s">
        <v>48</v>
      </c>
      <c r="AX4" s="114" t="s">
        <v>49</v>
      </c>
      <c r="AY4" s="114" t="s">
        <v>50</v>
      </c>
      <c r="AZ4" s="114" t="s">
        <v>51</v>
      </c>
      <c r="BA4" s="116" t="s">
        <v>52</v>
      </c>
      <c r="BB4" s="116" t="s">
        <v>52</v>
      </c>
      <c r="BC4" s="114" t="s">
        <v>53</v>
      </c>
      <c r="BD4" s="114" t="s">
        <v>54</v>
      </c>
      <c r="BE4" s="114" t="s">
        <v>55</v>
      </c>
      <c r="BF4" s="114" t="s">
        <v>56</v>
      </c>
      <c r="BG4" s="114" t="s">
        <v>57</v>
      </c>
      <c r="BH4" s="114" t="s">
        <v>57</v>
      </c>
      <c r="BI4" s="114" t="s">
        <v>58</v>
      </c>
      <c r="BJ4" s="114" t="s">
        <v>58</v>
      </c>
      <c r="BK4" s="114" t="s">
        <v>58</v>
      </c>
      <c r="BL4" s="114" t="s">
        <v>59</v>
      </c>
      <c r="BM4" s="114" t="s">
        <v>60</v>
      </c>
      <c r="BN4" s="114" t="s">
        <v>61</v>
      </c>
      <c r="BO4" s="114" t="s">
        <v>62</v>
      </c>
      <c r="BP4" s="114" t="s">
        <v>63</v>
      </c>
      <c r="BQ4" s="114" t="s">
        <v>64</v>
      </c>
      <c r="BR4" s="114" t="s">
        <v>65</v>
      </c>
      <c r="BS4" s="114" t="s">
        <v>66</v>
      </c>
      <c r="BT4" s="114" t="s">
        <v>67</v>
      </c>
      <c r="BU4" s="114" t="s">
        <v>67</v>
      </c>
      <c r="BV4" s="114" t="s">
        <v>67</v>
      </c>
      <c r="BW4" s="114" t="s">
        <v>1029</v>
      </c>
      <c r="BX4" s="114" t="s">
        <v>69</v>
      </c>
      <c r="BY4" s="114" t="s">
        <v>70</v>
      </c>
      <c r="BZ4" s="114" t="s">
        <v>71</v>
      </c>
      <c r="CA4" s="114" t="s">
        <v>72</v>
      </c>
      <c r="CB4" s="114" t="s">
        <v>73</v>
      </c>
      <c r="CC4" s="114" t="s">
        <v>74</v>
      </c>
      <c r="CD4" s="114" t="s">
        <v>75</v>
      </c>
      <c r="CE4" s="116" t="s">
        <v>76</v>
      </c>
      <c r="CF4" s="116" t="s">
        <v>76</v>
      </c>
      <c r="CG4" s="114" t="s">
        <v>77</v>
      </c>
      <c r="CH4" s="114" t="s">
        <v>78</v>
      </c>
      <c r="CI4" s="114" t="s">
        <v>1019</v>
      </c>
      <c r="CJ4" s="114" t="s">
        <v>80</v>
      </c>
      <c r="CK4" s="114" t="s">
        <v>81</v>
      </c>
      <c r="CL4" s="114" t="s">
        <v>82</v>
      </c>
      <c r="CM4" s="116" t="s">
        <v>83</v>
      </c>
      <c r="CN4" s="116" t="s">
        <v>83</v>
      </c>
      <c r="CO4" s="116" t="s">
        <v>1018</v>
      </c>
      <c r="CP4" s="116" t="s">
        <v>84</v>
      </c>
      <c r="CQ4" s="114" t="s">
        <v>85</v>
      </c>
      <c r="CR4" s="114" t="s">
        <v>86</v>
      </c>
      <c r="CS4" s="114" t="s">
        <v>87</v>
      </c>
      <c r="CT4" s="114" t="s">
        <v>87</v>
      </c>
      <c r="CU4" s="114" t="s">
        <v>88</v>
      </c>
      <c r="CV4" s="114" t="s">
        <v>89</v>
      </c>
      <c r="CW4" s="114" t="s">
        <v>90</v>
      </c>
      <c r="CX4" s="114" t="s">
        <v>1021</v>
      </c>
      <c r="CY4" s="114" t="s">
        <v>92</v>
      </c>
      <c r="CZ4" s="114" t="s">
        <v>93</v>
      </c>
      <c r="DA4" s="114" t="s">
        <v>94</v>
      </c>
      <c r="DB4" s="114" t="s">
        <v>95</v>
      </c>
      <c r="DC4" s="114" t="s">
        <v>96</v>
      </c>
      <c r="DD4" s="114" t="s">
        <v>97</v>
      </c>
      <c r="DE4" s="114" t="s">
        <v>97</v>
      </c>
      <c r="DF4" s="114" t="s">
        <v>98</v>
      </c>
      <c r="DG4" s="114" t="s">
        <v>1025</v>
      </c>
      <c r="DH4" s="114" t="s">
        <v>100</v>
      </c>
      <c r="DI4" s="114" t="s">
        <v>101</v>
      </c>
      <c r="DJ4" s="114" t="s">
        <v>102</v>
      </c>
      <c r="DK4" s="114" t="s">
        <v>102</v>
      </c>
      <c r="DL4" s="114" t="s">
        <v>103</v>
      </c>
      <c r="DM4" s="114" t="s">
        <v>104</v>
      </c>
      <c r="DN4" s="114" t="s">
        <v>105</v>
      </c>
      <c r="DO4" s="116" t="s">
        <v>106</v>
      </c>
      <c r="DP4" s="116" t="s">
        <v>106</v>
      </c>
      <c r="DQ4" s="114" t="s">
        <v>107</v>
      </c>
      <c r="DR4" s="114" t="s">
        <v>108</v>
      </c>
      <c r="DS4" s="114" t="s">
        <v>109</v>
      </c>
      <c r="DT4" s="114" t="s">
        <v>110</v>
      </c>
      <c r="DU4" s="114" t="s">
        <v>1027</v>
      </c>
      <c r="DV4" s="114" t="s">
        <v>114</v>
      </c>
      <c r="DW4" s="114" t="s">
        <v>115</v>
      </c>
      <c r="DX4" s="114" t="s">
        <v>644</v>
      </c>
      <c r="DY4" s="114" t="s">
        <v>116</v>
      </c>
      <c r="DZ4" s="114" t="s">
        <v>117</v>
      </c>
      <c r="EA4" s="114" t="s">
        <v>118</v>
      </c>
      <c r="EB4" s="114" t="s">
        <v>119</v>
      </c>
      <c r="EC4" s="114" t="s">
        <v>120</v>
      </c>
      <c r="ED4" s="114" t="s">
        <v>121</v>
      </c>
      <c r="EE4" s="114" t="s">
        <v>122</v>
      </c>
      <c r="EF4" s="114" t="s">
        <v>123</v>
      </c>
      <c r="EG4" s="114" t="s">
        <v>124</v>
      </c>
      <c r="EH4" s="114" t="s">
        <v>125</v>
      </c>
      <c r="EI4" s="114" t="s">
        <v>126</v>
      </c>
      <c r="EJ4" s="114" t="s">
        <v>127</v>
      </c>
      <c r="EK4" s="114" t="s">
        <v>128</v>
      </c>
      <c r="EL4" s="114" t="s">
        <v>129</v>
      </c>
      <c r="EM4" s="116" t="s">
        <v>130</v>
      </c>
      <c r="EN4" s="116" t="s">
        <v>130</v>
      </c>
      <c r="EO4" s="114" t="s">
        <v>131</v>
      </c>
      <c r="EP4" s="114" t="s">
        <v>132</v>
      </c>
      <c r="EQ4" s="114" t="s">
        <v>133</v>
      </c>
      <c r="ER4" s="114" t="s">
        <v>134</v>
      </c>
      <c r="ES4" s="114" t="s">
        <v>135</v>
      </c>
      <c r="ET4" s="114" t="s">
        <v>136</v>
      </c>
      <c r="EU4" s="114" t="s">
        <v>137</v>
      </c>
      <c r="EV4" s="114" t="s">
        <v>138</v>
      </c>
      <c r="EW4" s="114" t="s">
        <v>139</v>
      </c>
      <c r="EX4" s="114" t="s">
        <v>140</v>
      </c>
      <c r="EY4" s="114" t="s">
        <v>141</v>
      </c>
      <c r="EZ4" s="114" t="s">
        <v>142</v>
      </c>
      <c r="FA4" s="114" t="s">
        <v>143</v>
      </c>
      <c r="FB4" s="114" t="s">
        <v>144</v>
      </c>
      <c r="FC4" s="114" t="s">
        <v>145</v>
      </c>
      <c r="FD4" s="114" t="s">
        <v>146</v>
      </c>
      <c r="FE4" s="114" t="s">
        <v>147</v>
      </c>
      <c r="FF4" s="114" t="s">
        <v>148</v>
      </c>
      <c r="FG4" s="114" t="s">
        <v>149</v>
      </c>
      <c r="FH4" s="114" t="s">
        <v>150</v>
      </c>
      <c r="FI4" s="114" t="s">
        <v>151</v>
      </c>
      <c r="FJ4" s="114" t="s">
        <v>152</v>
      </c>
      <c r="FK4" s="114" t="s">
        <v>645</v>
      </c>
      <c r="FL4" s="114" t="s">
        <v>154</v>
      </c>
      <c r="FM4" s="123" t="s">
        <v>157</v>
      </c>
      <c r="FN4" s="123" t="s">
        <v>648</v>
      </c>
      <c r="FO4" s="123" t="s">
        <v>649</v>
      </c>
      <c r="FP4" s="125"/>
      <c r="FQ4" s="113"/>
      <c r="FS4" s="126"/>
    </row>
    <row r="5" spans="1:178" s="102" customFormat="1" ht="20">
      <c r="A5" s="127"/>
      <c r="D5" s="128"/>
      <c r="E5" s="95" t="s">
        <v>162</v>
      </c>
      <c r="F5" s="129" t="s">
        <v>163</v>
      </c>
      <c r="G5" s="95" t="s">
        <v>164</v>
      </c>
      <c r="H5" s="130" t="s">
        <v>165</v>
      </c>
      <c r="I5" s="130" t="s">
        <v>166</v>
      </c>
      <c r="J5" s="130" t="s">
        <v>167</v>
      </c>
      <c r="K5" s="130" t="s">
        <v>168</v>
      </c>
      <c r="L5" s="130" t="s">
        <v>169</v>
      </c>
      <c r="M5" s="130" t="s">
        <v>170</v>
      </c>
      <c r="N5" s="130" t="s">
        <v>171</v>
      </c>
      <c r="O5" s="130" t="s">
        <v>172</v>
      </c>
      <c r="P5" s="130" t="s">
        <v>173</v>
      </c>
      <c r="Q5" s="130" t="s">
        <v>174</v>
      </c>
      <c r="R5" s="130" t="s">
        <v>860</v>
      </c>
      <c r="S5" s="130" t="s">
        <v>175</v>
      </c>
      <c r="T5" s="130" t="s">
        <v>176</v>
      </c>
      <c r="U5" s="130" t="s">
        <v>177</v>
      </c>
      <c r="V5" s="130" t="s">
        <v>178</v>
      </c>
      <c r="W5" s="130" t="s">
        <v>861</v>
      </c>
      <c r="X5" s="130" t="s">
        <v>179</v>
      </c>
      <c r="Y5" s="130" t="s">
        <v>180</v>
      </c>
      <c r="Z5" s="130" t="s">
        <v>650</v>
      </c>
      <c r="AA5" s="130" t="s">
        <v>181</v>
      </c>
      <c r="AB5" s="130" t="s">
        <v>182</v>
      </c>
      <c r="AC5" s="130" t="s">
        <v>183</v>
      </c>
      <c r="AD5" s="130" t="s">
        <v>184</v>
      </c>
      <c r="AE5" s="130" t="s">
        <v>185</v>
      </c>
      <c r="AF5" s="130" t="s">
        <v>186</v>
      </c>
      <c r="AG5" s="130" t="s">
        <v>187</v>
      </c>
      <c r="AH5" s="130" t="s">
        <v>188</v>
      </c>
      <c r="AI5" s="130" t="s">
        <v>189</v>
      </c>
      <c r="AJ5" s="130" t="s">
        <v>190</v>
      </c>
      <c r="AK5" s="130" t="s">
        <v>191</v>
      </c>
      <c r="AL5" s="130" t="s">
        <v>193</v>
      </c>
      <c r="AM5" s="130" t="s">
        <v>862</v>
      </c>
      <c r="AN5" s="130" t="s">
        <v>194</v>
      </c>
      <c r="AO5" s="130" t="s">
        <v>195</v>
      </c>
      <c r="AP5" s="130" t="s">
        <v>196</v>
      </c>
      <c r="AQ5" s="130" t="s">
        <v>197</v>
      </c>
      <c r="AR5" s="130" t="s">
        <v>198</v>
      </c>
      <c r="AS5" s="130" t="s">
        <v>199</v>
      </c>
      <c r="AT5" s="130" t="s">
        <v>200</v>
      </c>
      <c r="AU5" s="130" t="s">
        <v>201</v>
      </c>
      <c r="AV5" s="130" t="s">
        <v>203</v>
      </c>
      <c r="AW5" s="130" t="s">
        <v>202</v>
      </c>
      <c r="AX5" s="130" t="s">
        <v>204</v>
      </c>
      <c r="AY5" s="130" t="s">
        <v>205</v>
      </c>
      <c r="AZ5" s="130" t="s">
        <v>206</v>
      </c>
      <c r="BA5" s="130" t="s">
        <v>207</v>
      </c>
      <c r="BB5" s="130" t="s">
        <v>208</v>
      </c>
      <c r="BC5" s="130" t="s">
        <v>209</v>
      </c>
      <c r="BD5" s="130" t="s">
        <v>210</v>
      </c>
      <c r="BE5" s="130" t="s">
        <v>211</v>
      </c>
      <c r="BF5" s="130" t="s">
        <v>212</v>
      </c>
      <c r="BG5" s="130" t="s">
        <v>213</v>
      </c>
      <c r="BH5" s="130" t="s">
        <v>214</v>
      </c>
      <c r="BI5" s="130" t="s">
        <v>215</v>
      </c>
      <c r="BJ5" s="130" t="s">
        <v>216</v>
      </c>
      <c r="BK5" s="130" t="s">
        <v>217</v>
      </c>
      <c r="BL5" s="130" t="s">
        <v>218</v>
      </c>
      <c r="BM5" s="130" t="s">
        <v>219</v>
      </c>
      <c r="BN5" s="130" t="s">
        <v>220</v>
      </c>
      <c r="BO5" s="130" t="s">
        <v>221</v>
      </c>
      <c r="BP5" s="130" t="s">
        <v>222</v>
      </c>
      <c r="BQ5" s="130" t="s">
        <v>223</v>
      </c>
      <c r="BR5" s="130" t="s">
        <v>224</v>
      </c>
      <c r="BS5" s="130" t="s">
        <v>225</v>
      </c>
      <c r="BT5" s="130" t="s">
        <v>226</v>
      </c>
      <c r="BU5" s="130" t="s">
        <v>967</v>
      </c>
      <c r="BV5" s="130" t="s">
        <v>968</v>
      </c>
      <c r="BW5" s="130" t="s">
        <v>863</v>
      </c>
      <c r="BX5" s="130" t="s">
        <v>233</v>
      </c>
      <c r="BY5" s="130" t="s">
        <v>234</v>
      </c>
      <c r="BZ5" s="130" t="s">
        <v>238</v>
      </c>
      <c r="CA5" s="130" t="s">
        <v>239</v>
      </c>
      <c r="CB5" s="130" t="s">
        <v>240</v>
      </c>
      <c r="CC5" s="130" t="s">
        <v>241</v>
      </c>
      <c r="CD5" s="130" t="s">
        <v>969</v>
      </c>
      <c r="CE5" s="130" t="s">
        <v>243</v>
      </c>
      <c r="CF5" s="130" t="s">
        <v>244</v>
      </c>
      <c r="CG5" s="130" t="s">
        <v>245</v>
      </c>
      <c r="CH5" s="130" t="s">
        <v>247</v>
      </c>
      <c r="CI5" s="130" t="s">
        <v>248</v>
      </c>
      <c r="CJ5" s="130" t="s">
        <v>249</v>
      </c>
      <c r="CK5" s="130" t="s">
        <v>250</v>
      </c>
      <c r="CL5" s="130" t="s">
        <v>251</v>
      </c>
      <c r="CM5" s="130" t="s">
        <v>252</v>
      </c>
      <c r="CN5" s="130" t="s">
        <v>253</v>
      </c>
      <c r="CO5" s="130" t="s">
        <v>254</v>
      </c>
      <c r="CP5" s="130" t="s">
        <v>255</v>
      </c>
      <c r="CQ5" s="130" t="s">
        <v>256</v>
      </c>
      <c r="CR5" s="130" t="s">
        <v>257</v>
      </c>
      <c r="CS5" s="130" t="s">
        <v>258</v>
      </c>
      <c r="CT5" s="130" t="s">
        <v>259</v>
      </c>
      <c r="CU5" s="130" t="s">
        <v>260</v>
      </c>
      <c r="CV5" s="130" t="s">
        <v>261</v>
      </c>
      <c r="CW5" s="130" t="s">
        <v>262</v>
      </c>
      <c r="CX5" s="130" t="s">
        <v>263</v>
      </c>
      <c r="CY5" s="130" t="s">
        <v>265</v>
      </c>
      <c r="CZ5" s="130" t="s">
        <v>266</v>
      </c>
      <c r="DA5" s="130" t="s">
        <v>268</v>
      </c>
      <c r="DB5" s="130" t="s">
        <v>269</v>
      </c>
      <c r="DC5" s="130" t="s">
        <v>270</v>
      </c>
      <c r="DD5" s="130" t="s">
        <v>271</v>
      </c>
      <c r="DE5" s="130" t="s">
        <v>272</v>
      </c>
      <c r="DF5" s="130" t="s">
        <v>273</v>
      </c>
      <c r="DG5" s="130" t="s">
        <v>274</v>
      </c>
      <c r="DH5" s="130" t="s">
        <v>671</v>
      </c>
      <c r="DI5" s="130" t="s">
        <v>277</v>
      </c>
      <c r="DJ5" s="130" t="s">
        <v>278</v>
      </c>
      <c r="DK5" s="130" t="s">
        <v>279</v>
      </c>
      <c r="DL5" s="130" t="s">
        <v>281</v>
      </c>
      <c r="DM5" s="130" t="s">
        <v>282</v>
      </c>
      <c r="DN5" s="130" t="s">
        <v>283</v>
      </c>
      <c r="DO5" s="130" t="s">
        <v>284</v>
      </c>
      <c r="DP5" s="130" t="s">
        <v>678</v>
      </c>
      <c r="DQ5" s="130" t="s">
        <v>285</v>
      </c>
      <c r="DR5" s="130" t="s">
        <v>286</v>
      </c>
      <c r="DS5" s="130" t="s">
        <v>287</v>
      </c>
      <c r="DT5" s="130" t="s">
        <v>288</v>
      </c>
      <c r="DU5" s="130" t="s">
        <v>290</v>
      </c>
      <c r="DV5" s="130" t="s">
        <v>292</v>
      </c>
      <c r="DW5" s="130" t="s">
        <v>293</v>
      </c>
      <c r="DX5" s="130" t="s">
        <v>681</v>
      </c>
      <c r="DY5" s="130" t="s">
        <v>294</v>
      </c>
      <c r="DZ5" s="130" t="s">
        <v>295</v>
      </c>
      <c r="EA5" s="130" t="s">
        <v>296</v>
      </c>
      <c r="EB5" s="130" t="s">
        <v>297</v>
      </c>
      <c r="EC5" s="130" t="s">
        <v>298</v>
      </c>
      <c r="ED5" s="130" t="s">
        <v>299</v>
      </c>
      <c r="EE5" s="130" t="s">
        <v>300</v>
      </c>
      <c r="EF5" s="130" t="s">
        <v>301</v>
      </c>
      <c r="EG5" s="130" t="s">
        <v>302</v>
      </c>
      <c r="EH5" s="130" t="s">
        <v>869</v>
      </c>
      <c r="EI5" s="130" t="s">
        <v>304</v>
      </c>
      <c r="EJ5" s="130" t="s">
        <v>305</v>
      </c>
      <c r="EK5" s="130" t="s">
        <v>306</v>
      </c>
      <c r="EL5" s="130" t="s">
        <v>307</v>
      </c>
      <c r="EM5" s="130" t="s">
        <v>308</v>
      </c>
      <c r="EN5" s="130" t="s">
        <v>309</v>
      </c>
      <c r="EO5" s="130" t="s">
        <v>310</v>
      </c>
      <c r="EP5" s="130" t="s">
        <v>311</v>
      </c>
      <c r="EQ5" s="130" t="s">
        <v>312</v>
      </c>
      <c r="ER5" s="130" t="s">
        <v>313</v>
      </c>
      <c r="ES5" s="130" t="s">
        <v>314</v>
      </c>
      <c r="ET5" s="130" t="s">
        <v>315</v>
      </c>
      <c r="EU5" s="130" t="s">
        <v>316</v>
      </c>
      <c r="EV5" s="130" t="s">
        <v>317</v>
      </c>
      <c r="EW5" s="130" t="s">
        <v>318</v>
      </c>
      <c r="EX5" s="130" t="s">
        <v>319</v>
      </c>
      <c r="EY5" s="130" t="s">
        <v>320</v>
      </c>
      <c r="EZ5" s="130" t="s">
        <v>321</v>
      </c>
      <c r="FA5" s="130" t="s">
        <v>322</v>
      </c>
      <c r="FB5" s="130" t="s">
        <v>323</v>
      </c>
      <c r="FC5" s="130" t="s">
        <v>324</v>
      </c>
      <c r="FD5" s="130" t="s">
        <v>325</v>
      </c>
      <c r="FE5" s="130" t="s">
        <v>326</v>
      </c>
      <c r="FF5" s="130" t="s">
        <v>327</v>
      </c>
      <c r="FG5" s="130" t="s">
        <v>328</v>
      </c>
      <c r="FH5" s="130" t="s">
        <v>329</v>
      </c>
      <c r="FI5" s="130" t="s">
        <v>330</v>
      </c>
      <c r="FJ5" s="130" t="s">
        <v>332</v>
      </c>
      <c r="FK5" s="130" t="s">
        <v>333</v>
      </c>
      <c r="FL5" s="130" t="s">
        <v>334</v>
      </c>
      <c r="FM5" s="130" t="s">
        <v>337</v>
      </c>
      <c r="FN5" s="130" t="s">
        <v>688</v>
      </c>
      <c r="FO5" s="130" t="s">
        <v>341</v>
      </c>
      <c r="FP5" s="131"/>
      <c r="FQ5" s="100"/>
      <c r="FR5" s="101"/>
    </row>
    <row r="6" spans="1:178" s="112" customFormat="1" ht="11">
      <c r="A6" s="132" t="s">
        <v>743</v>
      </c>
      <c r="B6" s="128" t="s">
        <v>744</v>
      </c>
      <c r="C6" s="128" t="s">
        <v>745</v>
      </c>
      <c r="D6" s="128" t="s">
        <v>746</v>
      </c>
      <c r="E6" s="133" t="s">
        <v>346</v>
      </c>
      <c r="F6" s="133"/>
      <c r="G6" s="134" t="s">
        <v>347</v>
      </c>
      <c r="H6" s="135" t="s">
        <v>348</v>
      </c>
      <c r="I6" s="135" t="s">
        <v>349</v>
      </c>
      <c r="J6" s="135" t="s">
        <v>350</v>
      </c>
      <c r="K6" s="135" t="s">
        <v>351</v>
      </c>
      <c r="L6" s="135" t="s">
        <v>352</v>
      </c>
      <c r="M6" s="135" t="s">
        <v>353</v>
      </c>
      <c r="N6" s="135" t="s">
        <v>354</v>
      </c>
      <c r="O6" s="135" t="s">
        <v>355</v>
      </c>
      <c r="P6" s="135" t="s">
        <v>356</v>
      </c>
      <c r="Q6" s="135" t="s">
        <v>357</v>
      </c>
      <c r="R6" s="135" t="s">
        <v>874</v>
      </c>
      <c r="S6" s="135" t="s">
        <v>358</v>
      </c>
      <c r="T6" s="135" t="s">
        <v>359</v>
      </c>
      <c r="U6" s="135" t="s">
        <v>360</v>
      </c>
      <c r="V6" s="135" t="s">
        <v>361</v>
      </c>
      <c r="W6" s="135" t="s">
        <v>875</v>
      </c>
      <c r="X6" s="135" t="s">
        <v>362</v>
      </c>
      <c r="Y6" s="135" t="s">
        <v>363</v>
      </c>
      <c r="Z6" s="135" t="s">
        <v>689</v>
      </c>
      <c r="AA6" s="135" t="s">
        <v>364</v>
      </c>
      <c r="AB6" s="135" t="s">
        <v>365</v>
      </c>
      <c r="AC6" s="135" t="s">
        <v>366</v>
      </c>
      <c r="AD6" s="135" t="s">
        <v>367</v>
      </c>
      <c r="AE6" s="135" t="s">
        <v>368</v>
      </c>
      <c r="AF6" s="135" t="s">
        <v>369</v>
      </c>
      <c r="AG6" s="135" t="s">
        <v>370</v>
      </c>
      <c r="AH6" s="135" t="s">
        <v>371</v>
      </c>
      <c r="AI6" s="135" t="s">
        <v>372</v>
      </c>
      <c r="AJ6" s="135" t="s">
        <v>373</v>
      </c>
      <c r="AK6" s="135" t="s">
        <v>374</v>
      </c>
      <c r="AL6" s="135" t="s">
        <v>376</v>
      </c>
      <c r="AM6" s="135" t="s">
        <v>876</v>
      </c>
      <c r="AN6" s="135" t="s">
        <v>377</v>
      </c>
      <c r="AO6" s="135" t="s">
        <v>378</v>
      </c>
      <c r="AP6" s="135" t="s">
        <v>379</v>
      </c>
      <c r="AQ6" s="135" t="s">
        <v>380</v>
      </c>
      <c r="AR6" s="135" t="s">
        <v>381</v>
      </c>
      <c r="AS6" s="135" t="s">
        <v>382</v>
      </c>
      <c r="AT6" s="135" t="s">
        <v>383</v>
      </c>
      <c r="AU6" s="135" t="s">
        <v>384</v>
      </c>
      <c r="AV6" s="135" t="s">
        <v>386</v>
      </c>
      <c r="AW6" s="135" t="s">
        <v>385</v>
      </c>
      <c r="AX6" s="135" t="s">
        <v>387</v>
      </c>
      <c r="AY6" s="135" t="s">
        <v>388</v>
      </c>
      <c r="AZ6" s="135" t="s">
        <v>389</v>
      </c>
      <c r="BA6" s="135" t="s">
        <v>390</v>
      </c>
      <c r="BB6" s="135" t="s">
        <v>390</v>
      </c>
      <c r="BC6" s="135" t="s">
        <v>391</v>
      </c>
      <c r="BD6" s="135" t="s">
        <v>392</v>
      </c>
      <c r="BE6" s="135" t="s">
        <v>393</v>
      </c>
      <c r="BF6" s="135" t="s">
        <v>394</v>
      </c>
      <c r="BG6" s="135" t="s">
        <v>395</v>
      </c>
      <c r="BH6" s="135" t="s">
        <v>396</v>
      </c>
      <c r="BI6" s="135" t="s">
        <v>397</v>
      </c>
      <c r="BJ6" s="135" t="s">
        <v>692</v>
      </c>
      <c r="BK6" s="135" t="s">
        <v>399</v>
      </c>
      <c r="BL6" s="135" t="s">
        <v>400</v>
      </c>
      <c r="BM6" s="135" t="s">
        <v>401</v>
      </c>
      <c r="BN6" s="135" t="s">
        <v>402</v>
      </c>
      <c r="BO6" s="135" t="s">
        <v>403</v>
      </c>
      <c r="BP6" s="135" t="s">
        <v>404</v>
      </c>
      <c r="BQ6" s="135" t="s">
        <v>405</v>
      </c>
      <c r="BR6" s="135" t="s">
        <v>406</v>
      </c>
      <c r="BS6" s="135" t="s">
        <v>407</v>
      </c>
      <c r="BT6" s="135" t="s">
        <v>408</v>
      </c>
      <c r="BU6" s="135" t="s">
        <v>410</v>
      </c>
      <c r="BV6" s="135" t="s">
        <v>412</v>
      </c>
      <c r="BW6" s="135" t="s">
        <v>413</v>
      </c>
      <c r="BX6" s="135" t="s">
        <v>414</v>
      </c>
      <c r="BY6" s="135" t="s">
        <v>415</v>
      </c>
      <c r="BZ6" s="135" t="s">
        <v>416</v>
      </c>
      <c r="CA6" s="135" t="s">
        <v>417</v>
      </c>
      <c r="CB6" s="135" t="s">
        <v>418</v>
      </c>
      <c r="CC6" s="135" t="s">
        <v>419</v>
      </c>
      <c r="CD6" s="135" t="s">
        <v>420</v>
      </c>
      <c r="CE6" s="135" t="s">
        <v>421</v>
      </c>
      <c r="CF6" s="135" t="s">
        <v>421</v>
      </c>
      <c r="CG6" s="135" t="s">
        <v>422</v>
      </c>
      <c r="CH6" s="135" t="s">
        <v>423</v>
      </c>
      <c r="CI6" s="135" t="s">
        <v>424</v>
      </c>
      <c r="CJ6" s="135" t="s">
        <v>425</v>
      </c>
      <c r="CK6" s="135" t="s">
        <v>426</v>
      </c>
      <c r="CL6" s="135" t="s">
        <v>427</v>
      </c>
      <c r="CM6" s="135" t="s">
        <v>428</v>
      </c>
      <c r="CN6" s="135" t="s">
        <v>428</v>
      </c>
      <c r="CO6" s="135" t="s">
        <v>429</v>
      </c>
      <c r="CP6" s="135" t="s">
        <v>429</v>
      </c>
      <c r="CQ6" s="135" t="s">
        <v>430</v>
      </c>
      <c r="CR6" s="135" t="s">
        <v>431</v>
      </c>
      <c r="CS6" s="135" t="s">
        <v>432</v>
      </c>
      <c r="CT6" s="135" t="s">
        <v>433</v>
      </c>
      <c r="CU6" s="135" t="s">
        <v>434</v>
      </c>
      <c r="CV6" s="135" t="s">
        <v>435</v>
      </c>
      <c r="CW6" s="135" t="s">
        <v>436</v>
      </c>
      <c r="CX6" s="135" t="s">
        <v>437</v>
      </c>
      <c r="CY6" s="135" t="s">
        <v>438</v>
      </c>
      <c r="CZ6" s="135" t="s">
        <v>439</v>
      </c>
      <c r="DA6" s="135" t="s">
        <v>441</v>
      </c>
      <c r="DB6" s="135" t="s">
        <v>442</v>
      </c>
      <c r="DC6" s="135" t="s">
        <v>443</v>
      </c>
      <c r="DD6" s="135" t="s">
        <v>444</v>
      </c>
      <c r="DE6" s="135" t="s">
        <v>970</v>
      </c>
      <c r="DF6" s="135" t="s">
        <v>446</v>
      </c>
      <c r="DG6" s="135" t="s">
        <v>447</v>
      </c>
      <c r="DH6" s="135" t="s">
        <v>448</v>
      </c>
      <c r="DI6" s="135" t="s">
        <v>449</v>
      </c>
      <c r="DJ6" s="135" t="s">
        <v>450</v>
      </c>
      <c r="DK6" s="135" t="s">
        <v>971</v>
      </c>
      <c r="DL6" s="135" t="s">
        <v>452</v>
      </c>
      <c r="DM6" s="135" t="s">
        <v>453</v>
      </c>
      <c r="DN6" s="135" t="s">
        <v>454</v>
      </c>
      <c r="DO6" s="135" t="s">
        <v>455</v>
      </c>
      <c r="DP6" s="135" t="s">
        <v>455</v>
      </c>
      <c r="DQ6" s="135" t="s">
        <v>456</v>
      </c>
      <c r="DR6" s="135" t="s">
        <v>457</v>
      </c>
      <c r="DS6" s="135" t="s">
        <v>458</v>
      </c>
      <c r="DT6" s="135" t="s">
        <v>459</v>
      </c>
      <c r="DU6" s="135" t="s">
        <v>461</v>
      </c>
      <c r="DV6" s="135" t="s">
        <v>463</v>
      </c>
      <c r="DW6" s="135" t="s">
        <v>464</v>
      </c>
      <c r="DX6" s="135" t="s">
        <v>698</v>
      </c>
      <c r="DY6" s="135" t="s">
        <v>465</v>
      </c>
      <c r="DZ6" s="135" t="s">
        <v>466</v>
      </c>
      <c r="EA6" s="135" t="s">
        <v>467</v>
      </c>
      <c r="EB6" s="135" t="s">
        <v>468</v>
      </c>
      <c r="EC6" s="135" t="s">
        <v>469</v>
      </c>
      <c r="ED6" s="135" t="s">
        <v>470</v>
      </c>
      <c r="EE6" s="135" t="s">
        <v>471</v>
      </c>
      <c r="EF6" s="135" t="s">
        <v>472</v>
      </c>
      <c r="EG6" s="135" t="s">
        <v>473</v>
      </c>
      <c r="EH6" s="135" t="s">
        <v>474</v>
      </c>
      <c r="EI6" s="135" t="s">
        <v>475</v>
      </c>
      <c r="EJ6" s="135" t="s">
        <v>476</v>
      </c>
      <c r="EK6" s="135" t="s">
        <v>477</v>
      </c>
      <c r="EL6" s="135" t="s">
        <v>478</v>
      </c>
      <c r="EM6" s="135" t="s">
        <v>479</v>
      </c>
      <c r="EN6" s="135" t="s">
        <v>479</v>
      </c>
      <c r="EO6" s="135" t="s">
        <v>480</v>
      </c>
      <c r="EP6" s="135" t="s">
        <v>481</v>
      </c>
      <c r="EQ6" s="135" t="s">
        <v>482</v>
      </c>
      <c r="ER6" s="135" t="s">
        <v>483</v>
      </c>
      <c r="ES6" s="135" t="s">
        <v>484</v>
      </c>
      <c r="ET6" s="135" t="s">
        <v>485</v>
      </c>
      <c r="EU6" s="135" t="s">
        <v>486</v>
      </c>
      <c r="EV6" s="135" t="s">
        <v>487</v>
      </c>
      <c r="EW6" s="135" t="s">
        <v>488</v>
      </c>
      <c r="EX6" s="135" t="s">
        <v>489</v>
      </c>
      <c r="EY6" s="135" t="s">
        <v>490</v>
      </c>
      <c r="EZ6" s="135" t="s">
        <v>491</v>
      </c>
      <c r="FA6" s="135" t="s">
        <v>492</v>
      </c>
      <c r="FB6" s="135" t="s">
        <v>493</v>
      </c>
      <c r="FC6" s="135" t="s">
        <v>494</v>
      </c>
      <c r="FD6" s="135" t="s">
        <v>495</v>
      </c>
      <c r="FE6" s="135" t="s">
        <v>496</v>
      </c>
      <c r="FF6" s="135" t="s">
        <v>497</v>
      </c>
      <c r="FG6" s="135" t="s">
        <v>498</v>
      </c>
      <c r="FH6" s="135" t="s">
        <v>499</v>
      </c>
      <c r="FI6" s="135" t="s">
        <v>500</v>
      </c>
      <c r="FJ6" s="135" t="s">
        <v>501</v>
      </c>
      <c r="FK6" s="135" t="s">
        <v>502</v>
      </c>
      <c r="FL6" s="135" t="s">
        <v>503</v>
      </c>
      <c r="FM6" s="135" t="s">
        <v>506</v>
      </c>
      <c r="FN6" s="135" t="s">
        <v>701</v>
      </c>
      <c r="FO6" s="135" t="s">
        <v>702</v>
      </c>
      <c r="FP6" s="137" t="s">
        <v>511</v>
      </c>
      <c r="FQ6" s="137" t="s">
        <v>512</v>
      </c>
      <c r="FR6" s="137" t="s">
        <v>513</v>
      </c>
      <c r="FS6" s="137" t="s">
        <v>514</v>
      </c>
      <c r="FT6" s="137" t="s">
        <v>515</v>
      </c>
      <c r="FU6" s="108"/>
      <c r="FV6" s="112" t="s">
        <v>516</v>
      </c>
    </row>
    <row r="7" spans="1:178" s="371" customFormat="1">
      <c r="A7" s="368" t="s">
        <v>926</v>
      </c>
      <c r="B7" s="369" t="s">
        <v>517</v>
      </c>
      <c r="C7" s="369" t="s">
        <v>518</v>
      </c>
      <c r="D7" s="369" t="s">
        <v>636</v>
      </c>
      <c r="E7" s="370" t="s">
        <v>519</v>
      </c>
      <c r="F7" s="369" t="s">
        <v>520</v>
      </c>
      <c r="G7" s="369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1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/>
      <c r="AM7" s="401"/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2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/>
      <c r="BM7" s="401"/>
      <c r="BN7" s="401"/>
      <c r="BO7" s="401"/>
      <c r="BP7" s="401"/>
      <c r="BQ7" s="401"/>
      <c r="BR7" s="401"/>
      <c r="BS7" s="401"/>
      <c r="BT7" s="401"/>
      <c r="BU7" s="401"/>
      <c r="BV7" s="401"/>
      <c r="BW7" s="401"/>
      <c r="BX7" s="401"/>
      <c r="BY7" s="401"/>
      <c r="BZ7" s="401"/>
      <c r="CA7" s="401"/>
      <c r="CB7" s="401"/>
      <c r="CC7" s="401"/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3">
        <f>5000-5000+1580</f>
        <v>1580</v>
      </c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3">
        <f>7500-7500+5-5</f>
        <v>0</v>
      </c>
      <c r="DQ7" s="401"/>
      <c r="DR7" s="401"/>
      <c r="DS7" s="401"/>
      <c r="DT7" s="401"/>
      <c r="DU7" s="403">
        <f>5000-5000+1930</f>
        <v>1930</v>
      </c>
      <c r="DV7" s="401"/>
      <c r="DW7" s="401"/>
      <c r="DX7" s="401"/>
      <c r="DY7" s="404">
        <f>4-4</f>
        <v>0</v>
      </c>
      <c r="DZ7" s="401"/>
      <c r="EA7" s="401"/>
      <c r="EB7" s="401"/>
      <c r="EC7" s="401"/>
      <c r="ED7" s="401"/>
      <c r="EE7" s="403">
        <f>200-200+40-40</f>
        <v>0</v>
      </c>
      <c r="EF7" s="401"/>
      <c r="EG7" s="401"/>
      <c r="EH7" s="403">
        <f>5000-5000+90-90</f>
        <v>0</v>
      </c>
      <c r="EI7" s="401"/>
      <c r="EJ7" s="401"/>
      <c r="EK7" s="401"/>
      <c r="EL7" s="401"/>
      <c r="EM7" s="402" t="s">
        <v>850</v>
      </c>
      <c r="EN7" s="401"/>
      <c r="EO7" s="401"/>
      <c r="EP7" s="401"/>
      <c r="EQ7" s="401"/>
      <c r="ER7" s="401"/>
      <c r="ES7" s="401"/>
      <c r="ET7" s="401"/>
      <c r="EU7" s="401"/>
      <c r="EV7" s="401"/>
      <c r="EW7" s="401"/>
      <c r="EX7" s="401"/>
      <c r="EY7" s="401"/>
      <c r="EZ7" s="401"/>
      <c r="FA7" s="401"/>
      <c r="FB7" s="401"/>
      <c r="FC7" s="401"/>
      <c r="FD7" s="401"/>
      <c r="FE7" s="401"/>
      <c r="FF7" s="401"/>
      <c r="FG7" s="401"/>
      <c r="FH7" s="401"/>
      <c r="FI7" s="401"/>
      <c r="FJ7" s="401"/>
      <c r="FK7" s="401"/>
      <c r="FL7" s="401"/>
      <c r="FM7" s="401"/>
      <c r="FN7" s="401"/>
      <c r="FO7" s="401"/>
      <c r="FP7" s="375" t="s">
        <v>850</v>
      </c>
      <c r="FQ7" s="376" t="s">
        <v>972</v>
      </c>
      <c r="FR7" s="377" t="s">
        <v>522</v>
      </c>
      <c r="FS7" s="377" t="s">
        <v>850</v>
      </c>
      <c r="FT7" s="377" t="s">
        <v>523</v>
      </c>
      <c r="FU7" s="144">
        <f>SUM(H7:FO7)</f>
        <v>3510</v>
      </c>
      <c r="FV7" s="371" t="s">
        <v>888</v>
      </c>
    </row>
    <row r="8" spans="1:178" s="371" customFormat="1">
      <c r="A8" s="368" t="s">
        <v>926</v>
      </c>
      <c r="B8" s="369" t="s">
        <v>517</v>
      </c>
      <c r="C8" s="369" t="s">
        <v>518</v>
      </c>
      <c r="D8" s="369" t="s">
        <v>633</v>
      </c>
      <c r="E8" s="370" t="s">
        <v>519</v>
      </c>
      <c r="F8" s="369" t="s">
        <v>520</v>
      </c>
      <c r="G8" s="369"/>
      <c r="H8" s="402" t="s">
        <v>850</v>
      </c>
      <c r="I8" s="402">
        <v>100</v>
      </c>
      <c r="J8" s="403">
        <f>200-200</f>
        <v>0</v>
      </c>
      <c r="K8" s="403">
        <f>500-500+430+65</f>
        <v>495</v>
      </c>
      <c r="L8" s="402" t="s">
        <v>850</v>
      </c>
      <c r="M8" s="403">
        <f>500-500</f>
        <v>0</v>
      </c>
      <c r="N8" s="405">
        <f>800-800+1-1</f>
        <v>0</v>
      </c>
      <c r="O8" s="403">
        <f>1500-1500+350</f>
        <v>350</v>
      </c>
      <c r="P8" s="403">
        <f>100-100</f>
        <v>0</v>
      </c>
      <c r="Q8" s="402" t="s">
        <v>850</v>
      </c>
      <c r="R8" s="402" t="s">
        <v>850</v>
      </c>
      <c r="S8" s="403">
        <f>1000-1000</f>
        <v>0</v>
      </c>
      <c r="T8" s="405">
        <f>1000-1000+7-7</f>
        <v>0</v>
      </c>
      <c r="U8" s="403">
        <f>100-100</f>
        <v>0</v>
      </c>
      <c r="V8" s="402" t="s">
        <v>850</v>
      </c>
      <c r="W8" s="402" t="s">
        <v>850</v>
      </c>
      <c r="X8" s="403">
        <f>1000-1000+380</f>
        <v>380</v>
      </c>
      <c r="Y8" s="403">
        <f>2000-2000+370</f>
        <v>370</v>
      </c>
      <c r="Z8" s="403">
        <f>2000-2000</f>
        <v>0</v>
      </c>
      <c r="AA8" s="403">
        <f>2000-2000</f>
        <v>0</v>
      </c>
      <c r="AB8" s="403">
        <f>2000-2000+630</f>
        <v>630</v>
      </c>
      <c r="AC8" s="403">
        <f>2000-2000</f>
        <v>0</v>
      </c>
      <c r="AD8" s="403">
        <f>3000-3000+25</f>
        <v>25</v>
      </c>
      <c r="AE8" s="403">
        <f>2000-2000+2340</f>
        <v>2340</v>
      </c>
      <c r="AF8" s="403">
        <f>200-200</f>
        <v>0</v>
      </c>
      <c r="AG8" s="403">
        <f>500-500</f>
        <v>0</v>
      </c>
      <c r="AH8" s="403">
        <f>200-200</f>
        <v>0</v>
      </c>
      <c r="AI8" s="402" t="s">
        <v>850</v>
      </c>
      <c r="AJ8" s="402" t="s">
        <v>850</v>
      </c>
      <c r="AK8" s="403">
        <f>100-100</f>
        <v>0</v>
      </c>
      <c r="AL8" s="403">
        <f>100-100</f>
        <v>0</v>
      </c>
      <c r="AM8" s="403">
        <f>100-100</f>
        <v>0</v>
      </c>
      <c r="AN8" s="402" t="s">
        <v>850</v>
      </c>
      <c r="AO8" s="402" t="s">
        <v>850</v>
      </c>
      <c r="AP8" s="402" t="s">
        <v>850</v>
      </c>
      <c r="AQ8" s="402" t="s">
        <v>850</v>
      </c>
      <c r="AR8" s="402" t="s">
        <v>850</v>
      </c>
      <c r="AS8" s="402" t="s">
        <v>850</v>
      </c>
      <c r="AT8" s="402" t="s">
        <v>850</v>
      </c>
      <c r="AU8" s="405">
        <f>1-1</f>
        <v>0</v>
      </c>
      <c r="AV8" s="402" t="s">
        <v>850</v>
      </c>
      <c r="AW8" s="402" t="s">
        <v>850</v>
      </c>
      <c r="AX8" s="403">
        <f>200-200+20</f>
        <v>20</v>
      </c>
      <c r="AY8" s="403">
        <f>200-200+4</f>
        <v>4</v>
      </c>
      <c r="AZ8" s="403">
        <f>400-400</f>
        <v>0</v>
      </c>
      <c r="BA8" s="403">
        <v>210</v>
      </c>
      <c r="BB8" s="403">
        <f>500-500</f>
        <v>0</v>
      </c>
      <c r="BC8" s="403">
        <f>1000-1000</f>
        <v>0</v>
      </c>
      <c r="BD8" s="403">
        <f>800-800+320</f>
        <v>320</v>
      </c>
      <c r="BE8" s="403">
        <f>800-800+20</f>
        <v>20</v>
      </c>
      <c r="BF8" s="403">
        <f>500-500+4</f>
        <v>4</v>
      </c>
      <c r="BG8" s="403">
        <f>1000-1000+440</f>
        <v>440</v>
      </c>
      <c r="BH8" s="402" t="s">
        <v>850</v>
      </c>
      <c r="BI8" s="402" t="s">
        <v>850</v>
      </c>
      <c r="BJ8" s="402" t="s">
        <v>850</v>
      </c>
      <c r="BK8" s="402" t="s">
        <v>850</v>
      </c>
      <c r="BL8" s="403">
        <f>200-200+46</f>
        <v>46</v>
      </c>
      <c r="BM8" s="403">
        <f>200-200+80</f>
        <v>80</v>
      </c>
      <c r="BN8" s="403">
        <f>500-500+45</f>
        <v>45</v>
      </c>
      <c r="BO8" s="403">
        <v>330</v>
      </c>
      <c r="BP8" s="403">
        <f>800-800+380</f>
        <v>380</v>
      </c>
      <c r="BQ8" s="403">
        <f>300-300</f>
        <v>0</v>
      </c>
      <c r="BR8" s="403">
        <f>300-300</f>
        <v>0</v>
      </c>
      <c r="BS8" s="403">
        <f>1000-1000+250</f>
        <v>250</v>
      </c>
      <c r="BT8" s="405">
        <f>100-100+170-105</f>
        <v>65</v>
      </c>
      <c r="BU8" s="402" t="s">
        <v>850</v>
      </c>
      <c r="BV8" s="402" t="s">
        <v>850</v>
      </c>
      <c r="BW8" s="403">
        <f>500-500+18</f>
        <v>18</v>
      </c>
      <c r="BX8" s="403">
        <f>500-500</f>
        <v>0</v>
      </c>
      <c r="BY8" s="403">
        <f>1000-1000+50</f>
        <v>50</v>
      </c>
      <c r="BZ8" s="403">
        <f>1200-1200</f>
        <v>0</v>
      </c>
      <c r="CA8" s="403">
        <f>500-500</f>
        <v>0</v>
      </c>
      <c r="CB8" s="403">
        <f>3000-3000+760</f>
        <v>760</v>
      </c>
      <c r="CC8" s="403">
        <f>800-800</f>
        <v>0</v>
      </c>
      <c r="CD8" s="401"/>
      <c r="CE8" s="406">
        <v>20</v>
      </c>
      <c r="CF8" s="403">
        <f>1000-1000+6</f>
        <v>6</v>
      </c>
      <c r="CG8" s="403">
        <f>1000-1000+400</f>
        <v>400</v>
      </c>
      <c r="CH8" s="405">
        <f>1000-1000+320-50</f>
        <v>270</v>
      </c>
      <c r="CI8" s="405">
        <f>3000-3000+680-120</f>
        <v>560</v>
      </c>
      <c r="CJ8" s="405">
        <f>1000-1000+220-50</f>
        <v>170</v>
      </c>
      <c r="CK8" s="403">
        <f>2000-2000+10</f>
        <v>10</v>
      </c>
      <c r="CL8" s="403">
        <f>3000-3000</f>
        <v>0</v>
      </c>
      <c r="CM8" s="406">
        <v>590</v>
      </c>
      <c r="CN8" s="401"/>
      <c r="CO8" s="406">
        <v>1670</v>
      </c>
      <c r="CP8" s="403">
        <f>5000-5000</f>
        <v>0</v>
      </c>
      <c r="CQ8" s="403">
        <f>1500-1500</f>
        <v>0</v>
      </c>
      <c r="CR8" s="401"/>
      <c r="CS8" s="403">
        <f>1000-1000+7</f>
        <v>7</v>
      </c>
      <c r="CT8" s="402" t="s">
        <v>850</v>
      </c>
      <c r="CU8" s="403">
        <f>1000-1000</f>
        <v>0</v>
      </c>
      <c r="CV8" s="403">
        <f>1000-1000+990</f>
        <v>990</v>
      </c>
      <c r="CW8" s="403">
        <f>3000-3000+1010</f>
        <v>1010</v>
      </c>
      <c r="CX8" s="403">
        <f>4000-4000+3640</f>
        <v>3640</v>
      </c>
      <c r="CY8" s="403">
        <f>2000-2000</f>
        <v>0</v>
      </c>
      <c r="CZ8" s="401"/>
      <c r="DA8" s="403">
        <f>200-200</f>
        <v>0</v>
      </c>
      <c r="DB8" s="403">
        <f>200-200</f>
        <v>0</v>
      </c>
      <c r="DC8" s="402" t="s">
        <v>850</v>
      </c>
      <c r="DD8" s="403">
        <f>2000-2000+990</f>
        <v>990</v>
      </c>
      <c r="DE8" s="402" t="s">
        <v>850</v>
      </c>
      <c r="DF8" s="405">
        <f>2000-2000+90-20</f>
        <v>70</v>
      </c>
      <c r="DG8" s="405">
        <f>5000-5000+410-90</f>
        <v>320</v>
      </c>
      <c r="DH8" s="403">
        <f>1000-1000</f>
        <v>0</v>
      </c>
      <c r="DI8" s="403">
        <f>5000-5000</f>
        <v>0</v>
      </c>
      <c r="DJ8" s="403">
        <f>1000-1000</f>
        <v>0</v>
      </c>
      <c r="DK8" s="402" t="s">
        <v>850</v>
      </c>
      <c r="DL8" s="402" t="s">
        <v>850</v>
      </c>
      <c r="DM8" s="403">
        <f>1000-1000</f>
        <v>0</v>
      </c>
      <c r="DN8" s="402" t="s">
        <v>850</v>
      </c>
      <c r="DO8" s="403">
        <v>2210</v>
      </c>
      <c r="DP8" s="401"/>
      <c r="DQ8" s="403">
        <f>1000-1000</f>
        <v>0</v>
      </c>
      <c r="DR8" s="402" t="s">
        <v>850</v>
      </c>
      <c r="DS8" s="405">
        <f>10-10</f>
        <v>0</v>
      </c>
      <c r="DT8" s="402" t="s">
        <v>850</v>
      </c>
      <c r="DU8" s="401"/>
      <c r="DV8" s="402" t="s">
        <v>850</v>
      </c>
      <c r="DW8" s="405">
        <f>2000-2000+10-10</f>
        <v>0</v>
      </c>
      <c r="DX8" s="402" t="s">
        <v>850</v>
      </c>
      <c r="DY8" s="405">
        <f>16-16</f>
        <v>0</v>
      </c>
      <c r="DZ8" s="403">
        <f>3000-3000</f>
        <v>0</v>
      </c>
      <c r="EA8" s="403">
        <f>100-100</f>
        <v>0</v>
      </c>
      <c r="EB8" s="403">
        <f>500-500</f>
        <v>0</v>
      </c>
      <c r="EC8" s="403">
        <f>5000-5000</f>
        <v>0</v>
      </c>
      <c r="ED8" s="403">
        <f>2000-2000</f>
        <v>0</v>
      </c>
      <c r="EE8" s="401"/>
      <c r="EF8" s="403">
        <f>1000-1000</f>
        <v>0</v>
      </c>
      <c r="EG8" s="403">
        <f>3000-3000+320-90</f>
        <v>230</v>
      </c>
      <c r="EH8" s="401"/>
      <c r="EI8" s="403">
        <f>3000-3000</f>
        <v>0</v>
      </c>
      <c r="EJ8" s="403">
        <f>50-50</f>
        <v>0</v>
      </c>
      <c r="EK8" s="403">
        <f>500-500</f>
        <v>0</v>
      </c>
      <c r="EL8" s="403">
        <f>1000-1000</f>
        <v>0</v>
      </c>
      <c r="EM8" s="403">
        <f>7-7</f>
        <v>0</v>
      </c>
      <c r="EN8" s="403">
        <f>200-200</f>
        <v>0</v>
      </c>
      <c r="EO8" s="402" t="s">
        <v>850</v>
      </c>
      <c r="EP8" s="403">
        <f>3000-3000</f>
        <v>0</v>
      </c>
      <c r="EQ8" s="403">
        <f>1000-1000+320-60</f>
        <v>260</v>
      </c>
      <c r="ER8" s="403">
        <f>500-500</f>
        <v>0</v>
      </c>
      <c r="ES8" s="403">
        <f>50-50</f>
        <v>0</v>
      </c>
      <c r="ET8" s="402" t="s">
        <v>850</v>
      </c>
      <c r="EU8" s="405">
        <f>50-50+5-5</f>
        <v>0</v>
      </c>
      <c r="EV8" s="402" t="s">
        <v>850</v>
      </c>
      <c r="EW8" s="402" t="s">
        <v>850</v>
      </c>
      <c r="EX8" s="402" t="s">
        <v>850</v>
      </c>
      <c r="EY8" s="402" t="s">
        <v>850</v>
      </c>
      <c r="EZ8" s="402" t="s">
        <v>850</v>
      </c>
      <c r="FA8" s="402" t="s">
        <v>850</v>
      </c>
      <c r="FB8" s="402" t="s">
        <v>850</v>
      </c>
      <c r="FC8" s="402" t="s">
        <v>850</v>
      </c>
      <c r="FD8" s="402" t="s">
        <v>850</v>
      </c>
      <c r="FE8" s="402" t="s">
        <v>850</v>
      </c>
      <c r="FF8" s="402" t="s">
        <v>850</v>
      </c>
      <c r="FG8" s="402" t="s">
        <v>850</v>
      </c>
      <c r="FH8" s="402" t="s">
        <v>850</v>
      </c>
      <c r="FI8" s="402" t="s">
        <v>850</v>
      </c>
      <c r="FJ8" s="402" t="s">
        <v>850</v>
      </c>
      <c r="FK8" s="402" t="s">
        <v>850</v>
      </c>
      <c r="FL8" s="402" t="s">
        <v>850</v>
      </c>
      <c r="FM8" s="402" t="s">
        <v>850</v>
      </c>
      <c r="FN8" s="402" t="s">
        <v>850</v>
      </c>
      <c r="FO8" s="402" t="s">
        <v>850</v>
      </c>
      <c r="FP8" s="375"/>
      <c r="FQ8" s="376" t="s">
        <v>972</v>
      </c>
      <c r="FR8" s="377" t="s">
        <v>522</v>
      </c>
      <c r="FS8" s="377" t="s">
        <v>850</v>
      </c>
      <c r="FT8" s="377" t="s">
        <v>523</v>
      </c>
      <c r="FU8" s="144">
        <f t="shared" ref="FU8:FU71" si="0">SUM(H8:FO8)</f>
        <v>21155</v>
      </c>
      <c r="FV8" s="371" t="s">
        <v>888</v>
      </c>
    </row>
    <row r="9" spans="1:178" s="371" customFormat="1">
      <c r="A9" s="368" t="s">
        <v>926</v>
      </c>
      <c r="B9" s="369" t="s">
        <v>517</v>
      </c>
      <c r="C9" s="369" t="s">
        <v>518</v>
      </c>
      <c r="D9" s="369" t="s">
        <v>632</v>
      </c>
      <c r="E9" s="370" t="s">
        <v>519</v>
      </c>
      <c r="F9" s="369" t="s">
        <v>520</v>
      </c>
      <c r="G9" s="369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3">
        <v>1</v>
      </c>
      <c r="BJ9" s="402"/>
      <c r="BK9" s="402"/>
      <c r="BL9" s="402"/>
      <c r="BM9" s="402"/>
      <c r="BN9" s="402"/>
      <c r="BO9" s="403">
        <v>55</v>
      </c>
      <c r="BP9" s="402"/>
      <c r="BQ9" s="402"/>
      <c r="BR9" s="402"/>
      <c r="BS9" s="402"/>
      <c r="BT9" s="402"/>
      <c r="BU9" s="402"/>
      <c r="BV9" s="402"/>
      <c r="BW9" s="402"/>
      <c r="BX9" s="402"/>
      <c r="BY9" s="403">
        <v>130</v>
      </c>
      <c r="BZ9" s="402"/>
      <c r="CA9" s="402"/>
      <c r="CB9" s="402"/>
      <c r="CC9" s="402"/>
      <c r="CD9" s="403">
        <f>2000-2000+1</f>
        <v>1</v>
      </c>
      <c r="CE9" s="401"/>
      <c r="CF9" s="402"/>
      <c r="CG9" s="402"/>
      <c r="CH9" s="402"/>
      <c r="CI9" s="402"/>
      <c r="CJ9" s="402"/>
      <c r="CK9" s="402"/>
      <c r="CL9" s="402"/>
      <c r="CM9" s="401"/>
      <c r="CN9" s="405">
        <f>2000-2000+8-3</f>
        <v>5</v>
      </c>
      <c r="CO9" s="401"/>
      <c r="CP9" s="402"/>
      <c r="CQ9" s="402"/>
      <c r="CR9" s="405">
        <f>4000-4000+2-2</f>
        <v>0</v>
      </c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375"/>
      <c r="FQ9" s="376" t="s">
        <v>972</v>
      </c>
      <c r="FR9" s="377" t="s">
        <v>522</v>
      </c>
      <c r="FS9" s="377" t="s">
        <v>850</v>
      </c>
      <c r="FT9" s="377" t="s">
        <v>523</v>
      </c>
      <c r="FU9" s="144">
        <f t="shared" si="0"/>
        <v>192</v>
      </c>
      <c r="FV9" s="371" t="s">
        <v>888</v>
      </c>
    </row>
    <row r="10" spans="1:178" s="371" customFormat="1">
      <c r="A10" s="368" t="s">
        <v>926</v>
      </c>
      <c r="B10" s="369" t="s">
        <v>525</v>
      </c>
      <c r="C10" s="369" t="s">
        <v>518</v>
      </c>
      <c r="D10" s="369" t="s">
        <v>8</v>
      </c>
      <c r="E10" s="379" t="s">
        <v>519</v>
      </c>
      <c r="F10" s="369" t="s">
        <v>520</v>
      </c>
      <c r="G10" s="369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/>
      <c r="AS10" s="401"/>
      <c r="AT10" s="401"/>
      <c r="AU10" s="401"/>
      <c r="AV10" s="401"/>
      <c r="AW10" s="401"/>
      <c r="AX10" s="401"/>
      <c r="AY10" s="401"/>
      <c r="AZ10" s="401"/>
      <c r="BA10" s="402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/>
      <c r="CE10" s="401"/>
      <c r="CF10" s="401"/>
      <c r="CG10" s="401"/>
      <c r="CH10" s="401"/>
      <c r="CI10" s="401"/>
      <c r="CJ10" s="401"/>
      <c r="CK10" s="401"/>
      <c r="CL10" s="401"/>
      <c r="CM10" s="401"/>
      <c r="CN10" s="401"/>
      <c r="CO10" s="401"/>
      <c r="CP10" s="401"/>
      <c r="CQ10" s="401"/>
      <c r="CR10" s="401"/>
      <c r="CS10" s="401"/>
      <c r="CT10" s="401"/>
      <c r="CU10" s="401"/>
      <c r="CV10" s="401"/>
      <c r="CW10" s="401"/>
      <c r="CX10" s="401"/>
      <c r="CY10" s="401"/>
      <c r="CZ10" s="401"/>
      <c r="DA10" s="401"/>
      <c r="DB10" s="401"/>
      <c r="DC10" s="401"/>
      <c r="DD10" s="401"/>
      <c r="DE10" s="401"/>
      <c r="DF10" s="401"/>
      <c r="DG10" s="401"/>
      <c r="DH10" s="401"/>
      <c r="DI10" s="401"/>
      <c r="DJ10" s="401"/>
      <c r="DK10" s="401"/>
      <c r="DL10" s="401"/>
      <c r="DM10" s="401"/>
      <c r="DN10" s="401"/>
      <c r="DO10" s="402"/>
      <c r="DP10" s="401"/>
      <c r="DQ10" s="401"/>
      <c r="DR10" s="401"/>
      <c r="DS10" s="401"/>
      <c r="DT10" s="401"/>
      <c r="DU10" s="401"/>
      <c r="DV10" s="401"/>
      <c r="DW10" s="401"/>
      <c r="DX10" s="401"/>
      <c r="DY10" s="401"/>
      <c r="DZ10" s="401"/>
      <c r="EA10" s="401"/>
      <c r="EB10" s="401"/>
      <c r="EC10" s="401"/>
      <c r="ED10" s="401"/>
      <c r="EE10" s="401"/>
      <c r="EF10" s="401"/>
      <c r="EG10" s="401"/>
      <c r="EH10" s="401"/>
      <c r="EI10" s="401"/>
      <c r="EJ10" s="401"/>
      <c r="EK10" s="401"/>
      <c r="EL10" s="401"/>
      <c r="EM10" s="402"/>
      <c r="EN10" s="401"/>
      <c r="EO10" s="401"/>
      <c r="EP10" s="401"/>
      <c r="EQ10" s="401"/>
      <c r="ER10" s="401"/>
      <c r="ES10" s="401"/>
      <c r="ET10" s="401"/>
      <c r="EU10" s="401"/>
      <c r="EV10" s="405">
        <f>4000-4000+40-40</f>
        <v>0</v>
      </c>
      <c r="EW10" s="405">
        <f>8000-8000+1260-280</f>
        <v>980</v>
      </c>
      <c r="EX10" s="401"/>
      <c r="EY10" s="401"/>
      <c r="EZ10" s="401"/>
      <c r="FA10" s="401"/>
      <c r="FB10" s="401"/>
      <c r="FC10" s="405">
        <f>1000-1000+810-500-160</f>
        <v>150</v>
      </c>
      <c r="FD10" s="405">
        <f>500-500+2-2</f>
        <v>0</v>
      </c>
      <c r="FE10" s="401"/>
      <c r="FF10" s="401"/>
      <c r="FG10" s="401"/>
      <c r="FH10" s="405">
        <f>3000-3000+475-475</f>
        <v>0</v>
      </c>
      <c r="FI10" s="401"/>
      <c r="FJ10" s="401"/>
      <c r="FK10" s="401"/>
      <c r="FL10" s="401"/>
      <c r="FM10" s="401"/>
      <c r="FN10" s="401"/>
      <c r="FO10" s="401"/>
      <c r="FP10" s="375" t="s">
        <v>850</v>
      </c>
      <c r="FQ10" s="376" t="s">
        <v>972</v>
      </c>
      <c r="FR10" s="377" t="s">
        <v>522</v>
      </c>
      <c r="FS10" s="377" t="s">
        <v>850</v>
      </c>
      <c r="FT10" s="377" t="s">
        <v>523</v>
      </c>
      <c r="FU10" s="144">
        <f t="shared" si="0"/>
        <v>1130</v>
      </c>
      <c r="FV10" s="371" t="s">
        <v>888</v>
      </c>
    </row>
    <row r="11" spans="1:178" s="371" customFormat="1">
      <c r="A11" s="368" t="s">
        <v>926</v>
      </c>
      <c r="B11" s="369" t="s">
        <v>525</v>
      </c>
      <c r="C11" s="369" t="s">
        <v>518</v>
      </c>
      <c r="D11" s="369" t="s">
        <v>4</v>
      </c>
      <c r="E11" s="379" t="s">
        <v>519</v>
      </c>
      <c r="F11" s="369" t="s">
        <v>520</v>
      </c>
      <c r="G11" s="369"/>
      <c r="H11" s="402" t="s">
        <v>850</v>
      </c>
      <c r="I11" s="402" t="s">
        <v>850</v>
      </c>
      <c r="J11" s="402" t="s">
        <v>850</v>
      </c>
      <c r="K11" s="402"/>
      <c r="L11" s="402" t="s">
        <v>850</v>
      </c>
      <c r="M11" s="402" t="s">
        <v>850</v>
      </c>
      <c r="N11" s="402"/>
      <c r="O11" s="402"/>
      <c r="P11" s="402" t="s">
        <v>850</v>
      </c>
      <c r="Q11" s="402" t="s">
        <v>850</v>
      </c>
      <c r="R11" s="402" t="s">
        <v>850</v>
      </c>
      <c r="S11" s="402" t="s">
        <v>850</v>
      </c>
      <c r="T11" s="402"/>
      <c r="U11" s="402" t="s">
        <v>850</v>
      </c>
      <c r="V11" s="402" t="s">
        <v>850</v>
      </c>
      <c r="W11" s="402" t="s">
        <v>850</v>
      </c>
      <c r="X11" s="402" t="s">
        <v>850</v>
      </c>
      <c r="Y11" s="402" t="s">
        <v>850</v>
      </c>
      <c r="Z11" s="402" t="s">
        <v>850</v>
      </c>
      <c r="AA11" s="402" t="s">
        <v>850</v>
      </c>
      <c r="AB11" s="402"/>
      <c r="AC11" s="402" t="s">
        <v>850</v>
      </c>
      <c r="AD11" s="402" t="s">
        <v>850</v>
      </c>
      <c r="AE11" s="402" t="s">
        <v>850</v>
      </c>
      <c r="AF11" s="402" t="s">
        <v>850</v>
      </c>
      <c r="AG11" s="402" t="s">
        <v>850</v>
      </c>
      <c r="AH11" s="402" t="s">
        <v>850</v>
      </c>
      <c r="AI11" s="402" t="s">
        <v>850</v>
      </c>
      <c r="AJ11" s="402" t="s">
        <v>850</v>
      </c>
      <c r="AK11" s="402" t="s">
        <v>850</v>
      </c>
      <c r="AL11" s="402" t="s">
        <v>850</v>
      </c>
      <c r="AM11" s="402" t="s">
        <v>850</v>
      </c>
      <c r="AN11" s="402" t="s">
        <v>850</v>
      </c>
      <c r="AO11" s="402" t="s">
        <v>850</v>
      </c>
      <c r="AP11" s="402" t="s">
        <v>850</v>
      </c>
      <c r="AQ11" s="402" t="s">
        <v>850</v>
      </c>
      <c r="AR11" s="402" t="s">
        <v>850</v>
      </c>
      <c r="AS11" s="403">
        <f>1000-1000</f>
        <v>0</v>
      </c>
      <c r="AT11" s="402" t="s">
        <v>850</v>
      </c>
      <c r="AU11" s="402"/>
      <c r="AV11" s="402" t="s">
        <v>850</v>
      </c>
      <c r="AW11" s="402" t="s">
        <v>850</v>
      </c>
      <c r="AX11" s="402"/>
      <c r="AY11" s="402" t="s">
        <v>850</v>
      </c>
      <c r="AZ11" s="402" t="s">
        <v>850</v>
      </c>
      <c r="BA11" s="402"/>
      <c r="BB11" s="402" t="s">
        <v>850</v>
      </c>
      <c r="BC11" s="402" t="s">
        <v>850</v>
      </c>
      <c r="BD11" s="402"/>
      <c r="BE11" s="402" t="s">
        <v>850</v>
      </c>
      <c r="BF11" s="402" t="s">
        <v>850</v>
      </c>
      <c r="BG11" s="402"/>
      <c r="BH11" s="402" t="s">
        <v>850</v>
      </c>
      <c r="BI11" s="402" t="s">
        <v>850</v>
      </c>
      <c r="BJ11" s="402" t="s">
        <v>850</v>
      </c>
      <c r="BK11" s="402" t="s">
        <v>850</v>
      </c>
      <c r="BL11" s="402" t="s">
        <v>850</v>
      </c>
      <c r="BM11" s="402"/>
      <c r="BN11" s="402"/>
      <c r="BO11" s="402"/>
      <c r="BP11" s="402" t="s">
        <v>850</v>
      </c>
      <c r="BQ11" s="402" t="s">
        <v>850</v>
      </c>
      <c r="BR11" s="402" t="s">
        <v>850</v>
      </c>
      <c r="BS11" s="402"/>
      <c r="BT11" s="402"/>
      <c r="BU11" s="402" t="s">
        <v>850</v>
      </c>
      <c r="BV11" s="402" t="s">
        <v>850</v>
      </c>
      <c r="BW11" s="402"/>
      <c r="BX11" s="402"/>
      <c r="BY11" s="402"/>
      <c r="BZ11" s="402"/>
      <c r="CA11" s="402" t="s">
        <v>850</v>
      </c>
      <c r="CB11" s="402"/>
      <c r="CC11" s="402"/>
      <c r="CD11" s="402"/>
      <c r="CE11" s="401"/>
      <c r="CF11" s="402" t="s">
        <v>850</v>
      </c>
      <c r="CG11" s="402" t="s">
        <v>850</v>
      </c>
      <c r="CH11" s="402" t="s">
        <v>850</v>
      </c>
      <c r="CI11" s="402" t="s">
        <v>850</v>
      </c>
      <c r="CJ11" s="402" t="s">
        <v>850</v>
      </c>
      <c r="CK11" s="402" t="s">
        <v>850</v>
      </c>
      <c r="CL11" s="402" t="s">
        <v>850</v>
      </c>
      <c r="CM11" s="401"/>
      <c r="CN11" s="402"/>
      <c r="CO11" s="401"/>
      <c r="CP11" s="402" t="s">
        <v>850</v>
      </c>
      <c r="CQ11" s="402" t="s">
        <v>850</v>
      </c>
      <c r="CR11" s="402" t="s">
        <v>850</v>
      </c>
      <c r="CS11" s="402" t="s">
        <v>850</v>
      </c>
      <c r="CT11" s="402" t="s">
        <v>850</v>
      </c>
      <c r="CU11" s="402" t="s">
        <v>850</v>
      </c>
      <c r="CV11" s="402"/>
      <c r="CW11" s="402"/>
      <c r="CX11" s="402"/>
      <c r="CY11" s="402"/>
      <c r="CZ11" s="402"/>
      <c r="DA11" s="402"/>
      <c r="DB11" s="402"/>
      <c r="DC11" s="402" t="s">
        <v>850</v>
      </c>
      <c r="DD11" s="402"/>
      <c r="DE11" s="402" t="s">
        <v>850</v>
      </c>
      <c r="DF11" s="402" t="s">
        <v>850</v>
      </c>
      <c r="DG11" s="402" t="s">
        <v>850</v>
      </c>
      <c r="DH11" s="402" t="s">
        <v>850</v>
      </c>
      <c r="DI11" s="402" t="s">
        <v>850</v>
      </c>
      <c r="DJ11" s="402" t="s">
        <v>850</v>
      </c>
      <c r="DK11" s="402" t="s">
        <v>850</v>
      </c>
      <c r="DL11" s="402" t="s">
        <v>850</v>
      </c>
      <c r="DM11" s="402" t="s">
        <v>850</v>
      </c>
      <c r="DN11" s="402" t="s">
        <v>850</v>
      </c>
      <c r="DO11" s="402"/>
      <c r="DP11" s="402"/>
      <c r="DQ11" s="402" t="s">
        <v>850</v>
      </c>
      <c r="DR11" s="402" t="s">
        <v>850</v>
      </c>
      <c r="DS11" s="402"/>
      <c r="DT11" s="402" t="s">
        <v>850</v>
      </c>
      <c r="DU11" s="402"/>
      <c r="DV11" s="402" t="s">
        <v>850</v>
      </c>
      <c r="DW11" s="402" t="s">
        <v>850</v>
      </c>
      <c r="DX11" s="402" t="s">
        <v>850</v>
      </c>
      <c r="DY11" s="402"/>
      <c r="DZ11" s="402" t="s">
        <v>850</v>
      </c>
      <c r="EA11" s="402" t="s">
        <v>850</v>
      </c>
      <c r="EB11" s="402" t="s">
        <v>850</v>
      </c>
      <c r="EC11" s="402" t="s">
        <v>850</v>
      </c>
      <c r="ED11" s="402" t="s">
        <v>850</v>
      </c>
      <c r="EE11" s="402"/>
      <c r="EF11" s="402" t="s">
        <v>850</v>
      </c>
      <c r="EG11" s="402" t="s">
        <v>850</v>
      </c>
      <c r="EH11" s="402" t="s">
        <v>850</v>
      </c>
      <c r="EI11" s="402" t="s">
        <v>850</v>
      </c>
      <c r="EJ11" s="402" t="s">
        <v>850</v>
      </c>
      <c r="EK11" s="402" t="s">
        <v>850</v>
      </c>
      <c r="EL11" s="402" t="s">
        <v>850</v>
      </c>
      <c r="EM11" s="402"/>
      <c r="EN11" s="402" t="s">
        <v>850</v>
      </c>
      <c r="EO11" s="402" t="s">
        <v>850</v>
      </c>
      <c r="EP11" s="402" t="s">
        <v>850</v>
      </c>
      <c r="EQ11" s="402"/>
      <c r="ER11" s="402" t="s">
        <v>850</v>
      </c>
      <c r="ES11" s="402" t="s">
        <v>850</v>
      </c>
      <c r="ET11" s="402" t="s">
        <v>850</v>
      </c>
      <c r="EU11" s="402"/>
      <c r="EV11" s="401"/>
      <c r="EW11" s="401"/>
      <c r="EX11" s="405">
        <f>5000-5000+320-160</f>
        <v>160</v>
      </c>
      <c r="EY11" s="403">
        <f>500-500</f>
        <v>0</v>
      </c>
      <c r="EZ11" s="405">
        <f>2000-2000+715-560</f>
        <v>155</v>
      </c>
      <c r="FA11" s="405">
        <f>2000-2000+1680-520</f>
        <v>1160</v>
      </c>
      <c r="FB11" s="403">
        <f>2000-2000</f>
        <v>0</v>
      </c>
      <c r="FC11" s="402"/>
      <c r="FD11" s="401"/>
      <c r="FE11" s="403">
        <f>500-500</f>
        <v>0</v>
      </c>
      <c r="FF11" s="405">
        <f>500-500+1300-500</f>
        <v>800</v>
      </c>
      <c r="FG11" s="403">
        <f>3000-3000</f>
        <v>0</v>
      </c>
      <c r="FH11" s="401"/>
      <c r="FI11" s="403">
        <f>3000-3000</f>
        <v>0</v>
      </c>
      <c r="FJ11" s="403">
        <f>5000-5000</f>
        <v>0</v>
      </c>
      <c r="FK11" s="403">
        <f>4000-4000</f>
        <v>0</v>
      </c>
      <c r="FL11" s="402" t="s">
        <v>850</v>
      </c>
      <c r="FM11" s="402" t="s">
        <v>850</v>
      </c>
      <c r="FN11" s="402" t="s">
        <v>850</v>
      </c>
      <c r="FO11" s="402" t="s">
        <v>850</v>
      </c>
      <c r="FP11" s="375"/>
      <c r="FQ11" s="376" t="s">
        <v>972</v>
      </c>
      <c r="FR11" s="377" t="s">
        <v>522</v>
      </c>
      <c r="FS11" s="377" t="s">
        <v>850</v>
      </c>
      <c r="FT11" s="377" t="s">
        <v>523</v>
      </c>
      <c r="FU11" s="144">
        <f t="shared" si="0"/>
        <v>2275</v>
      </c>
      <c r="FV11" s="371" t="s">
        <v>888</v>
      </c>
    </row>
    <row r="12" spans="1:178" s="371" customFormat="1">
      <c r="A12" s="368" t="s">
        <v>926</v>
      </c>
      <c r="B12" s="369" t="s">
        <v>525</v>
      </c>
      <c r="C12" s="369" t="s">
        <v>518</v>
      </c>
      <c r="D12" s="369" t="s">
        <v>3</v>
      </c>
      <c r="E12" s="379" t="s">
        <v>519</v>
      </c>
      <c r="F12" s="369" t="s">
        <v>520</v>
      </c>
      <c r="G12" s="369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1"/>
      <c r="CF12" s="402"/>
      <c r="CG12" s="402"/>
      <c r="CH12" s="402"/>
      <c r="CI12" s="402"/>
      <c r="CJ12" s="402"/>
      <c r="CK12" s="402"/>
      <c r="CL12" s="402"/>
      <c r="CM12" s="401"/>
      <c r="CN12" s="402"/>
      <c r="CO12" s="401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375"/>
      <c r="FQ12" s="376" t="s">
        <v>972</v>
      </c>
      <c r="FR12" s="377" t="s">
        <v>522</v>
      </c>
      <c r="FS12" s="377" t="s">
        <v>850</v>
      </c>
      <c r="FT12" s="377" t="s">
        <v>523</v>
      </c>
      <c r="FU12" s="144">
        <f t="shared" si="0"/>
        <v>0</v>
      </c>
      <c r="FV12" s="371" t="s">
        <v>888</v>
      </c>
    </row>
    <row r="13" spans="1:178" s="371" customFormat="1" hidden="1">
      <c r="A13" s="368" t="s">
        <v>526</v>
      </c>
      <c r="B13" s="369" t="s">
        <v>517</v>
      </c>
      <c r="C13" s="369" t="s">
        <v>527</v>
      </c>
      <c r="D13" s="369" t="s">
        <v>8</v>
      </c>
      <c r="E13" s="370" t="s">
        <v>528</v>
      </c>
      <c r="F13" s="369" t="s">
        <v>520</v>
      </c>
      <c r="G13" s="369"/>
      <c r="BA13" s="372"/>
      <c r="DO13" s="372"/>
      <c r="EM13" s="372" t="s">
        <v>850</v>
      </c>
      <c r="FP13" s="375" t="s">
        <v>850</v>
      </c>
      <c r="FQ13" s="376" t="s">
        <v>972</v>
      </c>
      <c r="FR13" s="377" t="s">
        <v>522</v>
      </c>
      <c r="FS13" s="377" t="s">
        <v>850</v>
      </c>
      <c r="FT13" s="377" t="s">
        <v>529</v>
      </c>
      <c r="FU13" s="144">
        <f t="shared" si="0"/>
        <v>0</v>
      </c>
      <c r="FV13" s="371" t="s">
        <v>888</v>
      </c>
    </row>
    <row r="14" spans="1:178" s="371" customFormat="1" hidden="1">
      <c r="A14" s="368" t="s">
        <v>526</v>
      </c>
      <c r="B14" s="369" t="s">
        <v>517</v>
      </c>
      <c r="C14" s="369" t="s">
        <v>527</v>
      </c>
      <c r="D14" s="369" t="s">
        <v>4</v>
      </c>
      <c r="E14" s="370" t="s">
        <v>528</v>
      </c>
      <c r="F14" s="369" t="s">
        <v>520</v>
      </c>
      <c r="G14" s="369"/>
      <c r="H14" s="372" t="s">
        <v>850</v>
      </c>
      <c r="I14" s="372" t="s">
        <v>850</v>
      </c>
      <c r="J14" s="372" t="s">
        <v>850</v>
      </c>
      <c r="K14" s="372" t="s">
        <v>850</v>
      </c>
      <c r="L14" s="372" t="s">
        <v>850</v>
      </c>
      <c r="M14" s="372" t="s">
        <v>850</v>
      </c>
      <c r="N14" s="372" t="s">
        <v>850</v>
      </c>
      <c r="O14" s="372" t="s">
        <v>850</v>
      </c>
      <c r="P14" s="372" t="s">
        <v>850</v>
      </c>
      <c r="Q14" s="372" t="s">
        <v>850</v>
      </c>
      <c r="R14" s="372" t="s">
        <v>850</v>
      </c>
      <c r="S14" s="372" t="s">
        <v>850</v>
      </c>
      <c r="T14" s="372" t="s">
        <v>850</v>
      </c>
      <c r="U14" s="372" t="s">
        <v>850</v>
      </c>
      <c r="V14" s="372" t="s">
        <v>850</v>
      </c>
      <c r="W14" s="372" t="s">
        <v>850</v>
      </c>
      <c r="X14" s="372" t="s">
        <v>850</v>
      </c>
      <c r="Y14" s="372" t="s">
        <v>850</v>
      </c>
      <c r="Z14" s="372" t="s">
        <v>850</v>
      </c>
      <c r="AA14" s="372" t="s">
        <v>850</v>
      </c>
      <c r="AB14" s="372" t="s">
        <v>850</v>
      </c>
      <c r="AC14" s="372" t="s">
        <v>850</v>
      </c>
      <c r="AD14" s="372" t="s">
        <v>850</v>
      </c>
      <c r="AE14" s="372" t="s">
        <v>850</v>
      </c>
      <c r="AF14" s="372" t="s">
        <v>850</v>
      </c>
      <c r="AG14" s="372" t="s">
        <v>850</v>
      </c>
      <c r="AH14" s="372" t="s">
        <v>850</v>
      </c>
      <c r="AI14" s="372" t="s">
        <v>850</v>
      </c>
      <c r="AJ14" s="372" t="s">
        <v>850</v>
      </c>
      <c r="AK14" s="372" t="s">
        <v>850</v>
      </c>
      <c r="AL14" s="372" t="s">
        <v>850</v>
      </c>
      <c r="AM14" s="372" t="s">
        <v>850</v>
      </c>
      <c r="AN14" s="372" t="s">
        <v>850</v>
      </c>
      <c r="AO14" s="372" t="s">
        <v>850</v>
      </c>
      <c r="AP14" s="372" t="s">
        <v>850</v>
      </c>
      <c r="AQ14" s="372" t="s">
        <v>850</v>
      </c>
      <c r="AR14" s="372" t="s">
        <v>850</v>
      </c>
      <c r="AS14" s="372" t="s">
        <v>850</v>
      </c>
      <c r="AT14" s="372" t="s">
        <v>850</v>
      </c>
      <c r="AU14" s="372" t="s">
        <v>850</v>
      </c>
      <c r="AV14" s="372" t="s">
        <v>850</v>
      </c>
      <c r="AW14" s="372" t="s">
        <v>850</v>
      </c>
      <c r="AX14" s="372" t="s">
        <v>850</v>
      </c>
      <c r="AY14" s="372" t="s">
        <v>850</v>
      </c>
      <c r="AZ14" s="372" t="s">
        <v>850</v>
      </c>
      <c r="BA14" s="372"/>
      <c r="BB14" s="372" t="s">
        <v>850</v>
      </c>
      <c r="BC14" s="372" t="s">
        <v>850</v>
      </c>
      <c r="BD14" s="372" t="s">
        <v>850</v>
      </c>
      <c r="BE14" s="372" t="s">
        <v>850</v>
      </c>
      <c r="BF14" s="372" t="s">
        <v>850</v>
      </c>
      <c r="BG14" s="372" t="s">
        <v>850</v>
      </c>
      <c r="BH14" s="372" t="s">
        <v>850</v>
      </c>
      <c r="BI14" s="372" t="s">
        <v>850</v>
      </c>
      <c r="BJ14" s="372" t="s">
        <v>850</v>
      </c>
      <c r="BK14" s="372" t="s">
        <v>850</v>
      </c>
      <c r="BL14" s="372" t="s">
        <v>850</v>
      </c>
      <c r="BM14" s="372" t="s">
        <v>850</v>
      </c>
      <c r="BN14" s="372" t="s">
        <v>850</v>
      </c>
      <c r="BO14" s="372" t="s">
        <v>850</v>
      </c>
      <c r="BP14" s="372" t="s">
        <v>850</v>
      </c>
      <c r="BQ14" s="372" t="s">
        <v>850</v>
      </c>
      <c r="BR14" s="372" t="s">
        <v>850</v>
      </c>
      <c r="BS14" s="372" t="s">
        <v>850</v>
      </c>
      <c r="BT14" s="372" t="s">
        <v>850</v>
      </c>
      <c r="BU14" s="372" t="s">
        <v>850</v>
      </c>
      <c r="BV14" s="372" t="s">
        <v>850</v>
      </c>
      <c r="BW14" s="372" t="s">
        <v>850</v>
      </c>
      <c r="BX14" s="372" t="s">
        <v>850</v>
      </c>
      <c r="BY14" s="372" t="s">
        <v>850</v>
      </c>
      <c r="BZ14" s="372" t="s">
        <v>850</v>
      </c>
      <c r="CA14" s="372" t="s">
        <v>850</v>
      </c>
      <c r="CB14" s="372" t="s">
        <v>850</v>
      </c>
      <c r="CC14" s="372" t="s">
        <v>850</v>
      </c>
      <c r="CD14" s="372" t="s">
        <v>850</v>
      </c>
      <c r="CF14" s="372" t="s">
        <v>850</v>
      </c>
      <c r="CG14" s="372" t="s">
        <v>850</v>
      </c>
      <c r="CH14" s="372" t="s">
        <v>850</v>
      </c>
      <c r="CI14" s="372" t="s">
        <v>850</v>
      </c>
      <c r="CJ14" s="372" t="s">
        <v>850</v>
      </c>
      <c r="CK14" s="372" t="s">
        <v>850</v>
      </c>
      <c r="CL14" s="372" t="s">
        <v>850</v>
      </c>
      <c r="CN14" s="372" t="s">
        <v>850</v>
      </c>
      <c r="CP14" s="372" t="s">
        <v>850</v>
      </c>
      <c r="CQ14" s="372" t="s">
        <v>850</v>
      </c>
      <c r="CR14" s="372" t="s">
        <v>850</v>
      </c>
      <c r="CS14" s="372" t="s">
        <v>850</v>
      </c>
      <c r="CT14" s="372" t="s">
        <v>850</v>
      </c>
      <c r="CU14" s="372" t="s">
        <v>850</v>
      </c>
      <c r="CV14" s="372" t="s">
        <v>850</v>
      </c>
      <c r="CW14" s="372" t="s">
        <v>850</v>
      </c>
      <c r="CX14" s="372" t="s">
        <v>850</v>
      </c>
      <c r="CY14" s="372" t="s">
        <v>850</v>
      </c>
      <c r="CZ14" s="372" t="s">
        <v>850</v>
      </c>
      <c r="DA14" s="372" t="s">
        <v>850</v>
      </c>
      <c r="DB14" s="372" t="s">
        <v>850</v>
      </c>
      <c r="DC14" s="372" t="s">
        <v>850</v>
      </c>
      <c r="DD14" s="372" t="s">
        <v>850</v>
      </c>
      <c r="DE14" s="372" t="s">
        <v>850</v>
      </c>
      <c r="DF14" s="372" t="s">
        <v>850</v>
      </c>
      <c r="DG14" s="372" t="s">
        <v>850</v>
      </c>
      <c r="DH14" s="372" t="s">
        <v>850</v>
      </c>
      <c r="DI14" s="372" t="s">
        <v>850</v>
      </c>
      <c r="DJ14" s="372" t="s">
        <v>850</v>
      </c>
      <c r="DK14" s="372" t="s">
        <v>850</v>
      </c>
      <c r="DL14" s="372" t="s">
        <v>850</v>
      </c>
      <c r="DM14" s="372" t="s">
        <v>850</v>
      </c>
      <c r="DN14" s="372" t="s">
        <v>850</v>
      </c>
      <c r="DO14" s="372"/>
      <c r="DP14" s="373">
        <f>100-100</f>
        <v>0</v>
      </c>
      <c r="DQ14" s="372" t="s">
        <v>850</v>
      </c>
      <c r="DR14" s="372" t="s">
        <v>850</v>
      </c>
      <c r="DS14" s="372" t="s">
        <v>850</v>
      </c>
      <c r="DT14" s="372" t="s">
        <v>850</v>
      </c>
      <c r="DU14" s="372" t="s">
        <v>850</v>
      </c>
      <c r="DV14" s="372" t="s">
        <v>850</v>
      </c>
      <c r="DW14" s="372" t="s">
        <v>850</v>
      </c>
      <c r="DX14" s="372" t="s">
        <v>850</v>
      </c>
      <c r="DY14" s="372" t="s">
        <v>850</v>
      </c>
      <c r="DZ14" s="372" t="s">
        <v>850</v>
      </c>
      <c r="EA14" s="372" t="s">
        <v>850</v>
      </c>
      <c r="EB14" s="372" t="s">
        <v>850</v>
      </c>
      <c r="EC14" s="373">
        <f>100-100</f>
        <v>0</v>
      </c>
      <c r="ED14" s="373">
        <f>100-100</f>
        <v>0</v>
      </c>
      <c r="EE14" s="372" t="s">
        <v>850</v>
      </c>
      <c r="EF14" s="372" t="s">
        <v>850</v>
      </c>
      <c r="EG14" s="373">
        <f>200-200</f>
        <v>0</v>
      </c>
      <c r="EH14" s="373">
        <f>100-100</f>
        <v>0</v>
      </c>
      <c r="EI14" s="373">
        <f>20-20</f>
        <v>0</v>
      </c>
      <c r="EJ14" s="372" t="s">
        <v>850</v>
      </c>
      <c r="EK14" s="372" t="s">
        <v>850</v>
      </c>
      <c r="EL14" s="373">
        <f>50-50</f>
        <v>0</v>
      </c>
      <c r="EM14" s="372"/>
      <c r="EN14" s="373">
        <f>50-50</f>
        <v>0</v>
      </c>
      <c r="EO14" s="372" t="s">
        <v>850</v>
      </c>
      <c r="EP14" s="373">
        <f>200-200</f>
        <v>0</v>
      </c>
      <c r="EQ14" s="372" t="s">
        <v>850</v>
      </c>
      <c r="ER14" s="372" t="s">
        <v>850</v>
      </c>
      <c r="ES14" s="372" t="s">
        <v>850</v>
      </c>
      <c r="ET14" s="372" t="s">
        <v>850</v>
      </c>
      <c r="EU14" s="372" t="s">
        <v>850</v>
      </c>
      <c r="EV14" s="372" t="s">
        <v>850</v>
      </c>
      <c r="EW14" s="372" t="s">
        <v>850</v>
      </c>
      <c r="EX14" s="373">
        <f>80-80</f>
        <v>0</v>
      </c>
      <c r="EY14" s="372" t="s">
        <v>850</v>
      </c>
      <c r="EZ14" s="372" t="s">
        <v>850</v>
      </c>
      <c r="FA14" s="372" t="s">
        <v>850</v>
      </c>
      <c r="FB14" s="372" t="s">
        <v>850</v>
      </c>
      <c r="FC14" s="372" t="s">
        <v>850</v>
      </c>
      <c r="FD14" s="372" t="s">
        <v>850</v>
      </c>
      <c r="FE14" s="372" t="s">
        <v>850</v>
      </c>
      <c r="FF14" s="372" t="s">
        <v>850</v>
      </c>
      <c r="FG14" s="372" t="s">
        <v>850</v>
      </c>
      <c r="FH14" s="372" t="s">
        <v>850</v>
      </c>
      <c r="FI14" s="372" t="s">
        <v>850</v>
      </c>
      <c r="FJ14" s="372" t="s">
        <v>850</v>
      </c>
      <c r="FK14" s="372" t="s">
        <v>850</v>
      </c>
      <c r="FL14" s="372" t="s">
        <v>850</v>
      </c>
      <c r="FM14" s="372" t="s">
        <v>850</v>
      </c>
      <c r="FN14" s="372" t="s">
        <v>850</v>
      </c>
      <c r="FO14" s="372" t="s">
        <v>850</v>
      </c>
      <c r="FP14" s="375"/>
      <c r="FQ14" s="376" t="s">
        <v>972</v>
      </c>
      <c r="FR14" s="377" t="s">
        <v>522</v>
      </c>
      <c r="FS14" s="377" t="s">
        <v>850</v>
      </c>
      <c r="FT14" s="377" t="s">
        <v>529</v>
      </c>
      <c r="FU14" s="144">
        <f t="shared" si="0"/>
        <v>0</v>
      </c>
      <c r="FV14" s="371" t="s">
        <v>888</v>
      </c>
    </row>
    <row r="15" spans="1:178" s="371" customFormat="1" hidden="1">
      <c r="A15" s="368" t="s">
        <v>526</v>
      </c>
      <c r="B15" s="369" t="s">
        <v>517</v>
      </c>
      <c r="C15" s="369" t="s">
        <v>527</v>
      </c>
      <c r="D15" s="369" t="s">
        <v>3</v>
      </c>
      <c r="E15" s="370" t="s">
        <v>528</v>
      </c>
      <c r="F15" s="369" t="s">
        <v>520</v>
      </c>
      <c r="G15" s="369"/>
      <c r="H15" s="372"/>
      <c r="I15" s="372"/>
      <c r="J15" s="372"/>
      <c r="K15" s="372"/>
      <c r="L15" s="372"/>
      <c r="M15" s="372"/>
      <c r="N15" s="372"/>
      <c r="O15" s="372"/>
      <c r="P15" s="372"/>
      <c r="Q15" s="372"/>
      <c r="R15" s="372"/>
      <c r="S15" s="372"/>
      <c r="T15" s="372"/>
      <c r="U15" s="372"/>
      <c r="V15" s="372"/>
      <c r="W15" s="372"/>
      <c r="X15" s="372"/>
      <c r="Y15" s="372"/>
      <c r="Z15" s="372"/>
      <c r="AA15" s="372"/>
      <c r="AB15" s="372"/>
      <c r="AC15" s="372"/>
      <c r="AD15" s="372"/>
      <c r="AE15" s="372"/>
      <c r="AF15" s="372"/>
      <c r="AG15" s="372"/>
      <c r="AH15" s="372"/>
      <c r="AI15" s="372"/>
      <c r="AJ15" s="372"/>
      <c r="AK15" s="372"/>
      <c r="AL15" s="372"/>
      <c r="AM15" s="372"/>
      <c r="AN15" s="372"/>
      <c r="AO15" s="372"/>
      <c r="AP15" s="372"/>
      <c r="AQ15" s="372"/>
      <c r="AR15" s="372"/>
      <c r="AS15" s="372"/>
      <c r="AT15" s="372"/>
      <c r="AU15" s="372"/>
      <c r="AV15" s="372"/>
      <c r="AW15" s="372"/>
      <c r="AX15" s="372"/>
      <c r="AY15" s="372"/>
      <c r="AZ15" s="372"/>
      <c r="BA15" s="372"/>
      <c r="BB15" s="372"/>
      <c r="BC15" s="372"/>
      <c r="BD15" s="372"/>
      <c r="BE15" s="372"/>
      <c r="BF15" s="372"/>
      <c r="BG15" s="372"/>
      <c r="BH15" s="372"/>
      <c r="BI15" s="372"/>
      <c r="BJ15" s="372"/>
      <c r="BK15" s="372"/>
      <c r="BL15" s="372"/>
      <c r="BM15" s="372"/>
      <c r="BN15" s="372"/>
      <c r="BO15" s="372"/>
      <c r="BP15" s="372"/>
      <c r="BQ15" s="372"/>
      <c r="BR15" s="372"/>
      <c r="BS15" s="372"/>
      <c r="BT15" s="372"/>
      <c r="BU15" s="372"/>
      <c r="BV15" s="372"/>
      <c r="BW15" s="372"/>
      <c r="BX15" s="372"/>
      <c r="BY15" s="372"/>
      <c r="BZ15" s="372"/>
      <c r="CA15" s="372"/>
      <c r="CB15" s="372"/>
      <c r="CC15" s="372"/>
      <c r="CD15" s="372"/>
      <c r="CF15" s="372"/>
      <c r="CG15" s="372"/>
      <c r="CH15" s="372"/>
      <c r="CI15" s="372"/>
      <c r="CJ15" s="372"/>
      <c r="CK15" s="372"/>
      <c r="CL15" s="372"/>
      <c r="CN15" s="372"/>
      <c r="CP15" s="372"/>
      <c r="CQ15" s="372"/>
      <c r="CR15" s="372"/>
      <c r="CS15" s="372"/>
      <c r="CT15" s="372"/>
      <c r="CU15" s="372"/>
      <c r="CV15" s="372"/>
      <c r="CW15" s="372"/>
      <c r="CX15" s="372"/>
      <c r="CY15" s="372"/>
      <c r="CZ15" s="372"/>
      <c r="DA15" s="372"/>
      <c r="DB15" s="372"/>
      <c r="DC15" s="372"/>
      <c r="DD15" s="372"/>
      <c r="DE15" s="372"/>
      <c r="DF15" s="372"/>
      <c r="DG15" s="372"/>
      <c r="DH15" s="372"/>
      <c r="DI15" s="372"/>
      <c r="DJ15" s="372"/>
      <c r="DK15" s="372"/>
      <c r="DL15" s="372"/>
      <c r="DM15" s="372"/>
      <c r="DN15" s="372"/>
      <c r="DO15" s="372"/>
      <c r="DP15" s="372"/>
      <c r="DQ15" s="372"/>
      <c r="DR15" s="372"/>
      <c r="DS15" s="372"/>
      <c r="DT15" s="372"/>
      <c r="DU15" s="372"/>
      <c r="DV15" s="372"/>
      <c r="DW15" s="372"/>
      <c r="DX15" s="372"/>
      <c r="DY15" s="372"/>
      <c r="DZ15" s="372"/>
      <c r="EA15" s="372"/>
      <c r="EB15" s="372"/>
      <c r="EC15" s="372"/>
      <c r="ED15" s="372"/>
      <c r="EE15" s="372"/>
      <c r="EF15" s="372"/>
      <c r="EG15" s="372"/>
      <c r="EH15" s="372"/>
      <c r="EI15" s="372"/>
      <c r="EJ15" s="372"/>
      <c r="EK15" s="372"/>
      <c r="EL15" s="372"/>
      <c r="EM15" s="372" t="s">
        <v>850</v>
      </c>
      <c r="EN15" s="372"/>
      <c r="EO15" s="372"/>
      <c r="EP15" s="372"/>
      <c r="EQ15" s="372"/>
      <c r="ER15" s="372"/>
      <c r="ES15" s="372"/>
      <c r="ET15" s="372"/>
      <c r="EU15" s="372"/>
      <c r="EV15" s="372"/>
      <c r="EW15" s="372"/>
      <c r="EX15" s="372"/>
      <c r="EY15" s="372"/>
      <c r="EZ15" s="372"/>
      <c r="FA15" s="372"/>
      <c r="FB15" s="372"/>
      <c r="FC15" s="372"/>
      <c r="FD15" s="372"/>
      <c r="FE15" s="372"/>
      <c r="FF15" s="372"/>
      <c r="FG15" s="372"/>
      <c r="FH15" s="372"/>
      <c r="FI15" s="372"/>
      <c r="FJ15" s="372"/>
      <c r="FK15" s="372"/>
      <c r="FL15" s="372"/>
      <c r="FM15" s="372"/>
      <c r="FN15" s="372"/>
      <c r="FO15" s="372"/>
      <c r="FP15" s="375"/>
      <c r="FQ15" s="376" t="s">
        <v>972</v>
      </c>
      <c r="FR15" s="377" t="s">
        <v>522</v>
      </c>
      <c r="FS15" s="377" t="s">
        <v>850</v>
      </c>
      <c r="FT15" s="377" t="s">
        <v>529</v>
      </c>
      <c r="FU15" s="144">
        <f t="shared" si="0"/>
        <v>0</v>
      </c>
      <c r="FV15" s="371" t="s">
        <v>888</v>
      </c>
    </row>
    <row r="16" spans="1:178" s="371" customFormat="1" hidden="1">
      <c r="A16" s="368" t="s">
        <v>889</v>
      </c>
      <c r="B16" s="369" t="s">
        <v>517</v>
      </c>
      <c r="C16" s="369" t="s">
        <v>527</v>
      </c>
      <c r="D16" s="369" t="s">
        <v>8</v>
      </c>
      <c r="E16" s="370" t="s">
        <v>532</v>
      </c>
      <c r="F16" s="369" t="s">
        <v>520</v>
      </c>
      <c r="G16" s="369"/>
      <c r="BA16" s="372"/>
      <c r="DO16" s="372"/>
      <c r="EM16" s="372"/>
      <c r="FC16" s="374">
        <f>80</f>
        <v>80</v>
      </c>
      <c r="FP16" s="375" t="s">
        <v>850</v>
      </c>
      <c r="FQ16" s="376" t="s">
        <v>972</v>
      </c>
      <c r="FR16" s="377" t="s">
        <v>522</v>
      </c>
      <c r="FS16" s="377" t="s">
        <v>850</v>
      </c>
      <c r="FT16" s="377" t="s">
        <v>533</v>
      </c>
      <c r="FU16" s="144">
        <f t="shared" si="0"/>
        <v>80</v>
      </c>
      <c r="FV16" s="371" t="s">
        <v>800</v>
      </c>
    </row>
    <row r="17" spans="1:178" s="371" customFormat="1" hidden="1">
      <c r="A17" s="368" t="s">
        <v>889</v>
      </c>
      <c r="B17" s="369" t="s">
        <v>517</v>
      </c>
      <c r="C17" s="369" t="s">
        <v>527</v>
      </c>
      <c r="D17" s="369" t="s">
        <v>4</v>
      </c>
      <c r="E17" s="370" t="s">
        <v>532</v>
      </c>
      <c r="F17" s="369" t="s">
        <v>520</v>
      </c>
      <c r="G17" s="369"/>
      <c r="H17" s="372" t="s">
        <v>850</v>
      </c>
      <c r="I17" s="372" t="s">
        <v>850</v>
      </c>
      <c r="J17" s="372" t="s">
        <v>850</v>
      </c>
      <c r="K17" s="372" t="s">
        <v>850</v>
      </c>
      <c r="L17" s="372" t="s">
        <v>850</v>
      </c>
      <c r="M17" s="372" t="s">
        <v>850</v>
      </c>
      <c r="N17" s="372" t="s">
        <v>850</v>
      </c>
      <c r="O17" s="372" t="s">
        <v>850</v>
      </c>
      <c r="P17" s="372" t="s">
        <v>850</v>
      </c>
      <c r="Q17" s="372" t="s">
        <v>850</v>
      </c>
      <c r="R17" s="372" t="s">
        <v>850</v>
      </c>
      <c r="S17" s="372" t="s">
        <v>850</v>
      </c>
      <c r="T17" s="372" t="s">
        <v>850</v>
      </c>
      <c r="U17" s="372" t="s">
        <v>850</v>
      </c>
      <c r="V17" s="372" t="s">
        <v>850</v>
      </c>
      <c r="W17" s="372" t="s">
        <v>850</v>
      </c>
      <c r="X17" s="372" t="s">
        <v>850</v>
      </c>
      <c r="Y17" s="372" t="s">
        <v>850</v>
      </c>
      <c r="Z17" s="372" t="s">
        <v>850</v>
      </c>
      <c r="AA17" s="372" t="s">
        <v>850</v>
      </c>
      <c r="AB17" s="372" t="s">
        <v>850</v>
      </c>
      <c r="AC17" s="372" t="s">
        <v>850</v>
      </c>
      <c r="AD17" s="372" t="s">
        <v>850</v>
      </c>
      <c r="AE17" s="372" t="s">
        <v>850</v>
      </c>
      <c r="AF17" s="373">
        <f>40-40</f>
        <v>0</v>
      </c>
      <c r="AG17" s="373">
        <f>20-20</f>
        <v>0</v>
      </c>
      <c r="AH17" s="373">
        <f>40-40</f>
        <v>0</v>
      </c>
      <c r="AI17" s="373">
        <f>20-20</f>
        <v>0</v>
      </c>
      <c r="AJ17" s="373">
        <f>20-20</f>
        <v>0</v>
      </c>
      <c r="AK17" s="372" t="s">
        <v>850</v>
      </c>
      <c r="AL17" s="372" t="s">
        <v>850</v>
      </c>
      <c r="AM17" s="372" t="s">
        <v>850</v>
      </c>
      <c r="AN17" s="372" t="s">
        <v>850</v>
      </c>
      <c r="AO17" s="372" t="s">
        <v>850</v>
      </c>
      <c r="AP17" s="372" t="s">
        <v>850</v>
      </c>
      <c r="AQ17" s="372" t="s">
        <v>850</v>
      </c>
      <c r="AR17" s="372" t="s">
        <v>850</v>
      </c>
      <c r="AS17" s="372" t="s">
        <v>850</v>
      </c>
      <c r="AT17" s="372" t="s">
        <v>850</v>
      </c>
      <c r="AU17" s="372" t="s">
        <v>850</v>
      </c>
      <c r="AV17" s="372" t="s">
        <v>850</v>
      </c>
      <c r="AW17" s="372" t="s">
        <v>850</v>
      </c>
      <c r="AX17" s="373">
        <f>100-100</f>
        <v>0</v>
      </c>
      <c r="AY17" s="373">
        <f>100-100</f>
        <v>0</v>
      </c>
      <c r="AZ17" s="373">
        <f>100-100</f>
        <v>0</v>
      </c>
      <c r="BA17" s="372"/>
      <c r="BB17" s="373">
        <f>200-200</f>
        <v>0</v>
      </c>
      <c r="BC17" s="373">
        <f>200-200</f>
        <v>0</v>
      </c>
      <c r="BD17" s="373">
        <f>100-100</f>
        <v>0</v>
      </c>
      <c r="BE17" s="373">
        <f>200-200</f>
        <v>0</v>
      </c>
      <c r="BF17" s="373">
        <f>200-200</f>
        <v>0</v>
      </c>
      <c r="BG17" s="372" t="s">
        <v>850</v>
      </c>
      <c r="BH17" s="372" t="s">
        <v>850</v>
      </c>
      <c r="BI17" s="372" t="s">
        <v>850</v>
      </c>
      <c r="BJ17" s="372" t="s">
        <v>850</v>
      </c>
      <c r="BK17" s="372" t="s">
        <v>850</v>
      </c>
      <c r="BL17" s="373">
        <f t="shared" ref="BL17:BS17" si="1">200-200</f>
        <v>0</v>
      </c>
      <c r="BM17" s="373">
        <f t="shared" si="1"/>
        <v>0</v>
      </c>
      <c r="BN17" s="373">
        <f t="shared" si="1"/>
        <v>0</v>
      </c>
      <c r="BO17" s="373">
        <f t="shared" si="1"/>
        <v>0</v>
      </c>
      <c r="BP17" s="373">
        <f t="shared" si="1"/>
        <v>0</v>
      </c>
      <c r="BQ17" s="373">
        <f t="shared" si="1"/>
        <v>0</v>
      </c>
      <c r="BR17" s="373">
        <f t="shared" si="1"/>
        <v>0</v>
      </c>
      <c r="BS17" s="373">
        <f t="shared" si="1"/>
        <v>0</v>
      </c>
      <c r="BT17" s="372" t="s">
        <v>850</v>
      </c>
      <c r="BU17" s="372" t="s">
        <v>850</v>
      </c>
      <c r="BV17" s="372" t="s">
        <v>850</v>
      </c>
      <c r="BW17" s="373">
        <f>400-400</f>
        <v>0</v>
      </c>
      <c r="BX17" s="373">
        <f>400-400</f>
        <v>0</v>
      </c>
      <c r="BY17" s="373">
        <f>400-400</f>
        <v>0</v>
      </c>
      <c r="BZ17" s="373">
        <f>600-600</f>
        <v>0</v>
      </c>
      <c r="CA17" s="373">
        <f t="shared" ref="CA17:CG17" si="2">400-400</f>
        <v>0</v>
      </c>
      <c r="CB17" s="373">
        <f t="shared" si="2"/>
        <v>0</v>
      </c>
      <c r="CC17" s="373">
        <f t="shared" si="2"/>
        <v>0</v>
      </c>
      <c r="CD17" s="373">
        <f t="shared" si="2"/>
        <v>0</v>
      </c>
      <c r="CF17" s="373">
        <f t="shared" si="2"/>
        <v>0</v>
      </c>
      <c r="CG17" s="373">
        <f t="shared" si="2"/>
        <v>0</v>
      </c>
      <c r="CH17" s="372" t="s">
        <v>850</v>
      </c>
      <c r="CI17" s="372" t="s">
        <v>850</v>
      </c>
      <c r="CJ17" s="372" t="s">
        <v>850</v>
      </c>
      <c r="CK17" s="372" t="s">
        <v>850</v>
      </c>
      <c r="CL17" s="372" t="s">
        <v>850</v>
      </c>
      <c r="CN17" s="373">
        <f>900-900</f>
        <v>0</v>
      </c>
      <c r="CP17" s="373">
        <f>600-600</f>
        <v>0</v>
      </c>
      <c r="CQ17" s="373">
        <f>600-600</f>
        <v>0</v>
      </c>
      <c r="CR17" s="373">
        <f>600-600</f>
        <v>0</v>
      </c>
      <c r="CS17" s="373">
        <f>600-600</f>
        <v>0</v>
      </c>
      <c r="CT17" s="372" t="s">
        <v>850</v>
      </c>
      <c r="CU17" s="372" t="s">
        <v>850</v>
      </c>
      <c r="CV17" s="373">
        <f>300-300</f>
        <v>0</v>
      </c>
      <c r="CW17" s="373">
        <f>600-600</f>
        <v>0</v>
      </c>
      <c r="CX17" s="373">
        <f>600-600</f>
        <v>0</v>
      </c>
      <c r="CY17" s="373">
        <f>600-600</f>
        <v>0</v>
      </c>
      <c r="CZ17" s="373">
        <f>600-600</f>
        <v>0</v>
      </c>
      <c r="DA17" s="373">
        <f>600-600</f>
        <v>0</v>
      </c>
      <c r="DB17" s="373">
        <f>300-300</f>
        <v>0</v>
      </c>
      <c r="DC17" s="372" t="s">
        <v>850</v>
      </c>
      <c r="DD17" s="373">
        <f>600-600</f>
        <v>0</v>
      </c>
      <c r="DE17" s="372" t="s">
        <v>850</v>
      </c>
      <c r="DF17" s="373">
        <f>1000-1000</f>
        <v>0</v>
      </c>
      <c r="DG17" s="373">
        <f>1000-1000</f>
        <v>0</v>
      </c>
      <c r="DH17" s="373">
        <f>1000-1000</f>
        <v>0</v>
      </c>
      <c r="DI17" s="373">
        <f>1000-1000</f>
        <v>0</v>
      </c>
      <c r="DJ17" s="373">
        <f>1000-1000</f>
        <v>0</v>
      </c>
      <c r="DK17" s="372" t="s">
        <v>850</v>
      </c>
      <c r="DL17" s="372" t="s">
        <v>850</v>
      </c>
      <c r="DM17" s="372" t="s">
        <v>850</v>
      </c>
      <c r="DN17" s="372" t="s">
        <v>850</v>
      </c>
      <c r="DO17" s="372"/>
      <c r="DP17" s="372" t="s">
        <v>850</v>
      </c>
      <c r="DQ17" s="372" t="s">
        <v>850</v>
      </c>
      <c r="DR17" s="372" t="s">
        <v>850</v>
      </c>
      <c r="DS17" s="372" t="s">
        <v>850</v>
      </c>
      <c r="DT17" s="372" t="s">
        <v>850</v>
      </c>
      <c r="DU17" s="373">
        <f>200-200</f>
        <v>0</v>
      </c>
      <c r="DV17" s="373">
        <f>200-200</f>
        <v>0</v>
      </c>
      <c r="DW17" s="373">
        <f>200-200</f>
        <v>0</v>
      </c>
      <c r="DX17" s="372" t="s">
        <v>850</v>
      </c>
      <c r="DY17" s="372" t="s">
        <v>850</v>
      </c>
      <c r="DZ17" s="373">
        <f>200-200</f>
        <v>0</v>
      </c>
      <c r="EA17" s="372" t="s">
        <v>850</v>
      </c>
      <c r="EB17" s="373">
        <f>200-200</f>
        <v>0</v>
      </c>
      <c r="EC17" s="373">
        <f>500-500</f>
        <v>0</v>
      </c>
      <c r="ED17" s="373">
        <f>500-500</f>
        <v>0</v>
      </c>
      <c r="EE17" s="373">
        <f>500-500</f>
        <v>0</v>
      </c>
      <c r="EF17" s="372" t="s">
        <v>850</v>
      </c>
      <c r="EG17" s="373">
        <f>1000-1000</f>
        <v>0</v>
      </c>
      <c r="EH17" s="373">
        <f>1500-1500</f>
        <v>0</v>
      </c>
      <c r="EI17" s="373">
        <f>500-500</f>
        <v>0</v>
      </c>
      <c r="EJ17" s="373">
        <f>500-500</f>
        <v>0</v>
      </c>
      <c r="EK17" s="373">
        <f>500-500</f>
        <v>0</v>
      </c>
      <c r="EL17" s="373">
        <f>500-500</f>
        <v>0</v>
      </c>
      <c r="EM17" s="372" t="s">
        <v>850</v>
      </c>
      <c r="EN17" s="373">
        <f>1000-1000</f>
        <v>0</v>
      </c>
      <c r="EO17" s="372" t="s">
        <v>850</v>
      </c>
      <c r="EP17" s="373">
        <f>500-500</f>
        <v>0</v>
      </c>
      <c r="EQ17" s="373">
        <f>500-500</f>
        <v>0</v>
      </c>
      <c r="ER17" s="373">
        <f>500-500</f>
        <v>0</v>
      </c>
      <c r="ES17" s="372" t="s">
        <v>850</v>
      </c>
      <c r="ET17" s="373">
        <f>500-500</f>
        <v>0</v>
      </c>
      <c r="EU17" s="373">
        <f>500-500</f>
        <v>0</v>
      </c>
      <c r="EV17" s="373">
        <f>400-400</f>
        <v>0</v>
      </c>
      <c r="EW17" s="373">
        <f>400-400</f>
        <v>0</v>
      </c>
      <c r="EX17" s="373">
        <f>200-200</f>
        <v>0</v>
      </c>
      <c r="EY17" s="373">
        <f>200-200</f>
        <v>0</v>
      </c>
      <c r="EZ17" s="372" t="s">
        <v>850</v>
      </c>
      <c r="FA17" s="372" t="s">
        <v>850</v>
      </c>
      <c r="FB17" s="372" t="s">
        <v>850</v>
      </c>
      <c r="FC17" s="373">
        <f>80-80</f>
        <v>0</v>
      </c>
      <c r="FD17" s="372" t="s">
        <v>850</v>
      </c>
      <c r="FE17" s="372" t="s">
        <v>850</v>
      </c>
      <c r="FF17" s="372" t="s">
        <v>850</v>
      </c>
      <c r="FG17" s="372" t="s">
        <v>850</v>
      </c>
      <c r="FH17" s="372" t="s">
        <v>850</v>
      </c>
      <c r="FI17" s="372" t="s">
        <v>850</v>
      </c>
      <c r="FJ17" s="372" t="s">
        <v>850</v>
      </c>
      <c r="FK17" s="372" t="s">
        <v>850</v>
      </c>
      <c r="FL17" s="372" t="s">
        <v>850</v>
      </c>
      <c r="FM17" s="372" t="s">
        <v>850</v>
      </c>
      <c r="FN17" s="372" t="s">
        <v>850</v>
      </c>
      <c r="FO17" s="372" t="s">
        <v>850</v>
      </c>
      <c r="FP17" s="375"/>
      <c r="FQ17" s="376" t="s">
        <v>972</v>
      </c>
      <c r="FR17" s="377" t="s">
        <v>522</v>
      </c>
      <c r="FS17" s="377" t="s">
        <v>850</v>
      </c>
      <c r="FT17" s="377" t="s">
        <v>533</v>
      </c>
      <c r="FU17" s="144">
        <f t="shared" si="0"/>
        <v>0</v>
      </c>
      <c r="FV17" s="371" t="s">
        <v>800</v>
      </c>
    </row>
    <row r="18" spans="1:178" s="371" customFormat="1" hidden="1">
      <c r="A18" s="368" t="s">
        <v>889</v>
      </c>
      <c r="B18" s="369" t="s">
        <v>517</v>
      </c>
      <c r="C18" s="369" t="s">
        <v>527</v>
      </c>
      <c r="D18" s="369" t="s">
        <v>3</v>
      </c>
      <c r="E18" s="370" t="s">
        <v>532</v>
      </c>
      <c r="F18" s="369" t="s">
        <v>520</v>
      </c>
      <c r="G18" s="369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  <c r="AB18" s="372"/>
      <c r="AC18" s="372"/>
      <c r="AD18" s="372"/>
      <c r="AE18" s="372"/>
      <c r="AF18" s="372"/>
      <c r="AG18" s="372"/>
      <c r="AH18" s="372"/>
      <c r="AI18" s="372"/>
      <c r="AJ18" s="372"/>
      <c r="AK18" s="372"/>
      <c r="AL18" s="372"/>
      <c r="AM18" s="372"/>
      <c r="AN18" s="372"/>
      <c r="AO18" s="372"/>
      <c r="AP18" s="372"/>
      <c r="AQ18" s="372"/>
      <c r="AR18" s="372"/>
      <c r="AS18" s="372"/>
      <c r="AT18" s="372"/>
      <c r="AU18" s="372"/>
      <c r="AV18" s="372"/>
      <c r="AW18" s="372"/>
      <c r="AX18" s="372"/>
      <c r="AY18" s="372"/>
      <c r="AZ18" s="372"/>
      <c r="BA18" s="372"/>
      <c r="BB18" s="372"/>
      <c r="BC18" s="372"/>
      <c r="BD18" s="372"/>
      <c r="BE18" s="372"/>
      <c r="BF18" s="372"/>
      <c r="BG18" s="372"/>
      <c r="BH18" s="372"/>
      <c r="BI18" s="372"/>
      <c r="BJ18" s="372"/>
      <c r="BK18" s="372"/>
      <c r="BL18" s="372"/>
      <c r="BM18" s="372"/>
      <c r="BN18" s="372"/>
      <c r="BO18" s="372"/>
      <c r="BP18" s="372"/>
      <c r="BQ18" s="372"/>
      <c r="BR18" s="372"/>
      <c r="BS18" s="372"/>
      <c r="BT18" s="372"/>
      <c r="BU18" s="372"/>
      <c r="BV18" s="372"/>
      <c r="BW18" s="372"/>
      <c r="BX18" s="372"/>
      <c r="BY18" s="372"/>
      <c r="BZ18" s="372"/>
      <c r="CA18" s="372"/>
      <c r="CB18" s="372"/>
      <c r="CC18" s="372"/>
      <c r="CD18" s="372"/>
      <c r="CF18" s="372"/>
      <c r="CG18" s="372"/>
      <c r="CH18" s="372"/>
      <c r="CI18" s="372"/>
      <c r="CJ18" s="372"/>
      <c r="CK18" s="372"/>
      <c r="CL18" s="372"/>
      <c r="CN18" s="372"/>
      <c r="CP18" s="372"/>
      <c r="CQ18" s="372"/>
      <c r="CR18" s="372"/>
      <c r="CS18" s="372"/>
      <c r="CT18" s="372"/>
      <c r="CU18" s="372"/>
      <c r="CV18" s="372"/>
      <c r="CW18" s="372"/>
      <c r="CX18" s="372"/>
      <c r="CY18" s="372"/>
      <c r="CZ18" s="372"/>
      <c r="DA18" s="372"/>
      <c r="DB18" s="372"/>
      <c r="DC18" s="372"/>
      <c r="DD18" s="372"/>
      <c r="DE18" s="372"/>
      <c r="DF18" s="372"/>
      <c r="DG18" s="372"/>
      <c r="DH18" s="372"/>
      <c r="DI18" s="372"/>
      <c r="DJ18" s="372"/>
      <c r="DK18" s="372"/>
      <c r="DL18" s="372"/>
      <c r="DM18" s="372"/>
      <c r="DN18" s="372"/>
      <c r="DO18" s="372"/>
      <c r="DP18" s="372"/>
      <c r="DQ18" s="372"/>
      <c r="DR18" s="372"/>
      <c r="DS18" s="372"/>
      <c r="DT18" s="372"/>
      <c r="DU18" s="372"/>
      <c r="DV18" s="372"/>
      <c r="DW18" s="372"/>
      <c r="DX18" s="372"/>
      <c r="DY18" s="372"/>
      <c r="DZ18" s="372"/>
      <c r="EA18" s="372"/>
      <c r="EB18" s="372"/>
      <c r="EC18" s="372"/>
      <c r="ED18" s="372"/>
      <c r="EE18" s="372"/>
      <c r="EF18" s="372"/>
      <c r="EG18" s="372"/>
      <c r="EH18" s="372"/>
      <c r="EI18" s="372"/>
      <c r="EJ18" s="372"/>
      <c r="EK18" s="372"/>
      <c r="EL18" s="372"/>
      <c r="EM18" s="372"/>
      <c r="EN18" s="372"/>
      <c r="EO18" s="372"/>
      <c r="EP18" s="372"/>
      <c r="EQ18" s="372"/>
      <c r="ER18" s="372"/>
      <c r="ES18" s="372"/>
      <c r="ET18" s="372"/>
      <c r="EU18" s="372"/>
      <c r="EV18" s="372"/>
      <c r="EW18" s="372"/>
      <c r="EX18" s="372"/>
      <c r="EY18" s="372"/>
      <c r="EZ18" s="372"/>
      <c r="FA18" s="372"/>
      <c r="FB18" s="372"/>
      <c r="FC18" s="372"/>
      <c r="FD18" s="372"/>
      <c r="FE18" s="372"/>
      <c r="FF18" s="372"/>
      <c r="FG18" s="372"/>
      <c r="FH18" s="372"/>
      <c r="FI18" s="372"/>
      <c r="FJ18" s="372"/>
      <c r="FK18" s="372"/>
      <c r="FL18" s="372"/>
      <c r="FM18" s="372"/>
      <c r="FN18" s="372"/>
      <c r="FO18" s="372"/>
      <c r="FP18" s="375"/>
      <c r="FQ18" s="376" t="s">
        <v>972</v>
      </c>
      <c r="FR18" s="377" t="s">
        <v>522</v>
      </c>
      <c r="FS18" s="377" t="s">
        <v>850</v>
      </c>
      <c r="FT18" s="377" t="s">
        <v>533</v>
      </c>
      <c r="FU18" s="144">
        <f t="shared" si="0"/>
        <v>0</v>
      </c>
      <c r="FV18" s="371" t="s">
        <v>800</v>
      </c>
    </row>
    <row r="19" spans="1:178" s="371" customFormat="1" hidden="1">
      <c r="A19" s="368" t="s">
        <v>892</v>
      </c>
      <c r="B19" s="369" t="s">
        <v>517</v>
      </c>
      <c r="C19" s="369" t="s">
        <v>527</v>
      </c>
      <c r="D19" s="369" t="s">
        <v>8</v>
      </c>
      <c r="E19" s="370" t="s">
        <v>534</v>
      </c>
      <c r="F19" s="369" t="s">
        <v>520</v>
      </c>
      <c r="G19" s="369"/>
      <c r="BA19" s="372"/>
      <c r="DO19" s="372"/>
      <c r="EM19" s="372" t="s">
        <v>850</v>
      </c>
      <c r="FP19" s="375" t="s">
        <v>850</v>
      </c>
      <c r="FQ19" s="376" t="s">
        <v>972</v>
      </c>
      <c r="FR19" s="377" t="s">
        <v>522</v>
      </c>
      <c r="FS19" s="377" t="s">
        <v>893</v>
      </c>
      <c r="FT19" s="377" t="s">
        <v>894</v>
      </c>
      <c r="FU19" s="144">
        <f t="shared" si="0"/>
        <v>0</v>
      </c>
      <c r="FV19" s="371" t="s">
        <v>888</v>
      </c>
    </row>
    <row r="20" spans="1:178" s="371" customFormat="1" hidden="1">
      <c r="A20" s="368" t="s">
        <v>892</v>
      </c>
      <c r="B20" s="369" t="s">
        <v>517</v>
      </c>
      <c r="C20" s="369" t="s">
        <v>527</v>
      </c>
      <c r="D20" s="369" t="s">
        <v>4</v>
      </c>
      <c r="E20" s="370" t="s">
        <v>534</v>
      </c>
      <c r="F20" s="369" t="s">
        <v>520</v>
      </c>
      <c r="G20" s="369"/>
      <c r="H20" s="372" t="s">
        <v>850</v>
      </c>
      <c r="I20" s="372" t="s">
        <v>850</v>
      </c>
      <c r="J20" s="372" t="s">
        <v>850</v>
      </c>
      <c r="K20" s="372" t="s">
        <v>850</v>
      </c>
      <c r="L20" s="372" t="s">
        <v>850</v>
      </c>
      <c r="M20" s="372" t="s">
        <v>850</v>
      </c>
      <c r="N20" s="372" t="s">
        <v>850</v>
      </c>
      <c r="O20" s="372" t="s">
        <v>850</v>
      </c>
      <c r="P20" s="372" t="s">
        <v>850</v>
      </c>
      <c r="Q20" s="372" t="s">
        <v>850</v>
      </c>
      <c r="R20" s="372" t="s">
        <v>850</v>
      </c>
      <c r="S20" s="372" t="s">
        <v>850</v>
      </c>
      <c r="T20" s="372" t="s">
        <v>850</v>
      </c>
      <c r="U20" s="372" t="s">
        <v>850</v>
      </c>
      <c r="V20" s="372" t="s">
        <v>850</v>
      </c>
      <c r="W20" s="372" t="s">
        <v>850</v>
      </c>
      <c r="X20" s="372" t="s">
        <v>850</v>
      </c>
      <c r="Y20" s="372" t="s">
        <v>850</v>
      </c>
      <c r="Z20" s="372" t="s">
        <v>850</v>
      </c>
      <c r="AA20" s="372" t="s">
        <v>850</v>
      </c>
      <c r="AB20" s="372" t="s">
        <v>850</v>
      </c>
      <c r="AC20" s="372" t="s">
        <v>850</v>
      </c>
      <c r="AD20" s="372" t="s">
        <v>850</v>
      </c>
      <c r="AE20" s="372" t="s">
        <v>850</v>
      </c>
      <c r="AF20" s="372" t="s">
        <v>850</v>
      </c>
      <c r="AG20" s="372" t="s">
        <v>850</v>
      </c>
      <c r="AH20" s="372" t="s">
        <v>850</v>
      </c>
      <c r="AI20" s="372" t="s">
        <v>850</v>
      </c>
      <c r="AJ20" s="372" t="s">
        <v>850</v>
      </c>
      <c r="AK20" s="372" t="s">
        <v>850</v>
      </c>
      <c r="AL20" s="372" t="s">
        <v>850</v>
      </c>
      <c r="AM20" s="372" t="s">
        <v>850</v>
      </c>
      <c r="AN20" s="372" t="s">
        <v>850</v>
      </c>
      <c r="AO20" s="372" t="s">
        <v>850</v>
      </c>
      <c r="AP20" s="372" t="s">
        <v>850</v>
      </c>
      <c r="AQ20" s="372" t="s">
        <v>850</v>
      </c>
      <c r="AR20" s="372" t="s">
        <v>850</v>
      </c>
      <c r="AS20" s="372" t="s">
        <v>850</v>
      </c>
      <c r="AT20" s="372" t="s">
        <v>850</v>
      </c>
      <c r="AU20" s="372" t="s">
        <v>850</v>
      </c>
      <c r="AV20" s="372" t="s">
        <v>850</v>
      </c>
      <c r="AW20" s="372" t="s">
        <v>850</v>
      </c>
      <c r="AX20" s="372" t="s">
        <v>850</v>
      </c>
      <c r="AY20" s="372" t="s">
        <v>850</v>
      </c>
      <c r="AZ20" s="372" t="s">
        <v>850</v>
      </c>
      <c r="BA20" s="372"/>
      <c r="BB20" s="372" t="s">
        <v>850</v>
      </c>
      <c r="BC20" s="372" t="s">
        <v>850</v>
      </c>
      <c r="BD20" s="372" t="s">
        <v>850</v>
      </c>
      <c r="BE20" s="372" t="s">
        <v>850</v>
      </c>
      <c r="BF20" s="372" t="s">
        <v>850</v>
      </c>
      <c r="BG20" s="372" t="s">
        <v>850</v>
      </c>
      <c r="BH20" s="372" t="s">
        <v>850</v>
      </c>
      <c r="BI20" s="372" t="s">
        <v>850</v>
      </c>
      <c r="BJ20" s="372" t="s">
        <v>850</v>
      </c>
      <c r="BK20" s="372" t="s">
        <v>850</v>
      </c>
      <c r="BL20" s="372" t="s">
        <v>850</v>
      </c>
      <c r="BM20" s="372" t="s">
        <v>850</v>
      </c>
      <c r="BN20" s="372" t="s">
        <v>850</v>
      </c>
      <c r="BO20" s="372" t="s">
        <v>850</v>
      </c>
      <c r="BP20" s="372" t="s">
        <v>850</v>
      </c>
      <c r="BQ20" s="372" t="s">
        <v>850</v>
      </c>
      <c r="BR20" s="372" t="s">
        <v>850</v>
      </c>
      <c r="BS20" s="372" t="s">
        <v>850</v>
      </c>
      <c r="BT20" s="372" t="s">
        <v>850</v>
      </c>
      <c r="BU20" s="372" t="s">
        <v>850</v>
      </c>
      <c r="BV20" s="372" t="s">
        <v>850</v>
      </c>
      <c r="BW20" s="372" t="s">
        <v>850</v>
      </c>
      <c r="BX20" s="372" t="s">
        <v>850</v>
      </c>
      <c r="BY20" s="372" t="s">
        <v>850</v>
      </c>
      <c r="BZ20" s="372" t="s">
        <v>850</v>
      </c>
      <c r="CA20" s="372" t="s">
        <v>850</v>
      </c>
      <c r="CB20" s="372" t="s">
        <v>850</v>
      </c>
      <c r="CC20" s="372" t="s">
        <v>850</v>
      </c>
      <c r="CD20" s="372" t="s">
        <v>850</v>
      </c>
      <c r="CF20" s="372" t="s">
        <v>850</v>
      </c>
      <c r="CG20" s="372" t="s">
        <v>850</v>
      </c>
      <c r="CH20" s="372" t="s">
        <v>850</v>
      </c>
      <c r="CI20" s="372" t="s">
        <v>850</v>
      </c>
      <c r="CJ20" s="372" t="s">
        <v>850</v>
      </c>
      <c r="CK20" s="372" t="s">
        <v>850</v>
      </c>
      <c r="CL20" s="372" t="s">
        <v>850</v>
      </c>
      <c r="CN20" s="372" t="s">
        <v>850</v>
      </c>
      <c r="CP20" s="372" t="s">
        <v>850</v>
      </c>
      <c r="CQ20" s="372" t="s">
        <v>850</v>
      </c>
      <c r="CR20" s="372" t="s">
        <v>850</v>
      </c>
      <c r="CS20" s="372" t="s">
        <v>850</v>
      </c>
      <c r="CT20" s="372" t="s">
        <v>850</v>
      </c>
      <c r="CU20" s="372" t="s">
        <v>850</v>
      </c>
      <c r="CV20" s="372" t="s">
        <v>850</v>
      </c>
      <c r="CW20" s="372" t="s">
        <v>850</v>
      </c>
      <c r="CX20" s="372" t="s">
        <v>850</v>
      </c>
      <c r="CY20" s="372" t="s">
        <v>850</v>
      </c>
      <c r="CZ20" s="372" t="s">
        <v>850</v>
      </c>
      <c r="DA20" s="372" t="s">
        <v>850</v>
      </c>
      <c r="DB20" s="372" t="s">
        <v>850</v>
      </c>
      <c r="DC20" s="372" t="s">
        <v>850</v>
      </c>
      <c r="DD20" s="372" t="s">
        <v>850</v>
      </c>
      <c r="DE20" s="372" t="s">
        <v>850</v>
      </c>
      <c r="DF20" s="372" t="s">
        <v>850</v>
      </c>
      <c r="DG20" s="372" t="s">
        <v>850</v>
      </c>
      <c r="DH20" s="372" t="s">
        <v>850</v>
      </c>
      <c r="DI20" s="372" t="s">
        <v>850</v>
      </c>
      <c r="DJ20" s="372" t="s">
        <v>850</v>
      </c>
      <c r="DK20" s="372" t="s">
        <v>850</v>
      </c>
      <c r="DL20" s="372" t="s">
        <v>850</v>
      </c>
      <c r="DM20" s="372" t="s">
        <v>850</v>
      </c>
      <c r="DN20" s="372" t="s">
        <v>850</v>
      </c>
      <c r="DO20" s="372"/>
      <c r="DP20" s="373">
        <f>100-100</f>
        <v>0</v>
      </c>
      <c r="DQ20" s="372" t="s">
        <v>850</v>
      </c>
      <c r="DR20" s="372" t="s">
        <v>850</v>
      </c>
      <c r="DS20" s="372" t="s">
        <v>850</v>
      </c>
      <c r="DT20" s="372" t="s">
        <v>850</v>
      </c>
      <c r="DU20" s="372" t="s">
        <v>850</v>
      </c>
      <c r="DV20" s="372" t="s">
        <v>850</v>
      </c>
      <c r="DW20" s="372" t="s">
        <v>850</v>
      </c>
      <c r="DX20" s="372" t="s">
        <v>850</v>
      </c>
      <c r="DY20" s="372" t="s">
        <v>850</v>
      </c>
      <c r="DZ20" s="372" t="s">
        <v>850</v>
      </c>
      <c r="EA20" s="372" t="s">
        <v>850</v>
      </c>
      <c r="EB20" s="372" t="s">
        <v>850</v>
      </c>
      <c r="EC20" s="373">
        <f>50-50</f>
        <v>0</v>
      </c>
      <c r="ED20" s="373">
        <f>100-100</f>
        <v>0</v>
      </c>
      <c r="EE20" s="372" t="s">
        <v>850</v>
      </c>
      <c r="EF20" s="372" t="s">
        <v>850</v>
      </c>
      <c r="EG20" s="373">
        <f>100-100</f>
        <v>0</v>
      </c>
      <c r="EH20" s="373">
        <f>100-100</f>
        <v>0</v>
      </c>
      <c r="EI20" s="373">
        <f>50-50</f>
        <v>0</v>
      </c>
      <c r="EJ20" s="372" t="s">
        <v>850</v>
      </c>
      <c r="EK20" s="372" t="s">
        <v>850</v>
      </c>
      <c r="EL20" s="373">
        <f>50-50</f>
        <v>0</v>
      </c>
      <c r="EM20" s="372"/>
      <c r="EN20" s="373">
        <f>20-20</f>
        <v>0</v>
      </c>
      <c r="EO20" s="372" t="s">
        <v>850</v>
      </c>
      <c r="EP20" s="373">
        <f>50-50</f>
        <v>0</v>
      </c>
      <c r="EQ20" s="372" t="s">
        <v>850</v>
      </c>
      <c r="ER20" s="372" t="s">
        <v>850</v>
      </c>
      <c r="ES20" s="372" t="s">
        <v>850</v>
      </c>
      <c r="ET20" s="372" t="s">
        <v>850</v>
      </c>
      <c r="EU20" s="372" t="s">
        <v>850</v>
      </c>
      <c r="EV20" s="372" t="s">
        <v>850</v>
      </c>
      <c r="EW20" s="372" t="s">
        <v>850</v>
      </c>
      <c r="EX20" s="373">
        <f>50-50</f>
        <v>0</v>
      </c>
      <c r="EY20" s="372" t="s">
        <v>850</v>
      </c>
      <c r="EZ20" s="372" t="s">
        <v>850</v>
      </c>
      <c r="FA20" s="372" t="s">
        <v>850</v>
      </c>
      <c r="FB20" s="372" t="s">
        <v>850</v>
      </c>
      <c r="FC20" s="372" t="s">
        <v>850</v>
      </c>
      <c r="FD20" s="372" t="s">
        <v>850</v>
      </c>
      <c r="FE20" s="372" t="s">
        <v>850</v>
      </c>
      <c r="FF20" s="372" t="s">
        <v>850</v>
      </c>
      <c r="FG20" s="372" t="s">
        <v>850</v>
      </c>
      <c r="FH20" s="372" t="s">
        <v>850</v>
      </c>
      <c r="FI20" s="372" t="s">
        <v>850</v>
      </c>
      <c r="FJ20" s="372" t="s">
        <v>850</v>
      </c>
      <c r="FK20" s="372" t="s">
        <v>850</v>
      </c>
      <c r="FL20" s="372" t="s">
        <v>850</v>
      </c>
      <c r="FM20" s="372" t="s">
        <v>850</v>
      </c>
      <c r="FN20" s="372" t="s">
        <v>850</v>
      </c>
      <c r="FO20" s="372" t="s">
        <v>850</v>
      </c>
      <c r="FP20" s="375"/>
      <c r="FQ20" s="376" t="s">
        <v>972</v>
      </c>
      <c r="FR20" s="377" t="s">
        <v>522</v>
      </c>
      <c r="FS20" s="377" t="s">
        <v>893</v>
      </c>
      <c r="FT20" s="377" t="s">
        <v>894</v>
      </c>
      <c r="FU20" s="144">
        <f t="shared" si="0"/>
        <v>0</v>
      </c>
      <c r="FV20" s="371" t="s">
        <v>888</v>
      </c>
    </row>
    <row r="21" spans="1:178" s="371" customFormat="1" hidden="1">
      <c r="A21" s="368" t="s">
        <v>892</v>
      </c>
      <c r="B21" s="369" t="s">
        <v>517</v>
      </c>
      <c r="C21" s="369" t="s">
        <v>527</v>
      </c>
      <c r="D21" s="369" t="s">
        <v>3</v>
      </c>
      <c r="E21" s="370" t="s">
        <v>534</v>
      </c>
      <c r="F21" s="369" t="s">
        <v>520</v>
      </c>
      <c r="G21" s="369"/>
      <c r="H21" s="372"/>
      <c r="I21" s="372"/>
      <c r="J21" s="372"/>
      <c r="K21" s="372"/>
      <c r="L21" s="372"/>
      <c r="M21" s="372"/>
      <c r="N21" s="372"/>
      <c r="O21" s="372"/>
      <c r="P21" s="372"/>
      <c r="Q21" s="372"/>
      <c r="R21" s="372"/>
      <c r="S21" s="372"/>
      <c r="T21" s="372"/>
      <c r="U21" s="372"/>
      <c r="V21" s="372"/>
      <c r="W21" s="372"/>
      <c r="X21" s="372"/>
      <c r="Y21" s="372"/>
      <c r="Z21" s="372"/>
      <c r="AA21" s="372"/>
      <c r="AB21" s="372"/>
      <c r="AC21" s="372"/>
      <c r="AD21" s="372"/>
      <c r="AE21" s="372"/>
      <c r="AF21" s="372"/>
      <c r="AG21" s="372"/>
      <c r="AH21" s="372"/>
      <c r="AI21" s="372"/>
      <c r="AJ21" s="372"/>
      <c r="AK21" s="372"/>
      <c r="AL21" s="372"/>
      <c r="AM21" s="372"/>
      <c r="AN21" s="372"/>
      <c r="AO21" s="372"/>
      <c r="AP21" s="372"/>
      <c r="AQ21" s="372"/>
      <c r="AR21" s="372"/>
      <c r="AS21" s="372"/>
      <c r="AT21" s="372"/>
      <c r="AU21" s="372"/>
      <c r="AV21" s="372"/>
      <c r="AW21" s="372"/>
      <c r="AX21" s="372"/>
      <c r="AY21" s="372"/>
      <c r="AZ21" s="372"/>
      <c r="BA21" s="372"/>
      <c r="BB21" s="372"/>
      <c r="BC21" s="372"/>
      <c r="BD21" s="372"/>
      <c r="BE21" s="372"/>
      <c r="BF21" s="372"/>
      <c r="BG21" s="372"/>
      <c r="BH21" s="372"/>
      <c r="BI21" s="372"/>
      <c r="BJ21" s="372"/>
      <c r="BK21" s="372"/>
      <c r="BL21" s="372"/>
      <c r="BM21" s="372"/>
      <c r="BN21" s="372"/>
      <c r="BO21" s="372"/>
      <c r="BP21" s="372"/>
      <c r="BQ21" s="372"/>
      <c r="BR21" s="372"/>
      <c r="BS21" s="372"/>
      <c r="BT21" s="372"/>
      <c r="BU21" s="372"/>
      <c r="BV21" s="372"/>
      <c r="BW21" s="372"/>
      <c r="BX21" s="372"/>
      <c r="BY21" s="372"/>
      <c r="BZ21" s="372"/>
      <c r="CA21" s="372"/>
      <c r="CB21" s="372"/>
      <c r="CC21" s="372"/>
      <c r="CD21" s="372"/>
      <c r="CF21" s="372"/>
      <c r="CG21" s="372"/>
      <c r="CH21" s="372"/>
      <c r="CI21" s="372"/>
      <c r="CJ21" s="372"/>
      <c r="CK21" s="372"/>
      <c r="CL21" s="372"/>
      <c r="CN21" s="372"/>
      <c r="CP21" s="372"/>
      <c r="CQ21" s="372"/>
      <c r="CR21" s="372"/>
      <c r="CS21" s="372"/>
      <c r="CT21" s="372"/>
      <c r="CU21" s="372"/>
      <c r="CV21" s="372"/>
      <c r="CW21" s="372"/>
      <c r="CX21" s="372"/>
      <c r="CY21" s="372"/>
      <c r="CZ21" s="372"/>
      <c r="DA21" s="372"/>
      <c r="DB21" s="372"/>
      <c r="DC21" s="372"/>
      <c r="DD21" s="372"/>
      <c r="DE21" s="372"/>
      <c r="DF21" s="372"/>
      <c r="DG21" s="372"/>
      <c r="DH21" s="372"/>
      <c r="DI21" s="372"/>
      <c r="DJ21" s="372"/>
      <c r="DK21" s="372"/>
      <c r="DL21" s="372"/>
      <c r="DM21" s="372"/>
      <c r="DN21" s="372"/>
      <c r="DO21" s="372"/>
      <c r="DP21" s="372"/>
      <c r="DQ21" s="372"/>
      <c r="DR21" s="372"/>
      <c r="DS21" s="372"/>
      <c r="DT21" s="372"/>
      <c r="DU21" s="372"/>
      <c r="DV21" s="372"/>
      <c r="DW21" s="372"/>
      <c r="DX21" s="372"/>
      <c r="DY21" s="372"/>
      <c r="DZ21" s="372"/>
      <c r="EA21" s="372"/>
      <c r="EB21" s="372"/>
      <c r="EC21" s="372"/>
      <c r="ED21" s="372"/>
      <c r="EE21" s="372"/>
      <c r="EF21" s="372"/>
      <c r="EG21" s="372"/>
      <c r="EH21" s="372"/>
      <c r="EI21" s="372"/>
      <c r="EJ21" s="372"/>
      <c r="EK21" s="372"/>
      <c r="EL21" s="372"/>
      <c r="EM21" s="372" t="s">
        <v>850</v>
      </c>
      <c r="EN21" s="372"/>
      <c r="EO21" s="372"/>
      <c r="EP21" s="372"/>
      <c r="EQ21" s="372"/>
      <c r="ER21" s="372"/>
      <c r="ES21" s="372"/>
      <c r="ET21" s="372"/>
      <c r="EU21" s="372"/>
      <c r="EV21" s="372"/>
      <c r="EW21" s="372"/>
      <c r="EX21" s="372"/>
      <c r="EY21" s="372"/>
      <c r="EZ21" s="372"/>
      <c r="FA21" s="372"/>
      <c r="FB21" s="372"/>
      <c r="FC21" s="372"/>
      <c r="FD21" s="372"/>
      <c r="FE21" s="372"/>
      <c r="FF21" s="372"/>
      <c r="FG21" s="372"/>
      <c r="FH21" s="372"/>
      <c r="FI21" s="372"/>
      <c r="FJ21" s="372"/>
      <c r="FK21" s="372"/>
      <c r="FL21" s="372"/>
      <c r="FM21" s="372"/>
      <c r="FN21" s="372"/>
      <c r="FO21" s="372"/>
      <c r="FP21" s="375"/>
      <c r="FQ21" s="376" t="s">
        <v>972</v>
      </c>
      <c r="FR21" s="377" t="s">
        <v>522</v>
      </c>
      <c r="FS21" s="377" t="s">
        <v>893</v>
      </c>
      <c r="FT21" s="377" t="s">
        <v>894</v>
      </c>
      <c r="FU21" s="144">
        <f t="shared" si="0"/>
        <v>0</v>
      </c>
      <c r="FV21" s="371" t="s">
        <v>888</v>
      </c>
    </row>
    <row r="22" spans="1:178" s="371" customFormat="1" hidden="1">
      <c r="A22" s="368" t="s">
        <v>526</v>
      </c>
      <c r="B22" s="369" t="s">
        <v>517</v>
      </c>
      <c r="C22" s="369" t="s">
        <v>527</v>
      </c>
      <c r="D22" s="369" t="s">
        <v>8</v>
      </c>
      <c r="E22" s="370" t="s">
        <v>536</v>
      </c>
      <c r="F22" s="369" t="s">
        <v>520</v>
      </c>
      <c r="G22" s="369"/>
      <c r="BA22" s="372"/>
      <c r="DO22" s="372"/>
      <c r="EM22" s="372"/>
      <c r="FP22" s="375" t="s">
        <v>850</v>
      </c>
      <c r="FQ22" s="376" t="s">
        <v>972</v>
      </c>
      <c r="FR22" s="377" t="s">
        <v>522</v>
      </c>
      <c r="FS22" s="377" t="s">
        <v>537</v>
      </c>
      <c r="FT22" s="377" t="s">
        <v>895</v>
      </c>
      <c r="FU22" s="144">
        <f t="shared" si="0"/>
        <v>0</v>
      </c>
      <c r="FV22" s="371" t="s">
        <v>896</v>
      </c>
    </row>
    <row r="23" spans="1:178" s="371" customFormat="1" hidden="1">
      <c r="A23" s="368" t="s">
        <v>526</v>
      </c>
      <c r="B23" s="369" t="s">
        <v>517</v>
      </c>
      <c r="C23" s="369" t="s">
        <v>527</v>
      </c>
      <c r="D23" s="369" t="s">
        <v>4</v>
      </c>
      <c r="E23" s="370" t="s">
        <v>536</v>
      </c>
      <c r="F23" s="369" t="s">
        <v>520</v>
      </c>
      <c r="G23" s="369"/>
      <c r="H23" s="372" t="s">
        <v>850</v>
      </c>
      <c r="I23" s="372" t="s">
        <v>850</v>
      </c>
      <c r="J23" s="373">
        <f>10-10</f>
        <v>0</v>
      </c>
      <c r="K23" s="373">
        <f>10-10</f>
        <v>0</v>
      </c>
      <c r="L23" s="372" t="s">
        <v>850</v>
      </c>
      <c r="M23" s="373">
        <f>20-20</f>
        <v>0</v>
      </c>
      <c r="N23" s="373">
        <f>20-20</f>
        <v>0</v>
      </c>
      <c r="O23" s="373">
        <f>50-50</f>
        <v>0</v>
      </c>
      <c r="P23" s="372" t="s">
        <v>850</v>
      </c>
      <c r="Q23" s="372" t="s">
        <v>850</v>
      </c>
      <c r="R23" s="372" t="s">
        <v>850</v>
      </c>
      <c r="S23" s="373">
        <f>10-10</f>
        <v>0</v>
      </c>
      <c r="T23" s="373">
        <f>50-50</f>
        <v>0</v>
      </c>
      <c r="U23" s="372" t="s">
        <v>850</v>
      </c>
      <c r="V23" s="372" t="s">
        <v>850</v>
      </c>
      <c r="W23" s="372" t="s">
        <v>850</v>
      </c>
      <c r="X23" s="373">
        <f>20-20</f>
        <v>0</v>
      </c>
      <c r="Y23" s="373">
        <f>50-50</f>
        <v>0</v>
      </c>
      <c r="Z23" s="372" t="s">
        <v>850</v>
      </c>
      <c r="AA23" s="373">
        <f>50-50</f>
        <v>0</v>
      </c>
      <c r="AB23" s="372" t="s">
        <v>850</v>
      </c>
      <c r="AC23" s="372" t="s">
        <v>850</v>
      </c>
      <c r="AD23" s="372" t="s">
        <v>850</v>
      </c>
      <c r="AE23" s="372" t="s">
        <v>850</v>
      </c>
      <c r="AF23" s="373">
        <f>500-500</f>
        <v>0</v>
      </c>
      <c r="AG23" s="373">
        <f>500-500</f>
        <v>0</v>
      </c>
      <c r="AH23" s="372" t="s">
        <v>850</v>
      </c>
      <c r="AI23" s="372" t="s">
        <v>850</v>
      </c>
      <c r="AJ23" s="372" t="s">
        <v>850</v>
      </c>
      <c r="AK23" s="373">
        <f>500-500</f>
        <v>0</v>
      </c>
      <c r="AL23" s="373">
        <f>500-500</f>
        <v>0</v>
      </c>
      <c r="AM23" s="372" t="s">
        <v>850</v>
      </c>
      <c r="AN23" s="373">
        <f>500-500</f>
        <v>0</v>
      </c>
      <c r="AO23" s="372" t="s">
        <v>850</v>
      </c>
      <c r="AP23" s="373">
        <f>500-500</f>
        <v>0</v>
      </c>
      <c r="AQ23" s="372" t="s">
        <v>850</v>
      </c>
      <c r="AR23" s="372" t="s">
        <v>850</v>
      </c>
      <c r="AS23" s="372" t="s">
        <v>850</v>
      </c>
      <c r="AT23" s="372" t="s">
        <v>850</v>
      </c>
      <c r="AU23" s="372" t="s">
        <v>850</v>
      </c>
      <c r="AV23" s="372" t="s">
        <v>850</v>
      </c>
      <c r="AW23" s="372" t="s">
        <v>850</v>
      </c>
      <c r="AX23" s="372" t="s">
        <v>850</v>
      </c>
      <c r="AY23" s="372" t="s">
        <v>850</v>
      </c>
      <c r="AZ23" s="372" t="s">
        <v>850</v>
      </c>
      <c r="BA23" s="372"/>
      <c r="BB23" s="372" t="s">
        <v>850</v>
      </c>
      <c r="BC23" s="372" t="s">
        <v>850</v>
      </c>
      <c r="BD23" s="372" t="s">
        <v>850</v>
      </c>
      <c r="BE23" s="372" t="s">
        <v>850</v>
      </c>
      <c r="BF23" s="372" t="s">
        <v>850</v>
      </c>
      <c r="BG23" s="372" t="s">
        <v>850</v>
      </c>
      <c r="BH23" s="372" t="s">
        <v>850</v>
      </c>
      <c r="BI23" s="372" t="s">
        <v>850</v>
      </c>
      <c r="BJ23" s="372" t="s">
        <v>850</v>
      </c>
      <c r="BK23" s="372" t="s">
        <v>850</v>
      </c>
      <c r="BL23" s="372" t="s">
        <v>850</v>
      </c>
      <c r="BM23" s="372" t="s">
        <v>850</v>
      </c>
      <c r="BN23" s="372" t="s">
        <v>850</v>
      </c>
      <c r="BO23" s="372" t="s">
        <v>850</v>
      </c>
      <c r="BP23" s="372" t="s">
        <v>850</v>
      </c>
      <c r="BQ23" s="372" t="s">
        <v>850</v>
      </c>
      <c r="BR23" s="372" t="s">
        <v>850</v>
      </c>
      <c r="BS23" s="372" t="s">
        <v>850</v>
      </c>
      <c r="BT23" s="372" t="s">
        <v>850</v>
      </c>
      <c r="BU23" s="372" t="s">
        <v>850</v>
      </c>
      <c r="BV23" s="372" t="s">
        <v>850</v>
      </c>
      <c r="BW23" s="372" t="s">
        <v>850</v>
      </c>
      <c r="BX23" s="372" t="s">
        <v>850</v>
      </c>
      <c r="BY23" s="372" t="s">
        <v>850</v>
      </c>
      <c r="BZ23" s="372" t="s">
        <v>850</v>
      </c>
      <c r="CA23" s="372" t="s">
        <v>850</v>
      </c>
      <c r="CB23" s="372" t="s">
        <v>850</v>
      </c>
      <c r="CC23" s="372" t="s">
        <v>850</v>
      </c>
      <c r="CD23" s="372" t="s">
        <v>850</v>
      </c>
      <c r="CF23" s="372" t="s">
        <v>850</v>
      </c>
      <c r="CG23" s="372" t="s">
        <v>850</v>
      </c>
      <c r="CH23" s="372" t="s">
        <v>850</v>
      </c>
      <c r="CI23" s="372" t="s">
        <v>850</v>
      </c>
      <c r="CJ23" s="372" t="s">
        <v>850</v>
      </c>
      <c r="CK23" s="372" t="s">
        <v>850</v>
      </c>
      <c r="CL23" s="372" t="s">
        <v>850</v>
      </c>
      <c r="CN23" s="372" t="s">
        <v>850</v>
      </c>
      <c r="CP23" s="372" t="s">
        <v>850</v>
      </c>
      <c r="CQ23" s="372" t="s">
        <v>850</v>
      </c>
      <c r="CR23" s="372" t="s">
        <v>850</v>
      </c>
      <c r="CS23" s="372" t="s">
        <v>850</v>
      </c>
      <c r="CT23" s="372" t="s">
        <v>850</v>
      </c>
      <c r="CU23" s="372" t="s">
        <v>850</v>
      </c>
      <c r="CV23" s="372" t="s">
        <v>850</v>
      </c>
      <c r="CW23" s="372" t="s">
        <v>850</v>
      </c>
      <c r="CX23" s="372" t="s">
        <v>850</v>
      </c>
      <c r="CY23" s="372" t="s">
        <v>850</v>
      </c>
      <c r="CZ23" s="372" t="s">
        <v>850</v>
      </c>
      <c r="DA23" s="372" t="s">
        <v>850</v>
      </c>
      <c r="DB23" s="372" t="s">
        <v>850</v>
      </c>
      <c r="DC23" s="372" t="s">
        <v>850</v>
      </c>
      <c r="DD23" s="372" t="s">
        <v>850</v>
      </c>
      <c r="DE23" s="372" t="s">
        <v>850</v>
      </c>
      <c r="DF23" s="372" t="s">
        <v>850</v>
      </c>
      <c r="DG23" s="372" t="s">
        <v>850</v>
      </c>
      <c r="DH23" s="372" t="s">
        <v>850</v>
      </c>
      <c r="DI23" s="372" t="s">
        <v>850</v>
      </c>
      <c r="DJ23" s="372" t="s">
        <v>850</v>
      </c>
      <c r="DK23" s="372" t="s">
        <v>850</v>
      </c>
      <c r="DL23" s="372" t="s">
        <v>850</v>
      </c>
      <c r="DM23" s="372" t="s">
        <v>850</v>
      </c>
      <c r="DN23" s="372" t="s">
        <v>850</v>
      </c>
      <c r="DO23" s="372"/>
      <c r="DP23" s="373">
        <f>600-600</f>
        <v>0</v>
      </c>
      <c r="DQ23" s="372" t="s">
        <v>850</v>
      </c>
      <c r="DR23" s="372" t="s">
        <v>850</v>
      </c>
      <c r="DS23" s="372" t="s">
        <v>850</v>
      </c>
      <c r="DT23" s="372" t="s">
        <v>850</v>
      </c>
      <c r="DU23" s="372" t="s">
        <v>850</v>
      </c>
      <c r="DV23" s="373">
        <f>1000-1000</f>
        <v>0</v>
      </c>
      <c r="DW23" s="372" t="s">
        <v>850</v>
      </c>
      <c r="DX23" s="372" t="s">
        <v>850</v>
      </c>
      <c r="DY23" s="372" t="s">
        <v>850</v>
      </c>
      <c r="DZ23" s="373">
        <f>1000-1000</f>
        <v>0</v>
      </c>
      <c r="EA23" s="372" t="s">
        <v>850</v>
      </c>
      <c r="EB23" s="372" t="s">
        <v>850</v>
      </c>
      <c r="EC23" s="373">
        <f>1000-1000</f>
        <v>0</v>
      </c>
      <c r="ED23" s="372" t="s">
        <v>850</v>
      </c>
      <c r="EE23" s="372" t="s">
        <v>850</v>
      </c>
      <c r="EF23" s="373">
        <f>1000-1000</f>
        <v>0</v>
      </c>
      <c r="EG23" s="372" t="s">
        <v>850</v>
      </c>
      <c r="EH23" s="372" t="s">
        <v>850</v>
      </c>
      <c r="EI23" s="372" t="s">
        <v>850</v>
      </c>
      <c r="EJ23" s="373">
        <f>1000-1000</f>
        <v>0</v>
      </c>
      <c r="EK23" s="372" t="s">
        <v>850</v>
      </c>
      <c r="EL23" s="372" t="s">
        <v>850</v>
      </c>
      <c r="EM23" s="372" t="s">
        <v>850</v>
      </c>
      <c r="EN23" s="372" t="s">
        <v>850</v>
      </c>
      <c r="EO23" s="372" t="s">
        <v>850</v>
      </c>
      <c r="EP23" s="372" t="s">
        <v>850</v>
      </c>
      <c r="EQ23" s="372" t="s">
        <v>850</v>
      </c>
      <c r="ER23" s="372" t="s">
        <v>850</v>
      </c>
      <c r="ES23" s="372" t="s">
        <v>850</v>
      </c>
      <c r="ET23" s="372" t="s">
        <v>850</v>
      </c>
      <c r="EU23" s="372" t="s">
        <v>850</v>
      </c>
      <c r="EV23" s="373">
        <f>500-500</f>
        <v>0</v>
      </c>
      <c r="EW23" s="372" t="s">
        <v>850</v>
      </c>
      <c r="EX23" s="372" t="s">
        <v>850</v>
      </c>
      <c r="EY23" s="372" t="s">
        <v>850</v>
      </c>
      <c r="EZ23" s="372" t="s">
        <v>850</v>
      </c>
      <c r="FA23" s="372" t="s">
        <v>850</v>
      </c>
      <c r="FB23" s="372" t="s">
        <v>850</v>
      </c>
      <c r="FC23" s="372" t="s">
        <v>850</v>
      </c>
      <c r="FD23" s="372" t="s">
        <v>850</v>
      </c>
      <c r="FE23" s="372" t="s">
        <v>850</v>
      </c>
      <c r="FF23" s="372" t="s">
        <v>850</v>
      </c>
      <c r="FG23" s="372" t="s">
        <v>850</v>
      </c>
      <c r="FH23" s="372" t="s">
        <v>850</v>
      </c>
      <c r="FI23" s="372" t="s">
        <v>850</v>
      </c>
      <c r="FJ23" s="372" t="s">
        <v>850</v>
      </c>
      <c r="FK23" s="372" t="s">
        <v>850</v>
      </c>
      <c r="FL23" s="372" t="s">
        <v>850</v>
      </c>
      <c r="FM23" s="372" t="s">
        <v>850</v>
      </c>
      <c r="FN23" s="372" t="s">
        <v>850</v>
      </c>
      <c r="FO23" s="372" t="s">
        <v>850</v>
      </c>
      <c r="FP23" s="375"/>
      <c r="FQ23" s="376" t="s">
        <v>972</v>
      </c>
      <c r="FR23" s="377" t="s">
        <v>522</v>
      </c>
      <c r="FS23" s="377" t="s">
        <v>537</v>
      </c>
      <c r="FT23" s="377" t="s">
        <v>895</v>
      </c>
      <c r="FU23" s="144">
        <f t="shared" si="0"/>
        <v>0</v>
      </c>
      <c r="FV23" s="371" t="s">
        <v>896</v>
      </c>
    </row>
    <row r="24" spans="1:178" s="371" customFormat="1" hidden="1">
      <c r="A24" s="368" t="s">
        <v>526</v>
      </c>
      <c r="B24" s="369" t="s">
        <v>517</v>
      </c>
      <c r="C24" s="369" t="s">
        <v>527</v>
      </c>
      <c r="D24" s="369" t="s">
        <v>3</v>
      </c>
      <c r="E24" s="370" t="s">
        <v>536</v>
      </c>
      <c r="F24" s="369" t="s">
        <v>520</v>
      </c>
      <c r="G24" s="369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  <c r="AB24" s="372"/>
      <c r="AC24" s="372"/>
      <c r="AD24" s="372"/>
      <c r="AE24" s="372"/>
      <c r="AF24" s="372"/>
      <c r="AG24" s="372"/>
      <c r="AH24" s="372"/>
      <c r="AI24" s="372"/>
      <c r="AJ24" s="372"/>
      <c r="AK24" s="372"/>
      <c r="AL24" s="372"/>
      <c r="AM24" s="372"/>
      <c r="AN24" s="372"/>
      <c r="AO24" s="372"/>
      <c r="AP24" s="372"/>
      <c r="AQ24" s="372"/>
      <c r="AR24" s="372"/>
      <c r="AS24" s="372"/>
      <c r="AT24" s="372"/>
      <c r="AU24" s="372"/>
      <c r="AV24" s="372"/>
      <c r="AW24" s="372"/>
      <c r="AX24" s="372"/>
      <c r="AY24" s="372"/>
      <c r="AZ24" s="372"/>
      <c r="BA24" s="372"/>
      <c r="BB24" s="372"/>
      <c r="BC24" s="372"/>
      <c r="BD24" s="372"/>
      <c r="BE24" s="372"/>
      <c r="BF24" s="372"/>
      <c r="BG24" s="372"/>
      <c r="BH24" s="372"/>
      <c r="BI24" s="372"/>
      <c r="BJ24" s="372"/>
      <c r="BK24" s="372"/>
      <c r="BL24" s="372"/>
      <c r="BM24" s="372"/>
      <c r="BN24" s="372"/>
      <c r="BO24" s="372"/>
      <c r="BP24" s="372"/>
      <c r="BQ24" s="372"/>
      <c r="BR24" s="372"/>
      <c r="BS24" s="372"/>
      <c r="BT24" s="372"/>
      <c r="BU24" s="372"/>
      <c r="BV24" s="372"/>
      <c r="BW24" s="372"/>
      <c r="BX24" s="372"/>
      <c r="BY24" s="372"/>
      <c r="BZ24" s="372"/>
      <c r="CA24" s="372"/>
      <c r="CB24" s="372"/>
      <c r="CC24" s="372"/>
      <c r="CD24" s="372"/>
      <c r="CF24" s="372"/>
      <c r="CG24" s="372"/>
      <c r="CH24" s="372"/>
      <c r="CI24" s="372"/>
      <c r="CJ24" s="372"/>
      <c r="CK24" s="372"/>
      <c r="CL24" s="372"/>
      <c r="CN24" s="372"/>
      <c r="CP24" s="372"/>
      <c r="CQ24" s="372"/>
      <c r="CR24" s="372"/>
      <c r="CS24" s="372"/>
      <c r="CT24" s="372"/>
      <c r="CU24" s="372"/>
      <c r="CV24" s="372"/>
      <c r="CW24" s="372"/>
      <c r="CX24" s="372"/>
      <c r="CY24" s="372"/>
      <c r="CZ24" s="372"/>
      <c r="DA24" s="372"/>
      <c r="DB24" s="372"/>
      <c r="DC24" s="372"/>
      <c r="DD24" s="372"/>
      <c r="DE24" s="372"/>
      <c r="DF24" s="372"/>
      <c r="DG24" s="372"/>
      <c r="DH24" s="372"/>
      <c r="DI24" s="372"/>
      <c r="DJ24" s="372"/>
      <c r="DK24" s="372"/>
      <c r="DL24" s="372"/>
      <c r="DM24" s="372"/>
      <c r="DN24" s="372"/>
      <c r="DO24" s="372"/>
      <c r="DP24" s="372"/>
      <c r="DQ24" s="372"/>
      <c r="DR24" s="372"/>
      <c r="DS24" s="372"/>
      <c r="DT24" s="372"/>
      <c r="DU24" s="372"/>
      <c r="DV24" s="372"/>
      <c r="DW24" s="372"/>
      <c r="DX24" s="372"/>
      <c r="DY24" s="372"/>
      <c r="DZ24" s="372"/>
      <c r="EA24" s="372"/>
      <c r="EB24" s="372"/>
      <c r="EC24" s="372"/>
      <c r="ED24" s="372"/>
      <c r="EE24" s="372"/>
      <c r="EF24" s="372"/>
      <c r="EG24" s="372"/>
      <c r="EH24" s="372"/>
      <c r="EI24" s="372"/>
      <c r="EJ24" s="372"/>
      <c r="EK24" s="372"/>
      <c r="EL24" s="372"/>
      <c r="EM24" s="372"/>
      <c r="EN24" s="372"/>
      <c r="EO24" s="372"/>
      <c r="EP24" s="372"/>
      <c r="EQ24" s="372"/>
      <c r="ER24" s="372"/>
      <c r="ES24" s="372"/>
      <c r="ET24" s="372"/>
      <c r="EU24" s="372"/>
      <c r="EV24" s="372"/>
      <c r="EW24" s="372"/>
      <c r="EX24" s="372"/>
      <c r="EY24" s="372"/>
      <c r="EZ24" s="372"/>
      <c r="FA24" s="372"/>
      <c r="FB24" s="372"/>
      <c r="FC24" s="372"/>
      <c r="FD24" s="372"/>
      <c r="FE24" s="372"/>
      <c r="FF24" s="372"/>
      <c r="FG24" s="372"/>
      <c r="FH24" s="372"/>
      <c r="FI24" s="372"/>
      <c r="FJ24" s="372"/>
      <c r="FK24" s="372"/>
      <c r="FL24" s="372"/>
      <c r="FM24" s="372"/>
      <c r="FN24" s="372"/>
      <c r="FO24" s="372"/>
      <c r="FP24" s="375"/>
      <c r="FQ24" s="376" t="s">
        <v>972</v>
      </c>
      <c r="FR24" s="377" t="s">
        <v>522</v>
      </c>
      <c r="FS24" s="377" t="s">
        <v>537</v>
      </c>
      <c r="FT24" s="377" t="s">
        <v>895</v>
      </c>
      <c r="FU24" s="144">
        <f t="shared" si="0"/>
        <v>0</v>
      </c>
      <c r="FV24" s="371" t="s">
        <v>896</v>
      </c>
    </row>
    <row r="25" spans="1:178" s="371" customFormat="1" hidden="1">
      <c r="A25" s="368" t="s">
        <v>897</v>
      </c>
      <c r="B25" s="369" t="s">
        <v>517</v>
      </c>
      <c r="C25" s="369" t="s">
        <v>527</v>
      </c>
      <c r="D25" s="369" t="s">
        <v>8</v>
      </c>
      <c r="E25" s="370" t="s">
        <v>541</v>
      </c>
      <c r="F25" s="369" t="s">
        <v>520</v>
      </c>
      <c r="G25" s="369"/>
      <c r="BA25" s="372"/>
      <c r="DO25" s="372"/>
      <c r="EM25" s="372" t="s">
        <v>850</v>
      </c>
      <c r="FP25" s="375" t="s">
        <v>850</v>
      </c>
      <c r="FQ25" s="376" t="s">
        <v>972</v>
      </c>
      <c r="FR25" s="377" t="s">
        <v>522</v>
      </c>
      <c r="FS25" s="377" t="s">
        <v>850</v>
      </c>
      <c r="FT25" s="377" t="s">
        <v>542</v>
      </c>
      <c r="FU25" s="144">
        <f t="shared" si="0"/>
        <v>0</v>
      </c>
      <c r="FV25" s="371" t="s">
        <v>888</v>
      </c>
    </row>
    <row r="26" spans="1:178" s="371" customFormat="1" hidden="1">
      <c r="A26" s="368" t="s">
        <v>897</v>
      </c>
      <c r="B26" s="369" t="s">
        <v>517</v>
      </c>
      <c r="C26" s="369" t="s">
        <v>527</v>
      </c>
      <c r="D26" s="369" t="s">
        <v>4</v>
      </c>
      <c r="E26" s="370" t="s">
        <v>541</v>
      </c>
      <c r="F26" s="369" t="s">
        <v>520</v>
      </c>
      <c r="G26" s="369"/>
      <c r="H26" s="372" t="s">
        <v>850</v>
      </c>
      <c r="I26" s="372" t="s">
        <v>850</v>
      </c>
      <c r="J26" s="372" t="s">
        <v>850</v>
      </c>
      <c r="K26" s="372" t="s">
        <v>850</v>
      </c>
      <c r="L26" s="372" t="s">
        <v>850</v>
      </c>
      <c r="M26" s="372" t="s">
        <v>850</v>
      </c>
      <c r="N26" s="372" t="s">
        <v>850</v>
      </c>
      <c r="O26" s="372" t="s">
        <v>850</v>
      </c>
      <c r="P26" s="372" t="s">
        <v>850</v>
      </c>
      <c r="Q26" s="372" t="s">
        <v>850</v>
      </c>
      <c r="R26" s="372" t="s">
        <v>850</v>
      </c>
      <c r="S26" s="372" t="s">
        <v>850</v>
      </c>
      <c r="T26" s="372" t="s">
        <v>850</v>
      </c>
      <c r="U26" s="372" t="s">
        <v>850</v>
      </c>
      <c r="V26" s="372" t="s">
        <v>850</v>
      </c>
      <c r="W26" s="372" t="s">
        <v>850</v>
      </c>
      <c r="X26" s="372" t="s">
        <v>850</v>
      </c>
      <c r="Y26" s="372" t="s">
        <v>850</v>
      </c>
      <c r="Z26" s="372" t="s">
        <v>850</v>
      </c>
      <c r="AA26" s="372" t="s">
        <v>850</v>
      </c>
      <c r="AB26" s="372" t="s">
        <v>850</v>
      </c>
      <c r="AC26" s="372" t="s">
        <v>850</v>
      </c>
      <c r="AD26" s="372" t="s">
        <v>850</v>
      </c>
      <c r="AE26" s="372" t="s">
        <v>850</v>
      </c>
      <c r="AF26" s="372" t="s">
        <v>850</v>
      </c>
      <c r="AG26" s="372" t="s">
        <v>850</v>
      </c>
      <c r="AH26" s="372" t="s">
        <v>850</v>
      </c>
      <c r="AI26" s="372" t="s">
        <v>850</v>
      </c>
      <c r="AJ26" s="372" t="s">
        <v>850</v>
      </c>
      <c r="AK26" s="372" t="s">
        <v>850</v>
      </c>
      <c r="AL26" s="372" t="s">
        <v>850</v>
      </c>
      <c r="AM26" s="372" t="s">
        <v>850</v>
      </c>
      <c r="AN26" s="372" t="s">
        <v>850</v>
      </c>
      <c r="AO26" s="372" t="s">
        <v>850</v>
      </c>
      <c r="AP26" s="372" t="s">
        <v>850</v>
      </c>
      <c r="AQ26" s="372" t="s">
        <v>850</v>
      </c>
      <c r="AR26" s="372" t="s">
        <v>850</v>
      </c>
      <c r="AS26" s="372" t="s">
        <v>850</v>
      </c>
      <c r="AT26" s="372" t="s">
        <v>850</v>
      </c>
      <c r="AU26" s="372" t="s">
        <v>850</v>
      </c>
      <c r="AV26" s="372" t="s">
        <v>850</v>
      </c>
      <c r="AW26" s="372" t="s">
        <v>850</v>
      </c>
      <c r="AX26" s="372" t="s">
        <v>850</v>
      </c>
      <c r="AY26" s="372" t="s">
        <v>850</v>
      </c>
      <c r="AZ26" s="372" t="s">
        <v>850</v>
      </c>
      <c r="BA26" s="372"/>
      <c r="BB26" s="372" t="s">
        <v>850</v>
      </c>
      <c r="BC26" s="372" t="s">
        <v>850</v>
      </c>
      <c r="BD26" s="372" t="s">
        <v>850</v>
      </c>
      <c r="BE26" s="372" t="s">
        <v>850</v>
      </c>
      <c r="BF26" s="372" t="s">
        <v>850</v>
      </c>
      <c r="BG26" s="372" t="s">
        <v>850</v>
      </c>
      <c r="BH26" s="372" t="s">
        <v>850</v>
      </c>
      <c r="BI26" s="372" t="s">
        <v>850</v>
      </c>
      <c r="BJ26" s="372" t="s">
        <v>850</v>
      </c>
      <c r="BK26" s="372" t="s">
        <v>850</v>
      </c>
      <c r="BL26" s="372" t="s">
        <v>850</v>
      </c>
      <c r="BM26" s="372" t="s">
        <v>850</v>
      </c>
      <c r="BN26" s="372" t="s">
        <v>850</v>
      </c>
      <c r="BO26" s="372" t="s">
        <v>850</v>
      </c>
      <c r="BP26" s="372" t="s">
        <v>850</v>
      </c>
      <c r="BQ26" s="372" t="s">
        <v>850</v>
      </c>
      <c r="BR26" s="372" t="s">
        <v>850</v>
      </c>
      <c r="BS26" s="372" t="s">
        <v>850</v>
      </c>
      <c r="BT26" s="372" t="s">
        <v>850</v>
      </c>
      <c r="BU26" s="372" t="s">
        <v>850</v>
      </c>
      <c r="BV26" s="372" t="s">
        <v>850</v>
      </c>
      <c r="BW26" s="372" t="s">
        <v>850</v>
      </c>
      <c r="BX26" s="372" t="s">
        <v>850</v>
      </c>
      <c r="BY26" s="372" t="s">
        <v>850</v>
      </c>
      <c r="BZ26" s="372" t="s">
        <v>850</v>
      </c>
      <c r="CA26" s="372" t="s">
        <v>850</v>
      </c>
      <c r="CB26" s="372" t="s">
        <v>850</v>
      </c>
      <c r="CC26" s="372" t="s">
        <v>850</v>
      </c>
      <c r="CD26" s="372" t="s">
        <v>850</v>
      </c>
      <c r="CF26" s="372" t="s">
        <v>850</v>
      </c>
      <c r="CG26" s="372" t="s">
        <v>850</v>
      </c>
      <c r="CH26" s="372" t="s">
        <v>850</v>
      </c>
      <c r="CI26" s="372" t="s">
        <v>850</v>
      </c>
      <c r="CJ26" s="372" t="s">
        <v>850</v>
      </c>
      <c r="CK26" s="372" t="s">
        <v>850</v>
      </c>
      <c r="CL26" s="372" t="s">
        <v>850</v>
      </c>
      <c r="CN26" s="372" t="s">
        <v>850</v>
      </c>
      <c r="CP26" s="372" t="s">
        <v>850</v>
      </c>
      <c r="CQ26" s="372" t="s">
        <v>850</v>
      </c>
      <c r="CR26" s="372" t="s">
        <v>850</v>
      </c>
      <c r="CS26" s="372" t="s">
        <v>850</v>
      </c>
      <c r="CT26" s="372" t="s">
        <v>850</v>
      </c>
      <c r="CU26" s="372" t="s">
        <v>850</v>
      </c>
      <c r="CV26" s="372" t="s">
        <v>850</v>
      </c>
      <c r="CW26" s="372" t="s">
        <v>850</v>
      </c>
      <c r="CX26" s="372" t="s">
        <v>850</v>
      </c>
      <c r="CY26" s="372" t="s">
        <v>850</v>
      </c>
      <c r="CZ26" s="372" t="s">
        <v>850</v>
      </c>
      <c r="DA26" s="372" t="s">
        <v>850</v>
      </c>
      <c r="DB26" s="372" t="s">
        <v>850</v>
      </c>
      <c r="DC26" s="372" t="s">
        <v>850</v>
      </c>
      <c r="DD26" s="372" t="s">
        <v>850</v>
      </c>
      <c r="DE26" s="372" t="s">
        <v>850</v>
      </c>
      <c r="DF26" s="372" t="s">
        <v>850</v>
      </c>
      <c r="DG26" s="372" t="s">
        <v>850</v>
      </c>
      <c r="DH26" s="372" t="s">
        <v>850</v>
      </c>
      <c r="DI26" s="372" t="s">
        <v>850</v>
      </c>
      <c r="DJ26" s="372" t="s">
        <v>850</v>
      </c>
      <c r="DK26" s="372" t="s">
        <v>850</v>
      </c>
      <c r="DL26" s="372" t="s">
        <v>850</v>
      </c>
      <c r="DM26" s="372" t="s">
        <v>850</v>
      </c>
      <c r="DN26" s="372" t="s">
        <v>850</v>
      </c>
      <c r="DO26" s="372"/>
      <c r="DP26" s="373">
        <f>100-100</f>
        <v>0</v>
      </c>
      <c r="DQ26" s="372" t="s">
        <v>850</v>
      </c>
      <c r="DR26" s="372" t="s">
        <v>850</v>
      </c>
      <c r="DS26" s="372" t="s">
        <v>850</v>
      </c>
      <c r="DT26" s="372" t="s">
        <v>850</v>
      </c>
      <c r="DU26" s="372" t="s">
        <v>850</v>
      </c>
      <c r="DV26" s="372" t="s">
        <v>850</v>
      </c>
      <c r="DW26" s="372" t="s">
        <v>850</v>
      </c>
      <c r="DX26" s="372" t="s">
        <v>850</v>
      </c>
      <c r="DY26" s="372" t="s">
        <v>850</v>
      </c>
      <c r="DZ26" s="372" t="s">
        <v>850</v>
      </c>
      <c r="EA26" s="372" t="s">
        <v>850</v>
      </c>
      <c r="EB26" s="372" t="s">
        <v>850</v>
      </c>
      <c r="EC26" s="373">
        <f>50-50</f>
        <v>0</v>
      </c>
      <c r="ED26" s="372" t="s">
        <v>850</v>
      </c>
      <c r="EE26" s="372" t="s">
        <v>850</v>
      </c>
      <c r="EF26" s="372" t="s">
        <v>850</v>
      </c>
      <c r="EG26" s="373">
        <f>150-150</f>
        <v>0</v>
      </c>
      <c r="EH26" s="373">
        <f>100-100</f>
        <v>0</v>
      </c>
      <c r="EI26" s="372" t="s">
        <v>850</v>
      </c>
      <c r="EJ26" s="372" t="s">
        <v>850</v>
      </c>
      <c r="EK26" s="372" t="s">
        <v>850</v>
      </c>
      <c r="EL26" s="373">
        <f>20-20</f>
        <v>0</v>
      </c>
      <c r="EM26" s="372"/>
      <c r="EN26" s="373">
        <f>20-20</f>
        <v>0</v>
      </c>
      <c r="EO26" s="372" t="s">
        <v>850</v>
      </c>
      <c r="EP26" s="373">
        <f>50-50</f>
        <v>0</v>
      </c>
      <c r="EQ26" s="372" t="s">
        <v>850</v>
      </c>
      <c r="ER26" s="372" t="s">
        <v>850</v>
      </c>
      <c r="ES26" s="372" t="s">
        <v>850</v>
      </c>
      <c r="ET26" s="372" t="s">
        <v>850</v>
      </c>
      <c r="EU26" s="372" t="s">
        <v>850</v>
      </c>
      <c r="EV26" s="372" t="s">
        <v>850</v>
      </c>
      <c r="EW26" s="372" t="s">
        <v>850</v>
      </c>
      <c r="EX26" s="373">
        <f>150-150</f>
        <v>0</v>
      </c>
      <c r="EY26" s="372" t="s">
        <v>850</v>
      </c>
      <c r="EZ26" s="372" t="s">
        <v>850</v>
      </c>
      <c r="FA26" s="372" t="s">
        <v>850</v>
      </c>
      <c r="FB26" s="372" t="s">
        <v>850</v>
      </c>
      <c r="FC26" s="372" t="s">
        <v>850</v>
      </c>
      <c r="FD26" s="372" t="s">
        <v>850</v>
      </c>
      <c r="FE26" s="372" t="s">
        <v>850</v>
      </c>
      <c r="FF26" s="372" t="s">
        <v>850</v>
      </c>
      <c r="FG26" s="372" t="s">
        <v>850</v>
      </c>
      <c r="FH26" s="372" t="s">
        <v>850</v>
      </c>
      <c r="FI26" s="372" t="s">
        <v>850</v>
      </c>
      <c r="FJ26" s="372" t="s">
        <v>850</v>
      </c>
      <c r="FK26" s="372" t="s">
        <v>850</v>
      </c>
      <c r="FL26" s="372" t="s">
        <v>850</v>
      </c>
      <c r="FM26" s="372" t="s">
        <v>850</v>
      </c>
      <c r="FN26" s="372" t="s">
        <v>850</v>
      </c>
      <c r="FO26" s="372" t="s">
        <v>850</v>
      </c>
      <c r="FP26" s="375"/>
      <c r="FQ26" s="376" t="s">
        <v>972</v>
      </c>
      <c r="FR26" s="377" t="s">
        <v>522</v>
      </c>
      <c r="FS26" s="377" t="s">
        <v>850</v>
      </c>
      <c r="FT26" s="377" t="s">
        <v>542</v>
      </c>
      <c r="FU26" s="144">
        <f t="shared" si="0"/>
        <v>0</v>
      </c>
      <c r="FV26" s="371" t="s">
        <v>888</v>
      </c>
    </row>
    <row r="27" spans="1:178" s="371" customFormat="1" hidden="1">
      <c r="A27" s="368" t="s">
        <v>897</v>
      </c>
      <c r="B27" s="369" t="s">
        <v>517</v>
      </c>
      <c r="C27" s="369" t="s">
        <v>527</v>
      </c>
      <c r="D27" s="369" t="s">
        <v>3</v>
      </c>
      <c r="E27" s="370" t="s">
        <v>541</v>
      </c>
      <c r="F27" s="369" t="s">
        <v>520</v>
      </c>
      <c r="G27" s="369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  <c r="AB27" s="372"/>
      <c r="AC27" s="372"/>
      <c r="AD27" s="372"/>
      <c r="AE27" s="372"/>
      <c r="AF27" s="372"/>
      <c r="AG27" s="372"/>
      <c r="AH27" s="372"/>
      <c r="AI27" s="372"/>
      <c r="AJ27" s="372"/>
      <c r="AK27" s="372"/>
      <c r="AL27" s="372"/>
      <c r="AM27" s="372"/>
      <c r="AN27" s="372"/>
      <c r="AO27" s="372"/>
      <c r="AP27" s="372"/>
      <c r="AQ27" s="372"/>
      <c r="AR27" s="372"/>
      <c r="AS27" s="372"/>
      <c r="AT27" s="372"/>
      <c r="AU27" s="372"/>
      <c r="AV27" s="372"/>
      <c r="AW27" s="372"/>
      <c r="AX27" s="372"/>
      <c r="AY27" s="372"/>
      <c r="AZ27" s="372"/>
      <c r="BA27" s="372"/>
      <c r="BB27" s="372"/>
      <c r="BC27" s="372"/>
      <c r="BD27" s="372"/>
      <c r="BE27" s="372"/>
      <c r="BF27" s="372"/>
      <c r="BG27" s="372"/>
      <c r="BH27" s="372"/>
      <c r="BI27" s="372"/>
      <c r="BJ27" s="372"/>
      <c r="BK27" s="372"/>
      <c r="BL27" s="372"/>
      <c r="BM27" s="372"/>
      <c r="BN27" s="372"/>
      <c r="BO27" s="372"/>
      <c r="BP27" s="372"/>
      <c r="BQ27" s="372"/>
      <c r="BR27" s="372"/>
      <c r="BS27" s="372"/>
      <c r="BT27" s="372"/>
      <c r="BU27" s="372"/>
      <c r="BV27" s="372"/>
      <c r="BW27" s="372"/>
      <c r="BX27" s="372"/>
      <c r="BY27" s="372"/>
      <c r="BZ27" s="372"/>
      <c r="CA27" s="372"/>
      <c r="CB27" s="372"/>
      <c r="CC27" s="372"/>
      <c r="CD27" s="372"/>
      <c r="CF27" s="372"/>
      <c r="CG27" s="372"/>
      <c r="CH27" s="372"/>
      <c r="CI27" s="372"/>
      <c r="CJ27" s="372"/>
      <c r="CK27" s="372"/>
      <c r="CL27" s="372"/>
      <c r="CN27" s="372"/>
      <c r="CP27" s="372"/>
      <c r="CQ27" s="372"/>
      <c r="CR27" s="372"/>
      <c r="CS27" s="372"/>
      <c r="CT27" s="372"/>
      <c r="CU27" s="372"/>
      <c r="CV27" s="372"/>
      <c r="CW27" s="372"/>
      <c r="CX27" s="372"/>
      <c r="CY27" s="372"/>
      <c r="CZ27" s="372"/>
      <c r="DA27" s="372"/>
      <c r="DB27" s="372"/>
      <c r="DC27" s="372"/>
      <c r="DD27" s="372"/>
      <c r="DE27" s="372"/>
      <c r="DF27" s="372"/>
      <c r="DG27" s="372"/>
      <c r="DH27" s="372"/>
      <c r="DI27" s="372"/>
      <c r="DJ27" s="372"/>
      <c r="DK27" s="372"/>
      <c r="DL27" s="372"/>
      <c r="DM27" s="372"/>
      <c r="DN27" s="372"/>
      <c r="DO27" s="372"/>
      <c r="DP27" s="372"/>
      <c r="DQ27" s="372"/>
      <c r="DR27" s="372"/>
      <c r="DS27" s="372"/>
      <c r="DT27" s="372"/>
      <c r="DU27" s="372"/>
      <c r="DV27" s="372"/>
      <c r="DW27" s="372"/>
      <c r="DX27" s="372"/>
      <c r="DY27" s="372"/>
      <c r="DZ27" s="372"/>
      <c r="EA27" s="372"/>
      <c r="EB27" s="372"/>
      <c r="EC27" s="372"/>
      <c r="ED27" s="372"/>
      <c r="EE27" s="372"/>
      <c r="EF27" s="372"/>
      <c r="EG27" s="372"/>
      <c r="EH27" s="372"/>
      <c r="EI27" s="372"/>
      <c r="EJ27" s="372"/>
      <c r="EK27" s="372"/>
      <c r="EL27" s="372"/>
      <c r="EM27" s="372" t="s">
        <v>850</v>
      </c>
      <c r="EN27" s="372"/>
      <c r="EO27" s="372"/>
      <c r="EP27" s="372"/>
      <c r="EQ27" s="372"/>
      <c r="ER27" s="372"/>
      <c r="ES27" s="372"/>
      <c r="ET27" s="372"/>
      <c r="EU27" s="372"/>
      <c r="EV27" s="372"/>
      <c r="EW27" s="372"/>
      <c r="EX27" s="372"/>
      <c r="EY27" s="372"/>
      <c r="EZ27" s="372"/>
      <c r="FA27" s="372"/>
      <c r="FB27" s="372"/>
      <c r="FC27" s="372"/>
      <c r="FD27" s="372"/>
      <c r="FE27" s="372"/>
      <c r="FF27" s="372"/>
      <c r="FG27" s="372"/>
      <c r="FH27" s="372"/>
      <c r="FI27" s="372"/>
      <c r="FJ27" s="372"/>
      <c r="FK27" s="372"/>
      <c r="FL27" s="372"/>
      <c r="FM27" s="372"/>
      <c r="FN27" s="372"/>
      <c r="FO27" s="372"/>
      <c r="FP27" s="375"/>
      <c r="FQ27" s="376" t="s">
        <v>972</v>
      </c>
      <c r="FR27" s="377" t="s">
        <v>522</v>
      </c>
      <c r="FS27" s="377" t="s">
        <v>850</v>
      </c>
      <c r="FT27" s="377" t="s">
        <v>542</v>
      </c>
      <c r="FU27" s="144">
        <f t="shared" si="0"/>
        <v>0</v>
      </c>
      <c r="FV27" s="371" t="s">
        <v>888</v>
      </c>
    </row>
    <row r="28" spans="1:178" s="371" customFormat="1" hidden="1">
      <c r="A28" s="368" t="s">
        <v>898</v>
      </c>
      <c r="B28" s="369" t="s">
        <v>517</v>
      </c>
      <c r="C28" s="369" t="s">
        <v>527</v>
      </c>
      <c r="D28" s="369" t="s">
        <v>8</v>
      </c>
      <c r="E28" s="370" t="s">
        <v>543</v>
      </c>
      <c r="F28" s="369" t="s">
        <v>520</v>
      </c>
      <c r="G28" s="369"/>
      <c r="BA28" s="372"/>
      <c r="DO28" s="372"/>
      <c r="EM28" s="372"/>
      <c r="FC28" s="374">
        <f>80</f>
        <v>80</v>
      </c>
      <c r="FP28" s="375" t="s">
        <v>850</v>
      </c>
      <c r="FQ28" s="376" t="s">
        <v>972</v>
      </c>
      <c r="FR28" s="377" t="s">
        <v>522</v>
      </c>
      <c r="FS28" s="377" t="s">
        <v>850</v>
      </c>
      <c r="FT28" s="377" t="s">
        <v>533</v>
      </c>
      <c r="FU28" s="144">
        <f t="shared" si="0"/>
        <v>80</v>
      </c>
      <c r="FV28" s="371" t="s">
        <v>800</v>
      </c>
    </row>
    <row r="29" spans="1:178" s="371" customFormat="1" hidden="1">
      <c r="A29" s="368" t="s">
        <v>898</v>
      </c>
      <c r="B29" s="369" t="s">
        <v>517</v>
      </c>
      <c r="C29" s="369" t="s">
        <v>527</v>
      </c>
      <c r="D29" s="369" t="s">
        <v>4</v>
      </c>
      <c r="E29" s="370" t="s">
        <v>543</v>
      </c>
      <c r="F29" s="369" t="s">
        <v>520</v>
      </c>
      <c r="G29" s="369"/>
      <c r="H29" s="372" t="s">
        <v>850</v>
      </c>
      <c r="I29" s="372" t="s">
        <v>850</v>
      </c>
      <c r="J29" s="372" t="s">
        <v>850</v>
      </c>
      <c r="K29" s="372" t="s">
        <v>850</v>
      </c>
      <c r="L29" s="372" t="s">
        <v>850</v>
      </c>
      <c r="M29" s="372" t="s">
        <v>850</v>
      </c>
      <c r="N29" s="372" t="s">
        <v>850</v>
      </c>
      <c r="O29" s="372" t="s">
        <v>850</v>
      </c>
      <c r="P29" s="372" t="s">
        <v>850</v>
      </c>
      <c r="Q29" s="372" t="s">
        <v>850</v>
      </c>
      <c r="R29" s="372" t="s">
        <v>850</v>
      </c>
      <c r="S29" s="372" t="s">
        <v>850</v>
      </c>
      <c r="T29" s="372" t="s">
        <v>850</v>
      </c>
      <c r="U29" s="372" t="s">
        <v>850</v>
      </c>
      <c r="V29" s="372" t="s">
        <v>850</v>
      </c>
      <c r="W29" s="372" t="s">
        <v>850</v>
      </c>
      <c r="X29" s="372" t="s">
        <v>850</v>
      </c>
      <c r="Y29" s="372" t="s">
        <v>850</v>
      </c>
      <c r="Z29" s="372" t="s">
        <v>850</v>
      </c>
      <c r="AA29" s="372" t="s">
        <v>850</v>
      </c>
      <c r="AB29" s="372" t="s">
        <v>850</v>
      </c>
      <c r="AC29" s="372" t="s">
        <v>850</v>
      </c>
      <c r="AD29" s="372" t="s">
        <v>850</v>
      </c>
      <c r="AE29" s="372" t="s">
        <v>850</v>
      </c>
      <c r="AF29" s="373">
        <f>40-40</f>
        <v>0</v>
      </c>
      <c r="AG29" s="373">
        <f>20-20</f>
        <v>0</v>
      </c>
      <c r="AH29" s="373">
        <f>40-40</f>
        <v>0</v>
      </c>
      <c r="AI29" s="373">
        <f>20-20</f>
        <v>0</v>
      </c>
      <c r="AJ29" s="373">
        <f>20-20</f>
        <v>0</v>
      </c>
      <c r="AK29" s="372" t="s">
        <v>850</v>
      </c>
      <c r="AL29" s="372" t="s">
        <v>850</v>
      </c>
      <c r="AM29" s="372" t="s">
        <v>850</v>
      </c>
      <c r="AN29" s="372" t="s">
        <v>850</v>
      </c>
      <c r="AO29" s="372" t="s">
        <v>850</v>
      </c>
      <c r="AP29" s="372" t="s">
        <v>850</v>
      </c>
      <c r="AQ29" s="372" t="s">
        <v>850</v>
      </c>
      <c r="AR29" s="372" t="s">
        <v>850</v>
      </c>
      <c r="AS29" s="372" t="s">
        <v>850</v>
      </c>
      <c r="AT29" s="372" t="s">
        <v>850</v>
      </c>
      <c r="AU29" s="372" t="s">
        <v>850</v>
      </c>
      <c r="AV29" s="372" t="s">
        <v>850</v>
      </c>
      <c r="AW29" s="372" t="s">
        <v>850</v>
      </c>
      <c r="AX29" s="373">
        <f>100-100</f>
        <v>0</v>
      </c>
      <c r="AY29" s="373">
        <f>100-100</f>
        <v>0</v>
      </c>
      <c r="AZ29" s="373">
        <f>100-100</f>
        <v>0</v>
      </c>
      <c r="BA29" s="372"/>
      <c r="BB29" s="373">
        <f>200-200</f>
        <v>0</v>
      </c>
      <c r="BC29" s="373">
        <f>200-200</f>
        <v>0</v>
      </c>
      <c r="BD29" s="373">
        <f>100-100</f>
        <v>0</v>
      </c>
      <c r="BE29" s="373">
        <f>200-200</f>
        <v>0</v>
      </c>
      <c r="BF29" s="373">
        <f>200-200</f>
        <v>0</v>
      </c>
      <c r="BG29" s="372" t="s">
        <v>850</v>
      </c>
      <c r="BH29" s="372" t="s">
        <v>850</v>
      </c>
      <c r="BI29" s="372" t="s">
        <v>850</v>
      </c>
      <c r="BJ29" s="372" t="s">
        <v>850</v>
      </c>
      <c r="BK29" s="372" t="s">
        <v>850</v>
      </c>
      <c r="BL29" s="373">
        <f t="shared" ref="BL29:BS29" si="3">200-200</f>
        <v>0</v>
      </c>
      <c r="BM29" s="373">
        <f t="shared" si="3"/>
        <v>0</v>
      </c>
      <c r="BN29" s="373">
        <f t="shared" si="3"/>
        <v>0</v>
      </c>
      <c r="BO29" s="373">
        <f t="shared" si="3"/>
        <v>0</v>
      </c>
      <c r="BP29" s="373">
        <f t="shared" si="3"/>
        <v>0</v>
      </c>
      <c r="BQ29" s="373">
        <f t="shared" si="3"/>
        <v>0</v>
      </c>
      <c r="BR29" s="373">
        <f t="shared" si="3"/>
        <v>0</v>
      </c>
      <c r="BS29" s="373">
        <f t="shared" si="3"/>
        <v>0</v>
      </c>
      <c r="BT29" s="372" t="s">
        <v>850</v>
      </c>
      <c r="BU29" s="372" t="s">
        <v>850</v>
      </c>
      <c r="BV29" s="372" t="s">
        <v>850</v>
      </c>
      <c r="BW29" s="373">
        <f>400-400</f>
        <v>0</v>
      </c>
      <c r="BX29" s="373">
        <f>400-400</f>
        <v>0</v>
      </c>
      <c r="BY29" s="373">
        <f>400-400</f>
        <v>0</v>
      </c>
      <c r="BZ29" s="373">
        <f>600-600</f>
        <v>0</v>
      </c>
      <c r="CA29" s="373">
        <f t="shared" ref="CA29:CG29" si="4">400-400</f>
        <v>0</v>
      </c>
      <c r="CB29" s="373">
        <f t="shared" si="4"/>
        <v>0</v>
      </c>
      <c r="CC29" s="373">
        <f t="shared" si="4"/>
        <v>0</v>
      </c>
      <c r="CD29" s="373">
        <f t="shared" si="4"/>
        <v>0</v>
      </c>
      <c r="CF29" s="373">
        <f t="shared" si="4"/>
        <v>0</v>
      </c>
      <c r="CG29" s="373">
        <f t="shared" si="4"/>
        <v>0</v>
      </c>
      <c r="CH29" s="372" t="s">
        <v>850</v>
      </c>
      <c r="CI29" s="372" t="s">
        <v>850</v>
      </c>
      <c r="CJ29" s="372" t="s">
        <v>850</v>
      </c>
      <c r="CK29" s="372" t="s">
        <v>850</v>
      </c>
      <c r="CL29" s="372" t="s">
        <v>850</v>
      </c>
      <c r="CN29" s="373">
        <f>900-900</f>
        <v>0</v>
      </c>
      <c r="CP29" s="373">
        <f>600-600</f>
        <v>0</v>
      </c>
      <c r="CQ29" s="373">
        <f>600-600</f>
        <v>0</v>
      </c>
      <c r="CR29" s="373">
        <f>600-600</f>
        <v>0</v>
      </c>
      <c r="CS29" s="373">
        <f>600-600</f>
        <v>0</v>
      </c>
      <c r="CT29" s="372" t="s">
        <v>850</v>
      </c>
      <c r="CU29" s="372" t="s">
        <v>850</v>
      </c>
      <c r="CV29" s="373">
        <f>300-300</f>
        <v>0</v>
      </c>
      <c r="CW29" s="373">
        <f>600-600</f>
        <v>0</v>
      </c>
      <c r="CX29" s="373">
        <f>600-600</f>
        <v>0</v>
      </c>
      <c r="CY29" s="373">
        <f>600-600</f>
        <v>0</v>
      </c>
      <c r="CZ29" s="373">
        <f>600-600</f>
        <v>0</v>
      </c>
      <c r="DA29" s="373">
        <f>600-600</f>
        <v>0</v>
      </c>
      <c r="DB29" s="373">
        <f>300-300</f>
        <v>0</v>
      </c>
      <c r="DC29" s="372" t="s">
        <v>850</v>
      </c>
      <c r="DD29" s="373">
        <f>600-600</f>
        <v>0</v>
      </c>
      <c r="DE29" s="372" t="s">
        <v>850</v>
      </c>
      <c r="DF29" s="373">
        <f>1000-1000</f>
        <v>0</v>
      </c>
      <c r="DG29" s="373">
        <f>1000-1000</f>
        <v>0</v>
      </c>
      <c r="DH29" s="373">
        <f>1000-1000</f>
        <v>0</v>
      </c>
      <c r="DI29" s="373">
        <f>1000-1000</f>
        <v>0</v>
      </c>
      <c r="DJ29" s="373">
        <f>1000-1000</f>
        <v>0</v>
      </c>
      <c r="DK29" s="372" t="s">
        <v>850</v>
      </c>
      <c r="DL29" s="372" t="s">
        <v>850</v>
      </c>
      <c r="DM29" s="372" t="s">
        <v>850</v>
      </c>
      <c r="DN29" s="372" t="s">
        <v>850</v>
      </c>
      <c r="DO29" s="372"/>
      <c r="DP29" s="372" t="s">
        <v>850</v>
      </c>
      <c r="DQ29" s="372" t="s">
        <v>850</v>
      </c>
      <c r="DR29" s="372" t="s">
        <v>850</v>
      </c>
      <c r="DS29" s="372" t="s">
        <v>850</v>
      </c>
      <c r="DT29" s="372" t="s">
        <v>850</v>
      </c>
      <c r="DU29" s="373">
        <f>200-200</f>
        <v>0</v>
      </c>
      <c r="DV29" s="373">
        <f>200-200</f>
        <v>0</v>
      </c>
      <c r="DW29" s="373">
        <f>200-200</f>
        <v>0</v>
      </c>
      <c r="DX29" s="372" t="s">
        <v>850</v>
      </c>
      <c r="DY29" s="372" t="s">
        <v>850</v>
      </c>
      <c r="DZ29" s="373">
        <f>200-200</f>
        <v>0</v>
      </c>
      <c r="EA29" s="372" t="s">
        <v>850</v>
      </c>
      <c r="EB29" s="373">
        <f>200-200</f>
        <v>0</v>
      </c>
      <c r="EC29" s="373">
        <f>500-500</f>
        <v>0</v>
      </c>
      <c r="ED29" s="373">
        <f>500-500</f>
        <v>0</v>
      </c>
      <c r="EE29" s="373">
        <f>500-500</f>
        <v>0</v>
      </c>
      <c r="EF29" s="372" t="s">
        <v>850</v>
      </c>
      <c r="EG29" s="373">
        <f>1000-1000</f>
        <v>0</v>
      </c>
      <c r="EH29" s="373">
        <f>1500-1500</f>
        <v>0</v>
      </c>
      <c r="EI29" s="373">
        <f>500-500</f>
        <v>0</v>
      </c>
      <c r="EJ29" s="373">
        <f>500-500</f>
        <v>0</v>
      </c>
      <c r="EK29" s="373">
        <f>500-500</f>
        <v>0</v>
      </c>
      <c r="EL29" s="373">
        <f>500-500</f>
        <v>0</v>
      </c>
      <c r="EM29" s="372" t="s">
        <v>850</v>
      </c>
      <c r="EN29" s="373">
        <f>1000-1000</f>
        <v>0</v>
      </c>
      <c r="EO29" s="372" t="s">
        <v>850</v>
      </c>
      <c r="EP29" s="373">
        <f>500-500</f>
        <v>0</v>
      </c>
      <c r="EQ29" s="373">
        <f>500-500</f>
        <v>0</v>
      </c>
      <c r="ER29" s="373">
        <f>500-500</f>
        <v>0</v>
      </c>
      <c r="ES29" s="372" t="s">
        <v>850</v>
      </c>
      <c r="ET29" s="373">
        <f>500-500</f>
        <v>0</v>
      </c>
      <c r="EU29" s="373">
        <f>500-500</f>
        <v>0</v>
      </c>
      <c r="EV29" s="373">
        <f>400-400</f>
        <v>0</v>
      </c>
      <c r="EW29" s="373">
        <f>400-400</f>
        <v>0</v>
      </c>
      <c r="EX29" s="373">
        <f>200-200</f>
        <v>0</v>
      </c>
      <c r="EY29" s="373">
        <f>200-200</f>
        <v>0</v>
      </c>
      <c r="EZ29" s="372" t="s">
        <v>850</v>
      </c>
      <c r="FA29" s="372" t="s">
        <v>850</v>
      </c>
      <c r="FB29" s="372" t="s">
        <v>850</v>
      </c>
      <c r="FC29" s="373">
        <f>80-80</f>
        <v>0</v>
      </c>
      <c r="FD29" s="372" t="s">
        <v>850</v>
      </c>
      <c r="FE29" s="372" t="s">
        <v>850</v>
      </c>
      <c r="FF29" s="372" t="s">
        <v>850</v>
      </c>
      <c r="FG29" s="372" t="s">
        <v>850</v>
      </c>
      <c r="FH29" s="372" t="s">
        <v>850</v>
      </c>
      <c r="FI29" s="372" t="s">
        <v>850</v>
      </c>
      <c r="FJ29" s="372" t="s">
        <v>850</v>
      </c>
      <c r="FK29" s="372" t="s">
        <v>850</v>
      </c>
      <c r="FL29" s="372" t="s">
        <v>850</v>
      </c>
      <c r="FM29" s="372" t="s">
        <v>850</v>
      </c>
      <c r="FN29" s="372" t="s">
        <v>850</v>
      </c>
      <c r="FO29" s="372" t="s">
        <v>850</v>
      </c>
      <c r="FP29" s="375"/>
      <c r="FQ29" s="376" t="s">
        <v>972</v>
      </c>
      <c r="FR29" s="377" t="s">
        <v>522</v>
      </c>
      <c r="FS29" s="377" t="s">
        <v>850</v>
      </c>
      <c r="FT29" s="377" t="s">
        <v>533</v>
      </c>
      <c r="FU29" s="144">
        <f t="shared" si="0"/>
        <v>0</v>
      </c>
      <c r="FV29" s="371" t="s">
        <v>800</v>
      </c>
    </row>
    <row r="30" spans="1:178" s="371" customFormat="1" hidden="1">
      <c r="A30" s="368" t="s">
        <v>898</v>
      </c>
      <c r="B30" s="369" t="s">
        <v>517</v>
      </c>
      <c r="C30" s="369" t="s">
        <v>527</v>
      </c>
      <c r="D30" s="369" t="s">
        <v>3</v>
      </c>
      <c r="E30" s="370" t="s">
        <v>543</v>
      </c>
      <c r="F30" s="369" t="s">
        <v>520</v>
      </c>
      <c r="G30" s="369"/>
      <c r="H30" s="372"/>
      <c r="I30" s="372"/>
      <c r="J30" s="372"/>
      <c r="K30" s="372"/>
      <c r="L30" s="372"/>
      <c r="M30" s="372"/>
      <c r="N30" s="372"/>
      <c r="O30" s="372"/>
      <c r="P30" s="372"/>
      <c r="Q30" s="372"/>
      <c r="R30" s="372"/>
      <c r="S30" s="372"/>
      <c r="T30" s="372"/>
      <c r="U30" s="372"/>
      <c r="V30" s="372"/>
      <c r="W30" s="372"/>
      <c r="X30" s="372"/>
      <c r="Y30" s="372"/>
      <c r="Z30" s="372"/>
      <c r="AA30" s="372"/>
      <c r="AB30" s="372"/>
      <c r="AC30" s="372"/>
      <c r="AD30" s="372"/>
      <c r="AE30" s="372"/>
      <c r="AF30" s="372"/>
      <c r="AG30" s="372"/>
      <c r="AH30" s="372"/>
      <c r="AI30" s="372"/>
      <c r="AJ30" s="372"/>
      <c r="AK30" s="372"/>
      <c r="AL30" s="372"/>
      <c r="AM30" s="372"/>
      <c r="AN30" s="372"/>
      <c r="AO30" s="372"/>
      <c r="AP30" s="372"/>
      <c r="AQ30" s="372"/>
      <c r="AR30" s="372"/>
      <c r="AS30" s="372"/>
      <c r="AT30" s="372"/>
      <c r="AU30" s="372"/>
      <c r="AV30" s="372"/>
      <c r="AW30" s="372"/>
      <c r="AX30" s="372"/>
      <c r="AY30" s="372"/>
      <c r="AZ30" s="372"/>
      <c r="BA30" s="372"/>
      <c r="BB30" s="372"/>
      <c r="BC30" s="372"/>
      <c r="BD30" s="372"/>
      <c r="BE30" s="372"/>
      <c r="BF30" s="372"/>
      <c r="BG30" s="372"/>
      <c r="BH30" s="372"/>
      <c r="BI30" s="372"/>
      <c r="BJ30" s="372"/>
      <c r="BK30" s="372"/>
      <c r="BL30" s="372"/>
      <c r="BM30" s="372"/>
      <c r="BN30" s="372"/>
      <c r="BO30" s="372"/>
      <c r="BP30" s="372"/>
      <c r="BQ30" s="372"/>
      <c r="BR30" s="372"/>
      <c r="BS30" s="372"/>
      <c r="BT30" s="372"/>
      <c r="BU30" s="372"/>
      <c r="BV30" s="372"/>
      <c r="BW30" s="372"/>
      <c r="BX30" s="372"/>
      <c r="BY30" s="372"/>
      <c r="BZ30" s="372"/>
      <c r="CA30" s="372"/>
      <c r="CB30" s="372"/>
      <c r="CC30" s="372"/>
      <c r="CD30" s="372"/>
      <c r="CF30" s="372"/>
      <c r="CG30" s="372"/>
      <c r="CH30" s="372"/>
      <c r="CI30" s="372"/>
      <c r="CJ30" s="372"/>
      <c r="CK30" s="372"/>
      <c r="CL30" s="372"/>
      <c r="CN30" s="372"/>
      <c r="CP30" s="372"/>
      <c r="CQ30" s="372"/>
      <c r="CR30" s="372"/>
      <c r="CS30" s="372"/>
      <c r="CT30" s="372"/>
      <c r="CU30" s="372"/>
      <c r="CV30" s="372"/>
      <c r="CW30" s="372"/>
      <c r="CX30" s="372"/>
      <c r="CY30" s="372"/>
      <c r="CZ30" s="372"/>
      <c r="DA30" s="372"/>
      <c r="DB30" s="372"/>
      <c r="DC30" s="372"/>
      <c r="DD30" s="372"/>
      <c r="DE30" s="372"/>
      <c r="DF30" s="372"/>
      <c r="DG30" s="372"/>
      <c r="DH30" s="372"/>
      <c r="DI30" s="372"/>
      <c r="DJ30" s="372"/>
      <c r="DK30" s="372"/>
      <c r="DL30" s="372"/>
      <c r="DM30" s="372"/>
      <c r="DN30" s="372"/>
      <c r="DO30" s="372"/>
      <c r="DP30" s="372"/>
      <c r="DQ30" s="372"/>
      <c r="DR30" s="372"/>
      <c r="DS30" s="372"/>
      <c r="DT30" s="372"/>
      <c r="DU30" s="372"/>
      <c r="DV30" s="372"/>
      <c r="DW30" s="372"/>
      <c r="DX30" s="372"/>
      <c r="DY30" s="372"/>
      <c r="DZ30" s="372"/>
      <c r="EA30" s="372"/>
      <c r="EB30" s="372"/>
      <c r="EC30" s="372"/>
      <c r="ED30" s="372"/>
      <c r="EE30" s="372"/>
      <c r="EF30" s="372"/>
      <c r="EG30" s="372"/>
      <c r="EH30" s="372"/>
      <c r="EI30" s="372"/>
      <c r="EJ30" s="372"/>
      <c r="EK30" s="372"/>
      <c r="EL30" s="372"/>
      <c r="EM30" s="372"/>
      <c r="EN30" s="372"/>
      <c r="EO30" s="372"/>
      <c r="EP30" s="372"/>
      <c r="EQ30" s="372"/>
      <c r="ER30" s="372"/>
      <c r="ES30" s="372"/>
      <c r="ET30" s="372"/>
      <c r="EU30" s="372"/>
      <c r="EV30" s="372"/>
      <c r="EW30" s="372"/>
      <c r="EX30" s="372"/>
      <c r="EY30" s="372"/>
      <c r="EZ30" s="372"/>
      <c r="FA30" s="372"/>
      <c r="FB30" s="372"/>
      <c r="FC30" s="372"/>
      <c r="FD30" s="372"/>
      <c r="FE30" s="372"/>
      <c r="FF30" s="372"/>
      <c r="FG30" s="372"/>
      <c r="FH30" s="372"/>
      <c r="FI30" s="372"/>
      <c r="FJ30" s="372"/>
      <c r="FK30" s="372"/>
      <c r="FL30" s="372"/>
      <c r="FM30" s="372"/>
      <c r="FN30" s="372"/>
      <c r="FO30" s="372"/>
      <c r="FP30" s="375"/>
      <c r="FQ30" s="376" t="s">
        <v>972</v>
      </c>
      <c r="FR30" s="377" t="s">
        <v>522</v>
      </c>
      <c r="FS30" s="377" t="s">
        <v>850</v>
      </c>
      <c r="FT30" s="377" t="s">
        <v>533</v>
      </c>
      <c r="FU30" s="144">
        <f t="shared" si="0"/>
        <v>0</v>
      </c>
      <c r="FV30" s="371" t="s">
        <v>800</v>
      </c>
    </row>
    <row r="31" spans="1:178" s="371" customFormat="1" hidden="1">
      <c r="A31" s="368" t="s">
        <v>526</v>
      </c>
      <c r="B31" s="369" t="s">
        <v>517</v>
      </c>
      <c r="C31" s="369" t="s">
        <v>544</v>
      </c>
      <c r="D31" s="369" t="s">
        <v>8</v>
      </c>
      <c r="E31" s="370" t="s">
        <v>545</v>
      </c>
      <c r="F31" s="369" t="s">
        <v>520</v>
      </c>
      <c r="G31" s="369"/>
      <c r="BA31" s="372"/>
      <c r="DO31" s="372"/>
      <c r="FP31" s="375" t="s">
        <v>850</v>
      </c>
      <c r="FQ31" s="376" t="s">
        <v>972</v>
      </c>
      <c r="FR31" s="377" t="s">
        <v>522</v>
      </c>
      <c r="FS31" s="377" t="s">
        <v>850</v>
      </c>
      <c r="FT31" s="377" t="s">
        <v>546</v>
      </c>
      <c r="FU31" s="144">
        <f t="shared" si="0"/>
        <v>0</v>
      </c>
      <c r="FV31" s="371" t="s">
        <v>902</v>
      </c>
    </row>
    <row r="32" spans="1:178" s="371" customFormat="1" hidden="1">
      <c r="A32" s="368" t="s">
        <v>526</v>
      </c>
      <c r="B32" s="369" t="s">
        <v>517</v>
      </c>
      <c r="C32" s="369" t="s">
        <v>544</v>
      </c>
      <c r="D32" s="369" t="s">
        <v>4</v>
      </c>
      <c r="E32" s="370" t="s">
        <v>545</v>
      </c>
      <c r="F32" s="369" t="s">
        <v>520</v>
      </c>
      <c r="G32" s="369"/>
      <c r="H32" s="372" t="s">
        <v>850</v>
      </c>
      <c r="I32" s="372" t="s">
        <v>850</v>
      </c>
      <c r="J32" s="373">
        <f>50-50</f>
        <v>0</v>
      </c>
      <c r="K32" s="373">
        <f>100-100</f>
        <v>0</v>
      </c>
      <c r="L32" s="372" t="s">
        <v>850</v>
      </c>
      <c r="M32" s="372" t="s">
        <v>850</v>
      </c>
      <c r="N32" s="373">
        <f>100-100</f>
        <v>0</v>
      </c>
      <c r="O32" s="373">
        <f>300-300</f>
        <v>0</v>
      </c>
      <c r="P32" s="372" t="s">
        <v>850</v>
      </c>
      <c r="Q32" s="372" t="s">
        <v>850</v>
      </c>
      <c r="R32" s="372" t="s">
        <v>850</v>
      </c>
      <c r="S32" s="373">
        <f>40-40</f>
        <v>0</v>
      </c>
      <c r="T32" s="373">
        <f>80-80</f>
        <v>0</v>
      </c>
      <c r="U32" s="372" t="s">
        <v>850</v>
      </c>
      <c r="V32" s="372" t="s">
        <v>850</v>
      </c>
      <c r="W32" s="372" t="s">
        <v>850</v>
      </c>
      <c r="X32" s="373">
        <f>40-40</f>
        <v>0</v>
      </c>
      <c r="Y32" s="373">
        <f>50-50</f>
        <v>0</v>
      </c>
      <c r="Z32" s="373">
        <f>100-100</f>
        <v>0</v>
      </c>
      <c r="AA32" s="373">
        <f>200-200</f>
        <v>0</v>
      </c>
      <c r="AB32" s="373">
        <f>150-150</f>
        <v>0</v>
      </c>
      <c r="AC32" s="373">
        <f>200-200</f>
        <v>0</v>
      </c>
      <c r="AD32" s="373">
        <f>300-300</f>
        <v>0</v>
      </c>
      <c r="AE32" s="372" t="s">
        <v>850</v>
      </c>
      <c r="AF32" s="372" t="s">
        <v>850</v>
      </c>
      <c r="AG32" s="372" t="s">
        <v>850</v>
      </c>
      <c r="AH32" s="372" t="s">
        <v>850</v>
      </c>
      <c r="AI32" s="372" t="s">
        <v>850</v>
      </c>
      <c r="AJ32" s="372" t="s">
        <v>850</v>
      </c>
      <c r="AK32" s="372" t="s">
        <v>850</v>
      </c>
      <c r="AL32" s="372" t="s">
        <v>850</v>
      </c>
      <c r="AM32" s="372" t="s">
        <v>850</v>
      </c>
      <c r="AN32" s="372" t="s">
        <v>850</v>
      </c>
      <c r="AO32" s="372" t="s">
        <v>850</v>
      </c>
      <c r="AP32" s="372" t="s">
        <v>850</v>
      </c>
      <c r="AQ32" s="372" t="s">
        <v>850</v>
      </c>
      <c r="AR32" s="372" t="s">
        <v>850</v>
      </c>
      <c r="AS32" s="372" t="s">
        <v>850</v>
      </c>
      <c r="AT32" s="372" t="s">
        <v>850</v>
      </c>
      <c r="AU32" s="372" t="s">
        <v>850</v>
      </c>
      <c r="AV32" s="372" t="s">
        <v>850</v>
      </c>
      <c r="AW32" s="372" t="s">
        <v>850</v>
      </c>
      <c r="AX32" s="373">
        <f>36-36</f>
        <v>0</v>
      </c>
      <c r="AY32" s="373">
        <f>20-20</f>
        <v>0</v>
      </c>
      <c r="AZ32" s="373">
        <f>50-50</f>
        <v>0</v>
      </c>
      <c r="BA32" s="372"/>
      <c r="BB32" s="373">
        <f>100-100</f>
        <v>0</v>
      </c>
      <c r="BC32" s="373">
        <f>200-200</f>
        <v>0</v>
      </c>
      <c r="BD32" s="373">
        <f>100-100</f>
        <v>0</v>
      </c>
      <c r="BE32" s="373">
        <f>200-200</f>
        <v>0</v>
      </c>
      <c r="BF32" s="373">
        <f>100-100</f>
        <v>0</v>
      </c>
      <c r="BG32" s="373">
        <f>300-300</f>
        <v>0</v>
      </c>
      <c r="BH32" s="372" t="s">
        <v>850</v>
      </c>
      <c r="BI32" s="372" t="s">
        <v>850</v>
      </c>
      <c r="BJ32" s="372" t="s">
        <v>850</v>
      </c>
      <c r="BK32" s="372" t="s">
        <v>850</v>
      </c>
      <c r="BL32" s="373">
        <f>40-40</f>
        <v>0</v>
      </c>
      <c r="BM32" s="373">
        <f>20-20</f>
        <v>0</v>
      </c>
      <c r="BN32" s="373">
        <f>40-40</f>
        <v>0</v>
      </c>
      <c r="BO32" s="373">
        <f>100-100</f>
        <v>0</v>
      </c>
      <c r="BP32" s="373">
        <f>200-200</f>
        <v>0</v>
      </c>
      <c r="BQ32" s="373">
        <f>100-100</f>
        <v>0</v>
      </c>
      <c r="BR32" s="373">
        <f>200-200</f>
        <v>0</v>
      </c>
      <c r="BS32" s="373">
        <f>200-200</f>
        <v>0</v>
      </c>
      <c r="BT32" s="372" t="s">
        <v>850</v>
      </c>
      <c r="BU32" s="372" t="s">
        <v>850</v>
      </c>
      <c r="BV32" s="372" t="s">
        <v>850</v>
      </c>
      <c r="BW32" s="373">
        <f>40-40</f>
        <v>0</v>
      </c>
      <c r="BX32" s="373">
        <f>30-30</f>
        <v>0</v>
      </c>
      <c r="BY32" s="373">
        <f>100-100</f>
        <v>0</v>
      </c>
      <c r="BZ32" s="373">
        <f>200-200</f>
        <v>0</v>
      </c>
      <c r="CA32" s="372" t="s">
        <v>850</v>
      </c>
      <c r="CB32" s="373">
        <f>500-500</f>
        <v>0</v>
      </c>
      <c r="CC32" s="373">
        <f>400-400</f>
        <v>0</v>
      </c>
      <c r="CD32" s="373">
        <f>500-500</f>
        <v>0</v>
      </c>
      <c r="CF32" s="373">
        <f>200-200</f>
        <v>0</v>
      </c>
      <c r="CG32" s="373">
        <f>200-200</f>
        <v>0</v>
      </c>
      <c r="CH32" s="373">
        <f>150-150</f>
        <v>0</v>
      </c>
      <c r="CI32" s="373">
        <f>200-200</f>
        <v>0</v>
      </c>
      <c r="CJ32" s="373">
        <f>200-200</f>
        <v>0</v>
      </c>
      <c r="CK32" s="373">
        <f>200-200</f>
        <v>0</v>
      </c>
      <c r="CL32" s="373">
        <f>200-200</f>
        <v>0</v>
      </c>
      <c r="CN32" s="373">
        <f>200-200</f>
        <v>0</v>
      </c>
      <c r="CP32" s="373">
        <f>1000-1000</f>
        <v>0</v>
      </c>
      <c r="CQ32" s="373">
        <f>300-300</f>
        <v>0</v>
      </c>
      <c r="CR32" s="373">
        <f>1000-1000</f>
        <v>0</v>
      </c>
      <c r="CS32" s="373">
        <f>200-200</f>
        <v>0</v>
      </c>
      <c r="CT32" s="372" t="s">
        <v>850</v>
      </c>
      <c r="CU32" s="372" t="s">
        <v>850</v>
      </c>
      <c r="CV32" s="373">
        <f>100-100</f>
        <v>0</v>
      </c>
      <c r="CW32" s="373">
        <f>150-150</f>
        <v>0</v>
      </c>
      <c r="CX32" s="373">
        <f>250-250</f>
        <v>0</v>
      </c>
      <c r="CY32" s="373">
        <f>150-150</f>
        <v>0</v>
      </c>
      <c r="CZ32" s="373">
        <f>500-500</f>
        <v>0</v>
      </c>
      <c r="DA32" s="372" t="s">
        <v>850</v>
      </c>
      <c r="DB32" s="372" t="s">
        <v>850</v>
      </c>
      <c r="DC32" s="372" t="s">
        <v>850</v>
      </c>
      <c r="DD32" s="372" t="s">
        <v>850</v>
      </c>
      <c r="DE32" s="372" t="s">
        <v>850</v>
      </c>
      <c r="DF32" s="373">
        <f>100-100</f>
        <v>0</v>
      </c>
      <c r="DG32" s="373">
        <f>200-200</f>
        <v>0</v>
      </c>
      <c r="DH32" s="373">
        <f>100-100</f>
        <v>0</v>
      </c>
      <c r="DI32" s="373">
        <f>500-500</f>
        <v>0</v>
      </c>
      <c r="DJ32" s="373">
        <f>500-500</f>
        <v>0</v>
      </c>
      <c r="DK32" s="372" t="s">
        <v>850</v>
      </c>
      <c r="DL32" s="372" t="s">
        <v>850</v>
      </c>
      <c r="DM32" s="372" t="s">
        <v>850</v>
      </c>
      <c r="DN32" s="372" t="s">
        <v>850</v>
      </c>
      <c r="DO32" s="372"/>
      <c r="DP32" s="372" t="s">
        <v>850</v>
      </c>
      <c r="DQ32" s="372" t="s">
        <v>850</v>
      </c>
      <c r="DR32" s="372" t="s">
        <v>850</v>
      </c>
      <c r="DS32" s="372" t="s">
        <v>850</v>
      </c>
      <c r="DT32" s="372" t="s">
        <v>850</v>
      </c>
      <c r="DU32" s="373">
        <f>50-50</f>
        <v>0</v>
      </c>
      <c r="DV32" s="372" t="s">
        <v>850</v>
      </c>
      <c r="DW32" s="372" t="s">
        <v>850</v>
      </c>
      <c r="DX32" s="372" t="s">
        <v>850</v>
      </c>
      <c r="DY32" s="372" t="s">
        <v>850</v>
      </c>
      <c r="DZ32" s="373">
        <f>50-50</f>
        <v>0</v>
      </c>
      <c r="EA32" s="372" t="s">
        <v>850</v>
      </c>
      <c r="EB32" s="372" t="s">
        <v>850</v>
      </c>
      <c r="EC32" s="372" t="s">
        <v>850</v>
      </c>
      <c r="ED32" s="372" t="s">
        <v>850</v>
      </c>
      <c r="EE32" s="372" t="s">
        <v>850</v>
      </c>
      <c r="EF32" s="372" t="s">
        <v>850</v>
      </c>
      <c r="EG32" s="372" t="s">
        <v>850</v>
      </c>
      <c r="EH32" s="373">
        <f>500-500</f>
        <v>0</v>
      </c>
      <c r="EI32" s="373">
        <f>100-100</f>
        <v>0</v>
      </c>
      <c r="EJ32" s="372" t="s">
        <v>850</v>
      </c>
      <c r="EK32" s="372" t="s">
        <v>850</v>
      </c>
      <c r="EL32" s="372" t="s">
        <v>850</v>
      </c>
      <c r="EM32" s="372" t="s">
        <v>850</v>
      </c>
      <c r="EN32" s="372" t="s">
        <v>850</v>
      </c>
      <c r="EO32" s="372" t="s">
        <v>850</v>
      </c>
      <c r="EP32" s="372" t="s">
        <v>850</v>
      </c>
      <c r="EQ32" s="372" t="s">
        <v>850</v>
      </c>
      <c r="ER32" s="372" t="s">
        <v>850</v>
      </c>
      <c r="ES32" s="372" t="s">
        <v>850</v>
      </c>
      <c r="ET32" s="372" t="s">
        <v>850</v>
      </c>
      <c r="EU32" s="372" t="s">
        <v>850</v>
      </c>
      <c r="EV32" s="372" t="s">
        <v>850</v>
      </c>
      <c r="EW32" s="372" t="s">
        <v>850</v>
      </c>
      <c r="EX32" s="372" t="s">
        <v>850</v>
      </c>
      <c r="EY32" s="372" t="s">
        <v>850</v>
      </c>
      <c r="EZ32" s="372" t="s">
        <v>850</v>
      </c>
      <c r="FA32" s="372" t="s">
        <v>850</v>
      </c>
      <c r="FB32" s="372" t="s">
        <v>850</v>
      </c>
      <c r="FC32" s="372" t="s">
        <v>850</v>
      </c>
      <c r="FD32" s="372" t="s">
        <v>850</v>
      </c>
      <c r="FE32" s="372" t="s">
        <v>850</v>
      </c>
      <c r="FF32" s="372" t="s">
        <v>850</v>
      </c>
      <c r="FG32" s="372" t="s">
        <v>850</v>
      </c>
      <c r="FH32" s="372" t="s">
        <v>850</v>
      </c>
      <c r="FI32" s="372" t="s">
        <v>850</v>
      </c>
      <c r="FJ32" s="372" t="s">
        <v>850</v>
      </c>
      <c r="FK32" s="372" t="s">
        <v>850</v>
      </c>
      <c r="FL32" s="372" t="s">
        <v>850</v>
      </c>
      <c r="FM32" s="372" t="s">
        <v>850</v>
      </c>
      <c r="FN32" s="372" t="s">
        <v>850</v>
      </c>
      <c r="FO32" s="372" t="s">
        <v>850</v>
      </c>
      <c r="FP32" s="375"/>
      <c r="FQ32" s="376" t="s">
        <v>972</v>
      </c>
      <c r="FR32" s="377" t="s">
        <v>522</v>
      </c>
      <c r="FS32" s="377" t="s">
        <v>850</v>
      </c>
      <c r="FT32" s="377" t="s">
        <v>546</v>
      </c>
      <c r="FU32" s="144">
        <f t="shared" si="0"/>
        <v>0</v>
      </c>
      <c r="FV32" s="371" t="s">
        <v>902</v>
      </c>
    </row>
    <row r="33" spans="1:178" s="371" customFormat="1" hidden="1">
      <c r="A33" s="368" t="s">
        <v>526</v>
      </c>
      <c r="B33" s="369" t="s">
        <v>517</v>
      </c>
      <c r="C33" s="369" t="s">
        <v>544</v>
      </c>
      <c r="D33" s="369" t="s">
        <v>3</v>
      </c>
      <c r="E33" s="370" t="s">
        <v>545</v>
      </c>
      <c r="F33" s="369" t="s">
        <v>520</v>
      </c>
      <c r="G33" s="369"/>
      <c r="H33" s="372"/>
      <c r="I33" s="372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2"/>
      <c r="AK33" s="372"/>
      <c r="AL33" s="372"/>
      <c r="AM33" s="372"/>
      <c r="AN33" s="372"/>
      <c r="AO33" s="372"/>
      <c r="AP33" s="372"/>
      <c r="AQ33" s="372"/>
      <c r="AR33" s="372"/>
      <c r="AS33" s="372"/>
      <c r="AT33" s="372"/>
      <c r="AU33" s="372"/>
      <c r="AV33" s="372"/>
      <c r="AW33" s="372"/>
      <c r="AX33" s="372"/>
      <c r="AY33" s="372"/>
      <c r="AZ33" s="372"/>
      <c r="BA33" s="372"/>
      <c r="BB33" s="372"/>
      <c r="BC33" s="372"/>
      <c r="BD33" s="372"/>
      <c r="BE33" s="372"/>
      <c r="BF33" s="372"/>
      <c r="BG33" s="372"/>
      <c r="BH33" s="372"/>
      <c r="BI33" s="372"/>
      <c r="BJ33" s="372"/>
      <c r="BK33" s="372"/>
      <c r="BL33" s="372"/>
      <c r="BM33" s="372"/>
      <c r="BN33" s="372"/>
      <c r="BO33" s="372"/>
      <c r="BP33" s="372"/>
      <c r="BQ33" s="372"/>
      <c r="BR33" s="372"/>
      <c r="BS33" s="372"/>
      <c r="BT33" s="372"/>
      <c r="BU33" s="372"/>
      <c r="BV33" s="372"/>
      <c r="BW33" s="372"/>
      <c r="BX33" s="372"/>
      <c r="BY33" s="372"/>
      <c r="BZ33" s="372"/>
      <c r="CA33" s="372"/>
      <c r="CB33" s="372"/>
      <c r="CC33" s="372"/>
      <c r="CD33" s="372"/>
      <c r="CF33" s="372"/>
      <c r="CG33" s="372"/>
      <c r="CH33" s="372"/>
      <c r="CI33" s="372"/>
      <c r="CJ33" s="372"/>
      <c r="CK33" s="372"/>
      <c r="CL33" s="372"/>
      <c r="CN33" s="372"/>
      <c r="CP33" s="372"/>
      <c r="CQ33" s="372"/>
      <c r="CR33" s="372"/>
      <c r="CS33" s="372"/>
      <c r="CT33" s="372"/>
      <c r="CU33" s="372"/>
      <c r="CV33" s="372"/>
      <c r="CW33" s="372"/>
      <c r="CX33" s="372"/>
      <c r="CY33" s="372"/>
      <c r="CZ33" s="372"/>
      <c r="DA33" s="372"/>
      <c r="DB33" s="372"/>
      <c r="DC33" s="372"/>
      <c r="DD33" s="372"/>
      <c r="DE33" s="372"/>
      <c r="DF33" s="372"/>
      <c r="DG33" s="372"/>
      <c r="DH33" s="372"/>
      <c r="DI33" s="372"/>
      <c r="DJ33" s="372"/>
      <c r="DK33" s="372"/>
      <c r="DL33" s="372"/>
      <c r="DM33" s="372"/>
      <c r="DN33" s="372"/>
      <c r="DO33" s="372"/>
      <c r="DP33" s="372"/>
      <c r="DQ33" s="372"/>
      <c r="DR33" s="372"/>
      <c r="DS33" s="372"/>
      <c r="DT33" s="372"/>
      <c r="DU33" s="372"/>
      <c r="DV33" s="372"/>
      <c r="DW33" s="372"/>
      <c r="DX33" s="372"/>
      <c r="DY33" s="372"/>
      <c r="DZ33" s="372"/>
      <c r="EA33" s="372"/>
      <c r="EB33" s="372"/>
      <c r="EC33" s="372"/>
      <c r="ED33" s="372"/>
      <c r="EE33" s="372"/>
      <c r="EF33" s="372"/>
      <c r="EG33" s="372"/>
      <c r="EH33" s="372"/>
      <c r="EI33" s="372"/>
      <c r="EJ33" s="372"/>
      <c r="EK33" s="372"/>
      <c r="EL33" s="372"/>
      <c r="EM33" s="372"/>
      <c r="EN33" s="372"/>
      <c r="EO33" s="372"/>
      <c r="EP33" s="372"/>
      <c r="EQ33" s="372"/>
      <c r="ER33" s="372"/>
      <c r="ES33" s="372"/>
      <c r="ET33" s="372"/>
      <c r="EU33" s="372"/>
      <c r="EV33" s="372"/>
      <c r="EW33" s="372"/>
      <c r="EX33" s="372"/>
      <c r="EY33" s="372"/>
      <c r="EZ33" s="372"/>
      <c r="FA33" s="372"/>
      <c r="FB33" s="372"/>
      <c r="FC33" s="372"/>
      <c r="FD33" s="372"/>
      <c r="FE33" s="372"/>
      <c r="FF33" s="372"/>
      <c r="FG33" s="372"/>
      <c r="FH33" s="372"/>
      <c r="FI33" s="372"/>
      <c r="FJ33" s="372"/>
      <c r="FK33" s="372"/>
      <c r="FL33" s="372"/>
      <c r="FM33" s="372"/>
      <c r="FN33" s="372"/>
      <c r="FO33" s="372"/>
      <c r="FP33" s="375"/>
      <c r="FQ33" s="376" t="s">
        <v>972</v>
      </c>
      <c r="FR33" s="377" t="s">
        <v>522</v>
      </c>
      <c r="FS33" s="377" t="s">
        <v>850</v>
      </c>
      <c r="FT33" s="377" t="s">
        <v>546</v>
      </c>
      <c r="FU33" s="144">
        <f t="shared" si="0"/>
        <v>0</v>
      </c>
      <c r="FV33" s="371" t="s">
        <v>902</v>
      </c>
    </row>
    <row r="34" spans="1:178" s="371" customFormat="1" hidden="1">
      <c r="A34" s="368" t="s">
        <v>517</v>
      </c>
      <c r="B34" s="369" t="s">
        <v>517</v>
      </c>
      <c r="C34" s="369" t="s">
        <v>548</v>
      </c>
      <c r="D34" s="369" t="s">
        <v>8</v>
      </c>
      <c r="E34" s="370" t="s">
        <v>549</v>
      </c>
      <c r="F34" s="369" t="s">
        <v>520</v>
      </c>
      <c r="G34" s="369"/>
      <c r="BA34" s="372"/>
      <c r="DO34" s="372"/>
      <c r="FP34" s="375" t="s">
        <v>850</v>
      </c>
      <c r="FQ34" s="376" t="s">
        <v>972</v>
      </c>
      <c r="FR34" s="377" t="s">
        <v>522</v>
      </c>
      <c r="FS34" s="377" t="s">
        <v>850</v>
      </c>
      <c r="FT34" s="377" t="s">
        <v>551</v>
      </c>
      <c r="FU34" s="144">
        <f t="shared" si="0"/>
        <v>0</v>
      </c>
      <c r="FV34" s="371" t="s">
        <v>902</v>
      </c>
    </row>
    <row r="35" spans="1:178" s="371" customFormat="1" hidden="1">
      <c r="A35" s="368" t="s">
        <v>517</v>
      </c>
      <c r="B35" s="369" t="s">
        <v>517</v>
      </c>
      <c r="C35" s="369" t="s">
        <v>548</v>
      </c>
      <c r="D35" s="369" t="s">
        <v>4</v>
      </c>
      <c r="E35" s="370" t="s">
        <v>549</v>
      </c>
      <c r="F35" s="369" t="s">
        <v>520</v>
      </c>
      <c r="G35" s="369"/>
      <c r="H35" s="372" t="s">
        <v>850</v>
      </c>
      <c r="I35" s="372" t="s">
        <v>850</v>
      </c>
      <c r="J35" s="372" t="s">
        <v>850</v>
      </c>
      <c r="K35" s="372" t="s">
        <v>850</v>
      </c>
      <c r="L35" s="372" t="s">
        <v>850</v>
      </c>
      <c r="M35" s="372" t="s">
        <v>850</v>
      </c>
      <c r="N35" s="372" t="s">
        <v>850</v>
      </c>
      <c r="O35" s="372" t="s">
        <v>850</v>
      </c>
      <c r="P35" s="372" t="s">
        <v>850</v>
      </c>
      <c r="Q35" s="372" t="s">
        <v>850</v>
      </c>
      <c r="R35" s="372" t="s">
        <v>850</v>
      </c>
      <c r="S35" s="372" t="s">
        <v>850</v>
      </c>
      <c r="T35" s="372" t="s">
        <v>850</v>
      </c>
      <c r="U35" s="372" t="s">
        <v>850</v>
      </c>
      <c r="V35" s="372" t="s">
        <v>850</v>
      </c>
      <c r="W35" s="372" t="s">
        <v>850</v>
      </c>
      <c r="X35" s="372" t="s">
        <v>850</v>
      </c>
      <c r="Y35" s="372" t="s">
        <v>850</v>
      </c>
      <c r="Z35" s="372" t="s">
        <v>850</v>
      </c>
      <c r="AA35" s="372" t="s">
        <v>850</v>
      </c>
      <c r="AB35" s="372" t="s">
        <v>850</v>
      </c>
      <c r="AC35" s="372" t="s">
        <v>850</v>
      </c>
      <c r="AD35" s="372" t="s">
        <v>850</v>
      </c>
      <c r="AE35" s="372" t="s">
        <v>850</v>
      </c>
      <c r="AF35" s="372" t="s">
        <v>850</v>
      </c>
      <c r="AG35" s="372" t="s">
        <v>850</v>
      </c>
      <c r="AH35" s="372" t="s">
        <v>850</v>
      </c>
      <c r="AI35" s="372" t="s">
        <v>850</v>
      </c>
      <c r="AJ35" s="372" t="s">
        <v>850</v>
      </c>
      <c r="AK35" s="372" t="s">
        <v>850</v>
      </c>
      <c r="AL35" s="372" t="s">
        <v>850</v>
      </c>
      <c r="AM35" s="372" t="s">
        <v>850</v>
      </c>
      <c r="AN35" s="372" t="s">
        <v>850</v>
      </c>
      <c r="AO35" s="372" t="s">
        <v>850</v>
      </c>
      <c r="AP35" s="372" t="s">
        <v>850</v>
      </c>
      <c r="AQ35" s="372" t="s">
        <v>850</v>
      </c>
      <c r="AR35" s="372" t="s">
        <v>850</v>
      </c>
      <c r="AS35" s="373">
        <f>50-50</f>
        <v>0</v>
      </c>
      <c r="AT35" s="372" t="s">
        <v>850</v>
      </c>
      <c r="AU35" s="372" t="s">
        <v>850</v>
      </c>
      <c r="AV35" s="372" t="s">
        <v>850</v>
      </c>
      <c r="AW35" s="372" t="s">
        <v>850</v>
      </c>
      <c r="AX35" s="372" t="s">
        <v>850</v>
      </c>
      <c r="AY35" s="372" t="s">
        <v>850</v>
      </c>
      <c r="AZ35" s="372" t="s">
        <v>850</v>
      </c>
      <c r="BA35" s="372"/>
      <c r="BB35" s="372" t="s">
        <v>850</v>
      </c>
      <c r="BC35" s="372" t="s">
        <v>850</v>
      </c>
      <c r="BD35" s="372" t="s">
        <v>850</v>
      </c>
      <c r="BE35" s="372" t="s">
        <v>850</v>
      </c>
      <c r="BF35" s="372" t="s">
        <v>850</v>
      </c>
      <c r="BG35" s="372" t="s">
        <v>850</v>
      </c>
      <c r="BH35" s="372" t="s">
        <v>850</v>
      </c>
      <c r="BI35" s="372" t="s">
        <v>850</v>
      </c>
      <c r="BJ35" s="372" t="s">
        <v>850</v>
      </c>
      <c r="BK35" s="372" t="s">
        <v>850</v>
      </c>
      <c r="BL35" s="372" t="s">
        <v>850</v>
      </c>
      <c r="BM35" s="372" t="s">
        <v>850</v>
      </c>
      <c r="BN35" s="372" t="s">
        <v>850</v>
      </c>
      <c r="BO35" s="372" t="s">
        <v>850</v>
      </c>
      <c r="BP35" s="372" t="s">
        <v>850</v>
      </c>
      <c r="BQ35" s="372" t="s">
        <v>850</v>
      </c>
      <c r="BR35" s="372" t="s">
        <v>850</v>
      </c>
      <c r="BS35" s="372" t="s">
        <v>850</v>
      </c>
      <c r="BT35" s="372" t="s">
        <v>850</v>
      </c>
      <c r="BU35" s="372" t="s">
        <v>850</v>
      </c>
      <c r="BV35" s="372" t="s">
        <v>850</v>
      </c>
      <c r="BW35" s="372" t="s">
        <v>850</v>
      </c>
      <c r="BX35" s="372" t="s">
        <v>850</v>
      </c>
      <c r="BY35" s="372" t="s">
        <v>850</v>
      </c>
      <c r="BZ35" s="372" t="s">
        <v>850</v>
      </c>
      <c r="CA35" s="372" t="s">
        <v>850</v>
      </c>
      <c r="CB35" s="372" t="s">
        <v>850</v>
      </c>
      <c r="CC35" s="372" t="s">
        <v>850</v>
      </c>
      <c r="CD35" s="372" t="s">
        <v>850</v>
      </c>
      <c r="CF35" s="372" t="s">
        <v>850</v>
      </c>
      <c r="CG35" s="372" t="s">
        <v>850</v>
      </c>
      <c r="CH35" s="372" t="s">
        <v>850</v>
      </c>
      <c r="CI35" s="372" t="s">
        <v>850</v>
      </c>
      <c r="CJ35" s="372" t="s">
        <v>850</v>
      </c>
      <c r="CK35" s="372" t="s">
        <v>850</v>
      </c>
      <c r="CL35" s="372" t="s">
        <v>850</v>
      </c>
      <c r="CN35" s="372" t="s">
        <v>850</v>
      </c>
      <c r="CP35" s="372" t="s">
        <v>850</v>
      </c>
      <c r="CQ35" s="372" t="s">
        <v>850</v>
      </c>
      <c r="CR35" s="372" t="s">
        <v>850</v>
      </c>
      <c r="CS35" s="372" t="s">
        <v>850</v>
      </c>
      <c r="CT35" s="372" t="s">
        <v>850</v>
      </c>
      <c r="CU35" s="372" t="s">
        <v>850</v>
      </c>
      <c r="CV35" s="372" t="s">
        <v>850</v>
      </c>
      <c r="CW35" s="372" t="s">
        <v>850</v>
      </c>
      <c r="CX35" s="372" t="s">
        <v>850</v>
      </c>
      <c r="CY35" s="372" t="s">
        <v>850</v>
      </c>
      <c r="CZ35" s="372" t="s">
        <v>850</v>
      </c>
      <c r="DA35" s="372" t="s">
        <v>850</v>
      </c>
      <c r="DB35" s="372" t="s">
        <v>850</v>
      </c>
      <c r="DC35" s="372" t="s">
        <v>850</v>
      </c>
      <c r="DD35" s="372" t="s">
        <v>850</v>
      </c>
      <c r="DE35" s="372" t="s">
        <v>850</v>
      </c>
      <c r="DF35" s="372" t="s">
        <v>850</v>
      </c>
      <c r="DG35" s="372" t="s">
        <v>850</v>
      </c>
      <c r="DH35" s="372" t="s">
        <v>850</v>
      </c>
      <c r="DI35" s="372" t="s">
        <v>850</v>
      </c>
      <c r="DJ35" s="372" t="s">
        <v>850</v>
      </c>
      <c r="DK35" s="372" t="s">
        <v>850</v>
      </c>
      <c r="DL35" s="372" t="s">
        <v>850</v>
      </c>
      <c r="DM35" s="372" t="s">
        <v>850</v>
      </c>
      <c r="DN35" s="372" t="s">
        <v>850</v>
      </c>
      <c r="DO35" s="372"/>
      <c r="DP35" s="372" t="s">
        <v>850</v>
      </c>
      <c r="DQ35" s="372" t="s">
        <v>850</v>
      </c>
      <c r="DR35" s="372" t="s">
        <v>850</v>
      </c>
      <c r="DS35" s="372" t="s">
        <v>850</v>
      </c>
      <c r="DT35" s="372" t="s">
        <v>850</v>
      </c>
      <c r="DU35" s="372" t="s">
        <v>850</v>
      </c>
      <c r="DV35" s="372" t="s">
        <v>850</v>
      </c>
      <c r="DW35" s="372" t="s">
        <v>850</v>
      </c>
      <c r="DX35" s="372" t="s">
        <v>850</v>
      </c>
      <c r="DY35" s="372" t="s">
        <v>850</v>
      </c>
      <c r="DZ35" s="372" t="s">
        <v>850</v>
      </c>
      <c r="EA35" s="372" t="s">
        <v>850</v>
      </c>
      <c r="EB35" s="372" t="s">
        <v>850</v>
      </c>
      <c r="EC35" s="372" t="s">
        <v>850</v>
      </c>
      <c r="ED35" s="372" t="s">
        <v>850</v>
      </c>
      <c r="EE35" s="372" t="s">
        <v>850</v>
      </c>
      <c r="EF35" s="372" t="s">
        <v>850</v>
      </c>
      <c r="EG35" s="372" t="s">
        <v>850</v>
      </c>
      <c r="EH35" s="372" t="s">
        <v>850</v>
      </c>
      <c r="EI35" s="372" t="s">
        <v>850</v>
      </c>
      <c r="EJ35" s="372" t="s">
        <v>850</v>
      </c>
      <c r="EK35" s="372" t="s">
        <v>850</v>
      </c>
      <c r="EL35" s="372" t="s">
        <v>850</v>
      </c>
      <c r="EM35" s="372" t="s">
        <v>850</v>
      </c>
      <c r="EN35" s="372" t="s">
        <v>850</v>
      </c>
      <c r="EO35" s="372" t="s">
        <v>850</v>
      </c>
      <c r="EP35" s="372" t="s">
        <v>850</v>
      </c>
      <c r="EQ35" s="372" t="s">
        <v>850</v>
      </c>
      <c r="ER35" s="372" t="s">
        <v>850</v>
      </c>
      <c r="ES35" s="372" t="s">
        <v>850</v>
      </c>
      <c r="ET35" s="372" t="s">
        <v>850</v>
      </c>
      <c r="EU35" s="372" t="s">
        <v>850</v>
      </c>
      <c r="EV35" s="372" t="s">
        <v>850</v>
      </c>
      <c r="EW35" s="372" t="s">
        <v>850</v>
      </c>
      <c r="EX35" s="372" t="s">
        <v>850</v>
      </c>
      <c r="EY35" s="372" t="s">
        <v>850</v>
      </c>
      <c r="EZ35" s="372" t="s">
        <v>850</v>
      </c>
      <c r="FA35" s="372" t="s">
        <v>850</v>
      </c>
      <c r="FB35" s="372" t="s">
        <v>850</v>
      </c>
      <c r="FC35" s="372" t="s">
        <v>850</v>
      </c>
      <c r="FD35" s="372" t="s">
        <v>850</v>
      </c>
      <c r="FE35" s="372" t="s">
        <v>850</v>
      </c>
      <c r="FF35" s="372" t="s">
        <v>850</v>
      </c>
      <c r="FG35" s="372" t="s">
        <v>850</v>
      </c>
      <c r="FH35" s="372" t="s">
        <v>850</v>
      </c>
      <c r="FI35" s="372" t="s">
        <v>850</v>
      </c>
      <c r="FJ35" s="372" t="s">
        <v>850</v>
      </c>
      <c r="FK35" s="372" t="s">
        <v>850</v>
      </c>
      <c r="FL35" s="372" t="s">
        <v>850</v>
      </c>
      <c r="FM35" s="372" t="s">
        <v>850</v>
      </c>
      <c r="FN35" s="372" t="s">
        <v>850</v>
      </c>
      <c r="FO35" s="372" t="s">
        <v>850</v>
      </c>
      <c r="FP35" s="375"/>
      <c r="FQ35" s="376" t="s">
        <v>972</v>
      </c>
      <c r="FR35" s="377" t="s">
        <v>522</v>
      </c>
      <c r="FS35" s="377" t="s">
        <v>850</v>
      </c>
      <c r="FT35" s="377" t="s">
        <v>551</v>
      </c>
      <c r="FU35" s="144">
        <f t="shared" si="0"/>
        <v>0</v>
      </c>
      <c r="FV35" s="371" t="s">
        <v>902</v>
      </c>
    </row>
    <row r="36" spans="1:178" s="371" customFormat="1" hidden="1">
      <c r="A36" s="368" t="s">
        <v>517</v>
      </c>
      <c r="B36" s="369" t="s">
        <v>517</v>
      </c>
      <c r="C36" s="369" t="s">
        <v>548</v>
      </c>
      <c r="D36" s="369" t="s">
        <v>3</v>
      </c>
      <c r="E36" s="370" t="s">
        <v>549</v>
      </c>
      <c r="F36" s="369" t="s">
        <v>520</v>
      </c>
      <c r="G36" s="369"/>
      <c r="H36" s="372"/>
      <c r="I36" s="372"/>
      <c r="J36" s="372"/>
      <c r="K36" s="372"/>
      <c r="L36" s="372"/>
      <c r="M36" s="372"/>
      <c r="N36" s="372"/>
      <c r="O36" s="372"/>
      <c r="P36" s="372"/>
      <c r="Q36" s="372"/>
      <c r="R36" s="372"/>
      <c r="S36" s="372"/>
      <c r="T36" s="372"/>
      <c r="U36" s="372"/>
      <c r="V36" s="372"/>
      <c r="W36" s="372"/>
      <c r="X36" s="372"/>
      <c r="Y36" s="372"/>
      <c r="Z36" s="372"/>
      <c r="AA36" s="372"/>
      <c r="AB36" s="372"/>
      <c r="AC36" s="372"/>
      <c r="AD36" s="372"/>
      <c r="AE36" s="372"/>
      <c r="AF36" s="372"/>
      <c r="AG36" s="372"/>
      <c r="AH36" s="372"/>
      <c r="AI36" s="372"/>
      <c r="AJ36" s="372"/>
      <c r="AK36" s="372"/>
      <c r="AL36" s="372"/>
      <c r="AM36" s="372"/>
      <c r="AN36" s="372"/>
      <c r="AO36" s="372"/>
      <c r="AP36" s="372"/>
      <c r="AQ36" s="372"/>
      <c r="AR36" s="372"/>
      <c r="AS36" s="372"/>
      <c r="AT36" s="372"/>
      <c r="AU36" s="372"/>
      <c r="AV36" s="372"/>
      <c r="AW36" s="372"/>
      <c r="AX36" s="372"/>
      <c r="AY36" s="372"/>
      <c r="AZ36" s="372"/>
      <c r="BA36" s="372"/>
      <c r="BB36" s="372"/>
      <c r="BC36" s="372"/>
      <c r="BD36" s="372"/>
      <c r="BE36" s="372"/>
      <c r="BF36" s="372"/>
      <c r="BG36" s="372"/>
      <c r="BH36" s="372"/>
      <c r="BI36" s="372"/>
      <c r="BJ36" s="372"/>
      <c r="BK36" s="372"/>
      <c r="BL36" s="372"/>
      <c r="BM36" s="372"/>
      <c r="BN36" s="372"/>
      <c r="BO36" s="372"/>
      <c r="BP36" s="372"/>
      <c r="BQ36" s="372"/>
      <c r="BR36" s="372"/>
      <c r="BS36" s="372"/>
      <c r="BT36" s="372"/>
      <c r="BU36" s="372"/>
      <c r="BV36" s="372"/>
      <c r="BW36" s="372"/>
      <c r="BX36" s="372"/>
      <c r="BY36" s="372"/>
      <c r="BZ36" s="372"/>
      <c r="CA36" s="372"/>
      <c r="CB36" s="372"/>
      <c r="CC36" s="372"/>
      <c r="CD36" s="372"/>
      <c r="CF36" s="372"/>
      <c r="CG36" s="372"/>
      <c r="CH36" s="372"/>
      <c r="CI36" s="372"/>
      <c r="CJ36" s="372"/>
      <c r="CK36" s="372"/>
      <c r="CL36" s="372"/>
      <c r="CN36" s="372"/>
      <c r="CP36" s="372"/>
      <c r="CQ36" s="372"/>
      <c r="CR36" s="372"/>
      <c r="CS36" s="372"/>
      <c r="CT36" s="372"/>
      <c r="CU36" s="372"/>
      <c r="CV36" s="372"/>
      <c r="CW36" s="372"/>
      <c r="CX36" s="372"/>
      <c r="CY36" s="372"/>
      <c r="CZ36" s="372"/>
      <c r="DA36" s="372"/>
      <c r="DB36" s="372"/>
      <c r="DC36" s="372"/>
      <c r="DD36" s="372"/>
      <c r="DE36" s="372"/>
      <c r="DF36" s="372"/>
      <c r="DG36" s="372"/>
      <c r="DH36" s="372"/>
      <c r="DI36" s="372"/>
      <c r="DJ36" s="372"/>
      <c r="DK36" s="372"/>
      <c r="DL36" s="372"/>
      <c r="DM36" s="372"/>
      <c r="DN36" s="372"/>
      <c r="DO36" s="372"/>
      <c r="DP36" s="372"/>
      <c r="DQ36" s="372"/>
      <c r="DR36" s="372"/>
      <c r="DS36" s="372"/>
      <c r="DT36" s="372"/>
      <c r="DU36" s="372"/>
      <c r="DV36" s="372"/>
      <c r="DW36" s="372"/>
      <c r="DX36" s="372"/>
      <c r="DY36" s="372"/>
      <c r="DZ36" s="372"/>
      <c r="EA36" s="372"/>
      <c r="EB36" s="372"/>
      <c r="EC36" s="372"/>
      <c r="ED36" s="372"/>
      <c r="EE36" s="372"/>
      <c r="EF36" s="372"/>
      <c r="EG36" s="372"/>
      <c r="EH36" s="372"/>
      <c r="EI36" s="372"/>
      <c r="EJ36" s="372"/>
      <c r="EK36" s="372"/>
      <c r="EL36" s="372"/>
      <c r="EM36" s="372"/>
      <c r="EN36" s="372"/>
      <c r="EO36" s="372"/>
      <c r="EP36" s="372"/>
      <c r="EQ36" s="372"/>
      <c r="ER36" s="372"/>
      <c r="ES36" s="372"/>
      <c r="ET36" s="372"/>
      <c r="EU36" s="372"/>
      <c r="EV36" s="372"/>
      <c r="EW36" s="372"/>
      <c r="EX36" s="372"/>
      <c r="EY36" s="372"/>
      <c r="EZ36" s="372"/>
      <c r="FA36" s="372"/>
      <c r="FB36" s="372"/>
      <c r="FC36" s="372"/>
      <c r="FD36" s="372"/>
      <c r="FE36" s="372"/>
      <c r="FF36" s="372"/>
      <c r="FG36" s="372"/>
      <c r="FH36" s="372"/>
      <c r="FI36" s="372"/>
      <c r="FJ36" s="372"/>
      <c r="FK36" s="372"/>
      <c r="FL36" s="372"/>
      <c r="FM36" s="372"/>
      <c r="FN36" s="372"/>
      <c r="FO36" s="372"/>
      <c r="FP36" s="375"/>
      <c r="FQ36" s="376" t="s">
        <v>972</v>
      </c>
      <c r="FR36" s="377" t="s">
        <v>522</v>
      </c>
      <c r="FS36" s="377" t="s">
        <v>850</v>
      </c>
      <c r="FT36" s="377" t="s">
        <v>551</v>
      </c>
      <c r="FU36" s="144">
        <f t="shared" si="0"/>
        <v>0</v>
      </c>
      <c r="FV36" s="371" t="s">
        <v>902</v>
      </c>
    </row>
    <row r="37" spans="1:178" s="371" customFormat="1">
      <c r="A37" s="368" t="s">
        <v>903</v>
      </c>
      <c r="B37" s="369" t="s">
        <v>517</v>
      </c>
      <c r="C37" s="369" t="s">
        <v>555</v>
      </c>
      <c r="D37" s="369" t="s">
        <v>8</v>
      </c>
      <c r="E37" s="370" t="s">
        <v>556</v>
      </c>
      <c r="F37" s="369" t="s">
        <v>520</v>
      </c>
      <c r="G37" s="369" t="s">
        <v>973</v>
      </c>
      <c r="H37" s="401"/>
      <c r="I37" s="401"/>
      <c r="J37" s="401"/>
      <c r="K37" s="401"/>
      <c r="L37" s="401"/>
      <c r="M37" s="401"/>
      <c r="N37" s="401"/>
      <c r="O37" s="401"/>
      <c r="P37" s="401"/>
      <c r="Q37" s="401"/>
      <c r="R37" s="401"/>
      <c r="S37" s="401"/>
      <c r="T37" s="401"/>
      <c r="U37" s="401"/>
      <c r="V37" s="401"/>
      <c r="W37" s="401"/>
      <c r="X37" s="401"/>
      <c r="Y37" s="401"/>
      <c r="Z37" s="401"/>
      <c r="AA37" s="401"/>
      <c r="AB37" s="401"/>
      <c r="AC37" s="401"/>
      <c r="AD37" s="401"/>
      <c r="AE37" s="401"/>
      <c r="AF37" s="401"/>
      <c r="AG37" s="401"/>
      <c r="AH37" s="401"/>
      <c r="AI37" s="401"/>
      <c r="AJ37" s="401"/>
      <c r="AK37" s="401"/>
      <c r="AL37" s="401"/>
      <c r="AM37" s="401"/>
      <c r="AN37" s="401"/>
      <c r="AO37" s="401"/>
      <c r="AP37" s="401"/>
      <c r="AQ37" s="401"/>
      <c r="AR37" s="401"/>
      <c r="AS37" s="401"/>
      <c r="AT37" s="401"/>
      <c r="AU37" s="401"/>
      <c r="AV37" s="401"/>
      <c r="AW37" s="401"/>
      <c r="AX37" s="401"/>
      <c r="AY37" s="401"/>
      <c r="AZ37" s="401"/>
      <c r="BA37" s="402"/>
      <c r="BB37" s="401"/>
      <c r="BC37" s="401"/>
      <c r="BD37" s="401"/>
      <c r="BE37" s="401"/>
      <c r="BF37" s="401"/>
      <c r="BG37" s="401"/>
      <c r="BH37" s="401"/>
      <c r="BI37" s="401"/>
      <c r="BJ37" s="401"/>
      <c r="BK37" s="401"/>
      <c r="BL37" s="401"/>
      <c r="BM37" s="401"/>
      <c r="BN37" s="401"/>
      <c r="BO37" s="401"/>
      <c r="BP37" s="401"/>
      <c r="BQ37" s="401"/>
      <c r="BR37" s="401"/>
      <c r="BS37" s="401"/>
      <c r="BT37" s="401"/>
      <c r="BU37" s="401"/>
      <c r="BV37" s="401"/>
      <c r="BW37" s="401"/>
      <c r="BX37" s="401"/>
      <c r="BY37" s="401"/>
      <c r="BZ37" s="401"/>
      <c r="CA37" s="401"/>
      <c r="CB37" s="401"/>
      <c r="CC37" s="401"/>
      <c r="CD37" s="401"/>
      <c r="CE37" s="401"/>
      <c r="CF37" s="401"/>
      <c r="CG37" s="401"/>
      <c r="CH37" s="401"/>
      <c r="CI37" s="401"/>
      <c r="CJ37" s="401"/>
      <c r="CK37" s="401"/>
      <c r="CL37" s="401"/>
      <c r="CM37" s="401"/>
      <c r="CN37" s="401"/>
      <c r="CO37" s="401"/>
      <c r="CP37" s="401"/>
      <c r="CQ37" s="401"/>
      <c r="CR37" s="401"/>
      <c r="CS37" s="401"/>
      <c r="CT37" s="401"/>
      <c r="CU37" s="401"/>
      <c r="CV37" s="401"/>
      <c r="CW37" s="401"/>
      <c r="CX37" s="401"/>
      <c r="CY37" s="401"/>
      <c r="CZ37" s="411">
        <v>10</v>
      </c>
      <c r="DA37" s="401"/>
      <c r="DB37" s="401"/>
      <c r="DC37" s="401"/>
      <c r="DD37" s="401"/>
      <c r="DE37" s="401"/>
      <c r="DF37" s="401"/>
      <c r="DG37" s="401"/>
      <c r="DH37" s="401"/>
      <c r="DI37" s="401"/>
      <c r="DJ37" s="401"/>
      <c r="DK37" s="401"/>
      <c r="DL37" s="401"/>
      <c r="DM37" s="401"/>
      <c r="DN37" s="401"/>
      <c r="DO37" s="402"/>
      <c r="DP37" s="401"/>
      <c r="DQ37" s="401"/>
      <c r="DR37" s="401"/>
      <c r="DS37" s="401"/>
      <c r="DT37" s="401"/>
      <c r="DU37" s="411">
        <v>20</v>
      </c>
      <c r="DV37" s="401"/>
      <c r="DW37" s="401"/>
      <c r="DX37" s="401"/>
      <c r="DY37" s="401"/>
      <c r="DZ37" s="401"/>
      <c r="EA37" s="401"/>
      <c r="EB37" s="401"/>
      <c r="EC37" s="401"/>
      <c r="ED37" s="401"/>
      <c r="EE37" s="411">
        <v>5</v>
      </c>
      <c r="EF37" s="401"/>
      <c r="EG37" s="401"/>
      <c r="EH37" s="411">
        <v>5</v>
      </c>
      <c r="EI37" s="401"/>
      <c r="EJ37" s="401"/>
      <c r="EK37" s="401"/>
      <c r="EL37" s="401"/>
      <c r="EM37" s="402"/>
      <c r="EN37" s="401"/>
      <c r="EO37" s="401"/>
      <c r="EP37" s="401"/>
      <c r="EQ37" s="401"/>
      <c r="ER37" s="401"/>
      <c r="ES37" s="401"/>
      <c r="ET37" s="401"/>
      <c r="EU37" s="401"/>
      <c r="EV37" s="401"/>
      <c r="EW37" s="401"/>
      <c r="EX37" s="401"/>
      <c r="EY37" s="401"/>
      <c r="EZ37" s="401"/>
      <c r="FA37" s="401"/>
      <c r="FB37" s="401"/>
      <c r="FC37" s="401"/>
      <c r="FD37" s="401"/>
      <c r="FE37" s="401"/>
      <c r="FF37" s="401"/>
      <c r="FG37" s="401"/>
      <c r="FH37" s="401"/>
      <c r="FI37" s="401"/>
      <c r="FJ37" s="401"/>
      <c r="FK37" s="401"/>
      <c r="FL37" s="401"/>
      <c r="FM37" s="401"/>
      <c r="FN37" s="401"/>
      <c r="FO37" s="401"/>
      <c r="FP37" s="375" t="s">
        <v>850</v>
      </c>
      <c r="FQ37" s="376" t="s">
        <v>972</v>
      </c>
      <c r="FR37" s="377" t="s">
        <v>522</v>
      </c>
      <c r="FS37" s="377" t="s">
        <v>850</v>
      </c>
      <c r="FT37" s="377" t="s">
        <v>559</v>
      </c>
      <c r="FU37" s="144">
        <f t="shared" si="0"/>
        <v>40</v>
      </c>
      <c r="FV37" s="371" t="s">
        <v>905</v>
      </c>
    </row>
    <row r="38" spans="1:178" s="371" customFormat="1">
      <c r="A38" s="368" t="s">
        <v>903</v>
      </c>
      <c r="B38" s="369" t="s">
        <v>517</v>
      </c>
      <c r="C38" s="369" t="s">
        <v>555</v>
      </c>
      <c r="D38" s="369" t="s">
        <v>4</v>
      </c>
      <c r="E38" s="370" t="s">
        <v>556</v>
      </c>
      <c r="F38" s="369" t="s">
        <v>520</v>
      </c>
      <c r="G38" s="369" t="s">
        <v>973</v>
      </c>
      <c r="H38" s="402" t="s">
        <v>850</v>
      </c>
      <c r="I38" s="402" t="s">
        <v>850</v>
      </c>
      <c r="J38" s="402" t="s">
        <v>850</v>
      </c>
      <c r="K38" s="402"/>
      <c r="L38" s="403">
        <f>15-15</f>
        <v>0</v>
      </c>
      <c r="M38" s="403">
        <f>15-15</f>
        <v>0</v>
      </c>
      <c r="N38" s="403">
        <f>15-15</f>
        <v>0</v>
      </c>
      <c r="O38" s="402"/>
      <c r="P38" s="402" t="s">
        <v>850</v>
      </c>
      <c r="Q38" s="403">
        <f>5-5</f>
        <v>0</v>
      </c>
      <c r="R38" s="402" t="s">
        <v>850</v>
      </c>
      <c r="S38" s="403">
        <f>5-5</f>
        <v>0</v>
      </c>
      <c r="T38" s="403">
        <f>20-20+2</f>
        <v>2</v>
      </c>
      <c r="U38" s="402" t="s">
        <v>850</v>
      </c>
      <c r="V38" s="402" t="s">
        <v>850</v>
      </c>
      <c r="W38" s="402" t="s">
        <v>850</v>
      </c>
      <c r="X38" s="403">
        <f>30-30+10</f>
        <v>10</v>
      </c>
      <c r="Y38" s="403">
        <f>50-50+10</f>
        <v>10</v>
      </c>
      <c r="Z38" s="402" t="s">
        <v>850</v>
      </c>
      <c r="AA38" s="403">
        <f>20-20</f>
        <v>0</v>
      </c>
      <c r="AB38" s="403">
        <f>50-50+20</f>
        <v>20</v>
      </c>
      <c r="AC38" s="403">
        <f>50-50</f>
        <v>0</v>
      </c>
      <c r="AD38" s="403">
        <f>50-50+3</f>
        <v>3</v>
      </c>
      <c r="AE38" s="402" t="s">
        <v>850</v>
      </c>
      <c r="AF38" s="402" t="s">
        <v>850</v>
      </c>
      <c r="AG38" s="402" t="s">
        <v>850</v>
      </c>
      <c r="AH38" s="402" t="s">
        <v>850</v>
      </c>
      <c r="AI38" s="402" t="s">
        <v>850</v>
      </c>
      <c r="AJ38" s="402" t="s">
        <v>850</v>
      </c>
      <c r="AK38" s="402" t="s">
        <v>850</v>
      </c>
      <c r="AL38" s="402" t="s">
        <v>850</v>
      </c>
      <c r="AM38" s="402" t="s">
        <v>850</v>
      </c>
      <c r="AN38" s="402" t="s">
        <v>850</v>
      </c>
      <c r="AO38" s="402" t="s">
        <v>850</v>
      </c>
      <c r="AP38" s="402" t="s">
        <v>850</v>
      </c>
      <c r="AQ38" s="402" t="s">
        <v>850</v>
      </c>
      <c r="AR38" s="402" t="s">
        <v>850</v>
      </c>
      <c r="AS38" s="402" t="s">
        <v>850</v>
      </c>
      <c r="AT38" s="402" t="s">
        <v>850</v>
      </c>
      <c r="AU38" s="402"/>
      <c r="AV38" s="402" t="s">
        <v>850</v>
      </c>
      <c r="AW38" s="402" t="s">
        <v>850</v>
      </c>
      <c r="AX38" s="402"/>
      <c r="AY38" s="402" t="s">
        <v>850</v>
      </c>
      <c r="AZ38" s="402" t="s">
        <v>850</v>
      </c>
      <c r="BA38" s="409">
        <v>5</v>
      </c>
      <c r="BB38" s="403">
        <f>20-20</f>
        <v>0</v>
      </c>
      <c r="BC38" s="403">
        <f>20-20</f>
        <v>0</v>
      </c>
      <c r="BD38" s="403">
        <f>5-5+2</f>
        <v>2</v>
      </c>
      <c r="BE38" s="403">
        <f>20-20</f>
        <v>0</v>
      </c>
      <c r="BF38" s="402" t="s">
        <v>850</v>
      </c>
      <c r="BG38" s="402"/>
      <c r="BH38" s="402" t="s">
        <v>850</v>
      </c>
      <c r="BI38" s="402" t="s">
        <v>850</v>
      </c>
      <c r="BJ38" s="402" t="s">
        <v>850</v>
      </c>
      <c r="BK38" s="402" t="s">
        <v>850</v>
      </c>
      <c r="BL38" s="402"/>
      <c r="BM38" s="402"/>
      <c r="BN38" s="402"/>
      <c r="BO38" s="403">
        <f>20-20+5</f>
        <v>5</v>
      </c>
      <c r="BP38" s="403">
        <f>20-20+5</f>
        <v>5</v>
      </c>
      <c r="BQ38" s="402"/>
      <c r="BR38" s="403">
        <f>20-20</f>
        <v>0</v>
      </c>
      <c r="BS38" s="402"/>
      <c r="BT38" s="402"/>
      <c r="BU38" s="402" t="s">
        <v>850</v>
      </c>
      <c r="BV38" s="402" t="s">
        <v>850</v>
      </c>
      <c r="BW38" s="403">
        <f>10-10+1</f>
        <v>1</v>
      </c>
      <c r="BX38" s="402"/>
      <c r="BY38" s="403">
        <f>10-10+2</f>
        <v>2</v>
      </c>
      <c r="BZ38" s="403">
        <f>30-30</f>
        <v>0</v>
      </c>
      <c r="CA38" s="402" t="s">
        <v>850</v>
      </c>
      <c r="CB38" s="403">
        <f>20-20+10</f>
        <v>10</v>
      </c>
      <c r="CC38" s="403">
        <f>20-20</f>
        <v>0</v>
      </c>
      <c r="CD38" s="403">
        <f>20-20</f>
        <v>0</v>
      </c>
      <c r="CE38" s="401"/>
      <c r="CF38" s="403">
        <f>10-10</f>
        <v>0</v>
      </c>
      <c r="CG38" s="403">
        <f>10-10+10</f>
        <v>10</v>
      </c>
      <c r="CH38" s="402"/>
      <c r="CI38" s="403">
        <f>30-30+5</f>
        <v>5</v>
      </c>
      <c r="CJ38" s="403">
        <f>10-10+2</f>
        <v>2</v>
      </c>
      <c r="CK38" s="403">
        <f>20-20</f>
        <v>0</v>
      </c>
      <c r="CL38" s="402" t="s">
        <v>850</v>
      </c>
      <c r="CM38" s="411">
        <v>5</v>
      </c>
      <c r="CN38" s="403">
        <f>20-20</f>
        <v>0</v>
      </c>
      <c r="CO38" s="411">
        <v>10</v>
      </c>
      <c r="CP38" s="403">
        <f>50-50</f>
        <v>0</v>
      </c>
      <c r="CQ38" s="403">
        <f>40-40</f>
        <v>0</v>
      </c>
      <c r="CR38" s="403">
        <f>40-40</f>
        <v>0</v>
      </c>
      <c r="CS38" s="403">
        <f>30-30</f>
        <v>0</v>
      </c>
      <c r="CT38" s="402" t="s">
        <v>850</v>
      </c>
      <c r="CU38" s="403">
        <f>40-40</f>
        <v>0</v>
      </c>
      <c r="CV38" s="403">
        <f>30-30+10</f>
        <v>10</v>
      </c>
      <c r="CW38" s="403">
        <f>50-50+10</f>
        <v>10</v>
      </c>
      <c r="CX38" s="403">
        <f>100-100+15</f>
        <v>15</v>
      </c>
      <c r="CY38" s="403">
        <f>50-50</f>
        <v>0</v>
      </c>
      <c r="CZ38" s="403">
        <f>100-100</f>
        <v>0</v>
      </c>
      <c r="DA38" s="403">
        <f>100-100</f>
        <v>0</v>
      </c>
      <c r="DB38" s="403">
        <f>30-30</f>
        <v>0</v>
      </c>
      <c r="DC38" s="402" t="s">
        <v>850</v>
      </c>
      <c r="DD38" s="403">
        <f>30-30+10</f>
        <v>10</v>
      </c>
      <c r="DE38" s="402" t="s">
        <v>850</v>
      </c>
      <c r="DF38" s="403">
        <f>20-20+1</f>
        <v>1</v>
      </c>
      <c r="DG38" s="403">
        <f>140-140+2</f>
        <v>2</v>
      </c>
      <c r="DH38" s="403">
        <f>100-100</f>
        <v>0</v>
      </c>
      <c r="DI38" s="403">
        <f>100-100</f>
        <v>0</v>
      </c>
      <c r="DJ38" s="403">
        <f>50-50</f>
        <v>0</v>
      </c>
      <c r="DK38" s="402" t="s">
        <v>850</v>
      </c>
      <c r="DL38" s="402" t="s">
        <v>850</v>
      </c>
      <c r="DM38" s="403">
        <f>50-50</f>
        <v>0</v>
      </c>
      <c r="DN38" s="402" t="s">
        <v>850</v>
      </c>
      <c r="DO38" s="402"/>
      <c r="DP38" s="402"/>
      <c r="DQ38" s="402" t="s">
        <v>850</v>
      </c>
      <c r="DR38" s="402" t="s">
        <v>850</v>
      </c>
      <c r="DS38" s="402"/>
      <c r="DT38" s="402" t="s">
        <v>850</v>
      </c>
      <c r="DU38" s="403">
        <f>60-60</f>
        <v>0</v>
      </c>
      <c r="DV38" s="402" t="s">
        <v>850</v>
      </c>
      <c r="DW38" s="403">
        <f>60-60</f>
        <v>0</v>
      </c>
      <c r="DX38" s="402" t="s">
        <v>850</v>
      </c>
      <c r="DY38" s="402"/>
      <c r="DZ38" s="402" t="s">
        <v>850</v>
      </c>
      <c r="EA38" s="402" t="s">
        <v>850</v>
      </c>
      <c r="EB38" s="402" t="s">
        <v>850</v>
      </c>
      <c r="EC38" s="403">
        <f>60-60</f>
        <v>0</v>
      </c>
      <c r="ED38" s="403">
        <f>60-60</f>
        <v>0</v>
      </c>
      <c r="EE38" s="403">
        <f>60-60</f>
        <v>0</v>
      </c>
      <c r="EF38" s="402" t="s">
        <v>850</v>
      </c>
      <c r="EG38" s="403">
        <f>20-20+3</f>
        <v>3</v>
      </c>
      <c r="EH38" s="403">
        <f t="shared" ref="EH38:EN38" si="5">20-20</f>
        <v>0</v>
      </c>
      <c r="EI38" s="403">
        <f t="shared" si="5"/>
        <v>0</v>
      </c>
      <c r="EJ38" s="403">
        <f t="shared" si="5"/>
        <v>0</v>
      </c>
      <c r="EK38" s="403">
        <f t="shared" si="5"/>
        <v>0</v>
      </c>
      <c r="EL38" s="403">
        <f t="shared" si="5"/>
        <v>0</v>
      </c>
      <c r="EM38" s="402"/>
      <c r="EN38" s="403">
        <f t="shared" si="5"/>
        <v>0</v>
      </c>
      <c r="EO38" s="402" t="s">
        <v>850</v>
      </c>
      <c r="EP38" s="402" t="s">
        <v>850</v>
      </c>
      <c r="EQ38" s="402"/>
      <c r="ER38" s="402" t="s">
        <v>850</v>
      </c>
      <c r="ES38" s="402" t="s">
        <v>850</v>
      </c>
      <c r="ET38" s="402" t="s">
        <v>850</v>
      </c>
      <c r="EU38" s="402"/>
      <c r="EV38" s="402"/>
      <c r="EW38" s="402"/>
      <c r="EX38" s="402"/>
      <c r="EY38" s="402" t="s">
        <v>850</v>
      </c>
      <c r="EZ38" s="402"/>
      <c r="FA38" s="402"/>
      <c r="FB38" s="402"/>
      <c r="FC38" s="402"/>
      <c r="FD38" s="402"/>
      <c r="FE38" s="402" t="s">
        <v>850</v>
      </c>
      <c r="FF38" s="402"/>
      <c r="FG38" s="402" t="s">
        <v>850</v>
      </c>
      <c r="FH38" s="402"/>
      <c r="FI38" s="402" t="s">
        <v>850</v>
      </c>
      <c r="FJ38" s="402" t="s">
        <v>850</v>
      </c>
      <c r="FK38" s="402"/>
      <c r="FL38" s="402" t="s">
        <v>850</v>
      </c>
      <c r="FM38" s="402" t="s">
        <v>850</v>
      </c>
      <c r="FN38" s="402" t="s">
        <v>850</v>
      </c>
      <c r="FO38" s="402" t="s">
        <v>850</v>
      </c>
      <c r="FP38" s="375"/>
      <c r="FQ38" s="376" t="s">
        <v>972</v>
      </c>
      <c r="FR38" s="377" t="s">
        <v>522</v>
      </c>
      <c r="FS38" s="377" t="s">
        <v>850</v>
      </c>
      <c r="FT38" s="377" t="s">
        <v>559</v>
      </c>
      <c r="FU38" s="144">
        <f t="shared" si="0"/>
        <v>158</v>
      </c>
      <c r="FV38" s="371" t="s">
        <v>905</v>
      </c>
    </row>
    <row r="39" spans="1:178" s="371" customFormat="1">
      <c r="A39" s="368" t="s">
        <v>903</v>
      </c>
      <c r="B39" s="369" t="s">
        <v>517</v>
      </c>
      <c r="C39" s="369" t="s">
        <v>555</v>
      </c>
      <c r="D39" s="369" t="s">
        <v>3</v>
      </c>
      <c r="E39" s="370" t="s">
        <v>556</v>
      </c>
      <c r="F39" s="369" t="s">
        <v>520</v>
      </c>
      <c r="G39" s="369" t="s">
        <v>974</v>
      </c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1"/>
      <c r="CF39" s="402"/>
      <c r="CG39" s="402"/>
      <c r="CH39" s="402"/>
      <c r="CI39" s="402"/>
      <c r="CJ39" s="402"/>
      <c r="CK39" s="402"/>
      <c r="CL39" s="402"/>
      <c r="CM39" s="401"/>
      <c r="CN39" s="402"/>
      <c r="CO39" s="401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375"/>
      <c r="FQ39" s="376" t="s">
        <v>972</v>
      </c>
      <c r="FR39" s="377" t="s">
        <v>522</v>
      </c>
      <c r="FS39" s="377" t="s">
        <v>850</v>
      </c>
      <c r="FT39" s="377" t="s">
        <v>559</v>
      </c>
      <c r="FU39" s="144">
        <f t="shared" si="0"/>
        <v>0</v>
      </c>
      <c r="FV39" s="371" t="s">
        <v>905</v>
      </c>
    </row>
    <row r="40" spans="1:178" s="371" customFormat="1">
      <c r="A40" s="368" t="s">
        <v>540</v>
      </c>
      <c r="B40" s="369" t="s">
        <v>517</v>
      </c>
      <c r="C40" s="369" t="s">
        <v>555</v>
      </c>
      <c r="D40" s="369" t="s">
        <v>8</v>
      </c>
      <c r="E40" s="370" t="s">
        <v>975</v>
      </c>
      <c r="F40" s="369" t="s">
        <v>520</v>
      </c>
      <c r="G40" s="369" t="s">
        <v>976</v>
      </c>
      <c r="H40" s="401"/>
      <c r="I40" s="401"/>
      <c r="J40" s="401"/>
      <c r="K40" s="401"/>
      <c r="L40" s="401"/>
      <c r="M40" s="401"/>
      <c r="N40" s="401"/>
      <c r="O40" s="401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1"/>
      <c r="AQ40" s="401"/>
      <c r="AR40" s="401"/>
      <c r="AS40" s="401"/>
      <c r="AT40" s="401"/>
      <c r="AU40" s="401"/>
      <c r="AV40" s="401"/>
      <c r="AW40" s="401"/>
      <c r="AX40" s="401"/>
      <c r="AY40" s="401"/>
      <c r="AZ40" s="401"/>
      <c r="BA40" s="402"/>
      <c r="BB40" s="401"/>
      <c r="BC40" s="401"/>
      <c r="BD40" s="401"/>
      <c r="BE40" s="401"/>
      <c r="BF40" s="401"/>
      <c r="BG40" s="401"/>
      <c r="BH40" s="401"/>
      <c r="BI40" s="401"/>
      <c r="BJ40" s="401"/>
      <c r="BK40" s="401"/>
      <c r="BL40" s="401"/>
      <c r="BM40" s="401"/>
      <c r="BN40" s="401"/>
      <c r="BO40" s="401"/>
      <c r="BP40" s="401"/>
      <c r="BQ40" s="401"/>
      <c r="BR40" s="401"/>
      <c r="BS40" s="401"/>
      <c r="BT40" s="401"/>
      <c r="BU40" s="401"/>
      <c r="BV40" s="401"/>
      <c r="BW40" s="401"/>
      <c r="BX40" s="401"/>
      <c r="BY40" s="401"/>
      <c r="BZ40" s="401"/>
      <c r="CA40" s="401"/>
      <c r="CB40" s="401"/>
      <c r="CC40" s="401"/>
      <c r="CD40" s="401"/>
      <c r="CE40" s="401"/>
      <c r="CF40" s="401"/>
      <c r="CG40" s="401"/>
      <c r="CH40" s="401"/>
      <c r="CI40" s="401"/>
      <c r="CJ40" s="401"/>
      <c r="CK40" s="401"/>
      <c r="CL40" s="401"/>
      <c r="CM40" s="401"/>
      <c r="CN40" s="401"/>
      <c r="CO40" s="401"/>
      <c r="CP40" s="401"/>
      <c r="CQ40" s="401"/>
      <c r="CR40" s="401"/>
      <c r="CS40" s="401"/>
      <c r="CT40" s="401"/>
      <c r="CU40" s="401"/>
      <c r="CV40" s="401"/>
      <c r="CW40" s="401"/>
      <c r="CX40" s="401"/>
      <c r="CY40" s="401"/>
      <c r="CZ40" s="401"/>
      <c r="DA40" s="401"/>
      <c r="DB40" s="401"/>
      <c r="DC40" s="401"/>
      <c r="DD40" s="401"/>
      <c r="DE40" s="401"/>
      <c r="DF40" s="401"/>
      <c r="DG40" s="401"/>
      <c r="DH40" s="401"/>
      <c r="DI40" s="401"/>
      <c r="DJ40" s="401"/>
      <c r="DK40" s="401"/>
      <c r="DL40" s="401"/>
      <c r="DM40" s="401"/>
      <c r="DN40" s="401"/>
      <c r="DO40" s="402"/>
      <c r="DP40" s="401"/>
      <c r="DQ40" s="401"/>
      <c r="DR40" s="401"/>
      <c r="DS40" s="401"/>
      <c r="DT40" s="401"/>
      <c r="DU40" s="411">
        <v>10</v>
      </c>
      <c r="DV40" s="401"/>
      <c r="DW40" s="401"/>
      <c r="DX40" s="401"/>
      <c r="DY40" s="401"/>
      <c r="DZ40" s="401"/>
      <c r="EA40" s="401"/>
      <c r="EB40" s="401"/>
      <c r="EC40" s="401"/>
      <c r="ED40" s="401"/>
      <c r="EE40" s="401"/>
      <c r="EF40" s="401"/>
      <c r="EG40" s="401"/>
      <c r="EH40" s="401"/>
      <c r="EI40" s="401"/>
      <c r="EJ40" s="401"/>
      <c r="EK40" s="401"/>
      <c r="EL40" s="401"/>
      <c r="EM40" s="402"/>
      <c r="EN40" s="401"/>
      <c r="EO40" s="401"/>
      <c r="EP40" s="401"/>
      <c r="EQ40" s="401"/>
      <c r="ER40" s="401"/>
      <c r="ES40" s="401"/>
      <c r="ET40" s="401"/>
      <c r="EU40" s="401"/>
      <c r="EV40" s="401"/>
      <c r="EW40" s="401"/>
      <c r="EX40" s="401"/>
      <c r="EY40" s="401"/>
      <c r="EZ40" s="401"/>
      <c r="FA40" s="401"/>
      <c r="FB40" s="401"/>
      <c r="FC40" s="401"/>
      <c r="FD40" s="401"/>
      <c r="FE40" s="401"/>
      <c r="FF40" s="401"/>
      <c r="FG40" s="401"/>
      <c r="FH40" s="401"/>
      <c r="FI40" s="401"/>
      <c r="FJ40" s="401"/>
      <c r="FK40" s="401"/>
      <c r="FL40" s="401"/>
      <c r="FM40" s="401"/>
      <c r="FN40" s="401"/>
      <c r="FO40" s="401"/>
      <c r="FP40" s="375" t="s">
        <v>850</v>
      </c>
      <c r="FQ40" s="376" t="s">
        <v>972</v>
      </c>
      <c r="FR40" s="377" t="s">
        <v>522</v>
      </c>
      <c r="FS40" s="377" t="s">
        <v>850</v>
      </c>
      <c r="FT40" s="377" t="s">
        <v>977</v>
      </c>
      <c r="FU40" s="144">
        <f t="shared" si="0"/>
        <v>10</v>
      </c>
      <c r="FV40" s="371" t="s">
        <v>905</v>
      </c>
    </row>
    <row r="41" spans="1:178" s="371" customFormat="1">
      <c r="A41" s="368" t="s">
        <v>540</v>
      </c>
      <c r="B41" s="369" t="s">
        <v>517</v>
      </c>
      <c r="C41" s="369" t="s">
        <v>555</v>
      </c>
      <c r="D41" s="369" t="s">
        <v>4</v>
      </c>
      <c r="E41" s="370" t="s">
        <v>975</v>
      </c>
      <c r="F41" s="369" t="s">
        <v>520</v>
      </c>
      <c r="G41" s="369" t="s">
        <v>976</v>
      </c>
      <c r="H41" s="402" t="s">
        <v>850</v>
      </c>
      <c r="I41" s="402" t="s">
        <v>850</v>
      </c>
      <c r="J41" s="402" t="s">
        <v>850</v>
      </c>
      <c r="K41" s="402"/>
      <c r="L41" s="402" t="s">
        <v>850</v>
      </c>
      <c r="M41" s="402" t="s">
        <v>850</v>
      </c>
      <c r="N41" s="402"/>
      <c r="O41" s="402"/>
      <c r="P41" s="402"/>
      <c r="Q41" s="402"/>
      <c r="R41" s="402"/>
      <c r="S41" s="402"/>
      <c r="T41" s="402"/>
      <c r="U41" s="402" t="s">
        <v>850</v>
      </c>
      <c r="V41" s="402" t="s">
        <v>850</v>
      </c>
      <c r="W41" s="402" t="s">
        <v>850</v>
      </c>
      <c r="X41" s="402"/>
      <c r="Y41" s="402"/>
      <c r="Z41" s="402"/>
      <c r="AA41" s="402"/>
      <c r="AB41" s="402"/>
      <c r="AC41" s="402"/>
      <c r="AD41" s="402"/>
      <c r="AE41" s="402" t="s">
        <v>850</v>
      </c>
      <c r="AF41" s="402" t="s">
        <v>850</v>
      </c>
      <c r="AG41" s="402" t="s">
        <v>850</v>
      </c>
      <c r="AH41" s="402" t="s">
        <v>850</v>
      </c>
      <c r="AI41" s="402" t="s">
        <v>850</v>
      </c>
      <c r="AJ41" s="402" t="s">
        <v>850</v>
      </c>
      <c r="AK41" s="402" t="s">
        <v>850</v>
      </c>
      <c r="AL41" s="402" t="s">
        <v>850</v>
      </c>
      <c r="AM41" s="402" t="s">
        <v>850</v>
      </c>
      <c r="AN41" s="402" t="s">
        <v>850</v>
      </c>
      <c r="AO41" s="402" t="s">
        <v>850</v>
      </c>
      <c r="AP41" s="402" t="s">
        <v>850</v>
      </c>
      <c r="AQ41" s="402" t="s">
        <v>850</v>
      </c>
      <c r="AR41" s="402" t="s">
        <v>850</v>
      </c>
      <c r="AS41" s="402" t="s">
        <v>850</v>
      </c>
      <c r="AT41" s="402" t="s">
        <v>850</v>
      </c>
      <c r="AU41" s="402"/>
      <c r="AV41" s="402" t="s">
        <v>850</v>
      </c>
      <c r="AW41" s="402" t="s">
        <v>850</v>
      </c>
      <c r="AX41" s="402"/>
      <c r="AY41" s="402" t="s">
        <v>850</v>
      </c>
      <c r="AZ41" s="402" t="s">
        <v>850</v>
      </c>
      <c r="BA41" s="402"/>
      <c r="BB41" s="402" t="s">
        <v>850</v>
      </c>
      <c r="BC41" s="402" t="s">
        <v>850</v>
      </c>
      <c r="BD41" s="402"/>
      <c r="BE41" s="402" t="s">
        <v>850</v>
      </c>
      <c r="BF41" s="402" t="s">
        <v>850</v>
      </c>
      <c r="BG41" s="402"/>
      <c r="BH41" s="402" t="s">
        <v>850</v>
      </c>
      <c r="BI41" s="402" t="s">
        <v>850</v>
      </c>
      <c r="BJ41" s="402" t="s">
        <v>850</v>
      </c>
      <c r="BK41" s="402" t="s">
        <v>850</v>
      </c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1"/>
      <c r="CF41" s="403">
        <f>50-50</f>
        <v>0</v>
      </c>
      <c r="CG41" s="402"/>
      <c r="CH41" s="402"/>
      <c r="CI41" s="402"/>
      <c r="CJ41" s="402"/>
      <c r="CK41" s="402"/>
      <c r="CL41" s="402"/>
      <c r="CM41" s="401"/>
      <c r="CN41" s="402"/>
      <c r="CO41" s="401"/>
      <c r="CP41" s="402" t="s">
        <v>850</v>
      </c>
      <c r="CQ41" s="402" t="s">
        <v>850</v>
      </c>
      <c r="CR41" s="402"/>
      <c r="CS41" s="403">
        <f>50-50</f>
        <v>0</v>
      </c>
      <c r="CT41" s="402" t="s">
        <v>850</v>
      </c>
      <c r="CU41" s="402" t="s">
        <v>850</v>
      </c>
      <c r="CV41" s="402"/>
      <c r="CW41" s="402"/>
      <c r="CX41" s="403">
        <f>40-40+10</f>
        <v>10</v>
      </c>
      <c r="CY41" s="402"/>
      <c r="CZ41" s="402"/>
      <c r="DA41" s="402"/>
      <c r="DB41" s="402"/>
      <c r="DC41" s="402" t="s">
        <v>850</v>
      </c>
      <c r="DD41" s="402"/>
      <c r="DE41" s="402" t="s">
        <v>850</v>
      </c>
      <c r="DF41" s="402"/>
      <c r="DG41" s="403">
        <f>40-40+2</f>
        <v>2</v>
      </c>
      <c r="DH41" s="402" t="s">
        <v>850</v>
      </c>
      <c r="DI41" s="402" t="s">
        <v>850</v>
      </c>
      <c r="DJ41" s="402" t="s">
        <v>850</v>
      </c>
      <c r="DK41" s="402" t="s">
        <v>850</v>
      </c>
      <c r="DL41" s="402" t="s">
        <v>850</v>
      </c>
      <c r="DM41" s="402" t="s">
        <v>850</v>
      </c>
      <c r="DN41" s="402" t="s">
        <v>850</v>
      </c>
      <c r="DO41" s="402"/>
      <c r="DP41" s="402"/>
      <c r="DQ41" s="402" t="s">
        <v>850</v>
      </c>
      <c r="DR41" s="402" t="s">
        <v>850</v>
      </c>
      <c r="DS41" s="402"/>
      <c r="DT41" s="402" t="s">
        <v>850</v>
      </c>
      <c r="DU41" s="403">
        <f>100-100</f>
        <v>0</v>
      </c>
      <c r="DV41" s="402" t="s">
        <v>850</v>
      </c>
      <c r="DW41" s="402"/>
      <c r="DX41" s="402" t="s">
        <v>850</v>
      </c>
      <c r="DY41" s="402"/>
      <c r="DZ41" s="402" t="s">
        <v>850</v>
      </c>
      <c r="EA41" s="402" t="s">
        <v>850</v>
      </c>
      <c r="EB41" s="402" t="s">
        <v>850</v>
      </c>
      <c r="EC41" s="402" t="s">
        <v>850</v>
      </c>
      <c r="ED41" s="402" t="s">
        <v>850</v>
      </c>
      <c r="EE41" s="402"/>
      <c r="EF41" s="402" t="s">
        <v>850</v>
      </c>
      <c r="EG41" s="402"/>
      <c r="EH41" s="402"/>
      <c r="EI41" s="402" t="s">
        <v>850</v>
      </c>
      <c r="EJ41" s="402" t="s">
        <v>850</v>
      </c>
      <c r="EK41" s="402" t="s">
        <v>850</v>
      </c>
      <c r="EL41" s="402" t="s">
        <v>850</v>
      </c>
      <c r="EM41" s="402"/>
      <c r="EN41" s="402" t="s">
        <v>850</v>
      </c>
      <c r="EO41" s="402" t="s">
        <v>850</v>
      </c>
      <c r="EP41" s="402" t="s">
        <v>850</v>
      </c>
      <c r="EQ41" s="402"/>
      <c r="ER41" s="402" t="s">
        <v>850</v>
      </c>
      <c r="ES41" s="402" t="s">
        <v>850</v>
      </c>
      <c r="ET41" s="402" t="s">
        <v>850</v>
      </c>
      <c r="EU41" s="402"/>
      <c r="EV41" s="402"/>
      <c r="EW41" s="402"/>
      <c r="EX41" s="402"/>
      <c r="EY41" s="402" t="s">
        <v>850</v>
      </c>
      <c r="EZ41" s="402"/>
      <c r="FA41" s="402"/>
      <c r="FB41" s="402"/>
      <c r="FC41" s="402"/>
      <c r="FD41" s="402"/>
      <c r="FE41" s="402" t="s">
        <v>850</v>
      </c>
      <c r="FF41" s="402"/>
      <c r="FG41" s="402" t="s">
        <v>850</v>
      </c>
      <c r="FH41" s="402"/>
      <c r="FI41" s="402" t="s">
        <v>850</v>
      </c>
      <c r="FJ41" s="402" t="s">
        <v>850</v>
      </c>
      <c r="FK41" s="402"/>
      <c r="FL41" s="402" t="s">
        <v>850</v>
      </c>
      <c r="FM41" s="402" t="s">
        <v>850</v>
      </c>
      <c r="FN41" s="402" t="s">
        <v>850</v>
      </c>
      <c r="FO41" s="402" t="s">
        <v>850</v>
      </c>
      <c r="FP41" s="375"/>
      <c r="FQ41" s="376" t="s">
        <v>972</v>
      </c>
      <c r="FR41" s="377" t="s">
        <v>522</v>
      </c>
      <c r="FS41" s="377" t="s">
        <v>850</v>
      </c>
      <c r="FT41" s="377" t="s">
        <v>977</v>
      </c>
      <c r="FU41" s="144">
        <f t="shared" si="0"/>
        <v>12</v>
      </c>
      <c r="FV41" s="371" t="s">
        <v>905</v>
      </c>
    </row>
    <row r="42" spans="1:178" s="371" customFormat="1">
      <c r="A42" s="368" t="s">
        <v>540</v>
      </c>
      <c r="B42" s="369" t="s">
        <v>517</v>
      </c>
      <c r="C42" s="369" t="s">
        <v>555</v>
      </c>
      <c r="D42" s="369" t="s">
        <v>3</v>
      </c>
      <c r="E42" s="370" t="s">
        <v>975</v>
      </c>
      <c r="F42" s="369" t="s">
        <v>520</v>
      </c>
      <c r="G42" s="369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/>
      <c r="BU42" s="402"/>
      <c r="BV42" s="402"/>
      <c r="BW42" s="402"/>
      <c r="BX42" s="402"/>
      <c r="BY42" s="402"/>
      <c r="BZ42" s="402"/>
      <c r="CA42" s="402"/>
      <c r="CB42" s="402"/>
      <c r="CC42" s="402"/>
      <c r="CD42" s="402"/>
      <c r="CE42" s="401"/>
      <c r="CF42" s="402"/>
      <c r="CG42" s="402"/>
      <c r="CH42" s="402"/>
      <c r="CI42" s="402"/>
      <c r="CJ42" s="402"/>
      <c r="CK42" s="402"/>
      <c r="CL42" s="402"/>
      <c r="CM42" s="401"/>
      <c r="CN42" s="402"/>
      <c r="CO42" s="401"/>
      <c r="CP42" s="402"/>
      <c r="CQ42" s="402"/>
      <c r="CR42" s="402"/>
      <c r="CS42" s="402"/>
      <c r="CT42" s="402"/>
      <c r="CU42" s="402"/>
      <c r="CV42" s="402"/>
      <c r="CW42" s="402"/>
      <c r="CX42" s="402"/>
      <c r="CY42" s="402"/>
      <c r="CZ42" s="402"/>
      <c r="DA42" s="402"/>
      <c r="DB42" s="402"/>
      <c r="DC42" s="402"/>
      <c r="DD42" s="402"/>
      <c r="DE42" s="402"/>
      <c r="DF42" s="402"/>
      <c r="DG42" s="402"/>
      <c r="DH42" s="402"/>
      <c r="DI42" s="402"/>
      <c r="DJ42" s="402"/>
      <c r="DK42" s="402"/>
      <c r="DL42" s="402"/>
      <c r="DM42" s="402"/>
      <c r="DN42" s="402"/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375"/>
      <c r="FQ42" s="376" t="s">
        <v>972</v>
      </c>
      <c r="FR42" s="377" t="s">
        <v>522</v>
      </c>
      <c r="FS42" s="377" t="s">
        <v>850</v>
      </c>
      <c r="FT42" s="377" t="s">
        <v>977</v>
      </c>
      <c r="FU42" s="144">
        <f t="shared" si="0"/>
        <v>0</v>
      </c>
      <c r="FV42" s="371" t="s">
        <v>905</v>
      </c>
    </row>
    <row r="43" spans="1:178" s="371" customFormat="1">
      <c r="A43" s="368" t="s">
        <v>526</v>
      </c>
      <c r="B43" s="369" t="s">
        <v>517</v>
      </c>
      <c r="C43" s="369" t="s">
        <v>555</v>
      </c>
      <c r="D43" s="369" t="s">
        <v>8</v>
      </c>
      <c r="E43" s="370" t="s">
        <v>806</v>
      </c>
      <c r="F43" s="369" t="s">
        <v>520</v>
      </c>
      <c r="G43" s="369"/>
      <c r="H43" s="401"/>
      <c r="I43" s="401"/>
      <c r="J43" s="401"/>
      <c r="K43" s="401"/>
      <c r="L43" s="401"/>
      <c r="M43" s="401"/>
      <c r="N43" s="401"/>
      <c r="O43" s="401"/>
      <c r="P43" s="401"/>
      <c r="Q43" s="401"/>
      <c r="R43" s="401"/>
      <c r="S43" s="401"/>
      <c r="T43" s="401"/>
      <c r="U43" s="401"/>
      <c r="V43" s="401"/>
      <c r="W43" s="401"/>
      <c r="X43" s="401"/>
      <c r="Y43" s="401"/>
      <c r="Z43" s="401"/>
      <c r="AA43" s="401"/>
      <c r="AB43" s="401"/>
      <c r="AC43" s="401"/>
      <c r="AD43" s="401"/>
      <c r="AE43" s="401"/>
      <c r="AF43" s="401"/>
      <c r="AG43" s="401"/>
      <c r="AH43" s="401"/>
      <c r="AI43" s="401"/>
      <c r="AJ43" s="401"/>
      <c r="AK43" s="401"/>
      <c r="AL43" s="401"/>
      <c r="AM43" s="401"/>
      <c r="AN43" s="401"/>
      <c r="AO43" s="401"/>
      <c r="AP43" s="401"/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2"/>
      <c r="BB43" s="401"/>
      <c r="BC43" s="401"/>
      <c r="BD43" s="401"/>
      <c r="BE43" s="401"/>
      <c r="BF43" s="401"/>
      <c r="BG43" s="401"/>
      <c r="BH43" s="401"/>
      <c r="BI43" s="401"/>
      <c r="BJ43" s="401"/>
      <c r="BK43" s="401"/>
      <c r="BL43" s="401"/>
      <c r="BM43" s="401"/>
      <c r="BN43" s="401"/>
      <c r="BO43" s="401"/>
      <c r="BP43" s="401"/>
      <c r="BQ43" s="401"/>
      <c r="BR43" s="401"/>
      <c r="BS43" s="401"/>
      <c r="BT43" s="401"/>
      <c r="BU43" s="401"/>
      <c r="BV43" s="401"/>
      <c r="BW43" s="401"/>
      <c r="BX43" s="401"/>
      <c r="BY43" s="401"/>
      <c r="BZ43" s="401"/>
      <c r="CA43" s="401"/>
      <c r="CB43" s="401"/>
      <c r="CC43" s="401"/>
      <c r="CD43" s="401"/>
      <c r="CE43" s="401"/>
      <c r="CF43" s="401"/>
      <c r="CG43" s="401"/>
      <c r="CH43" s="401"/>
      <c r="CI43" s="401"/>
      <c r="CJ43" s="401"/>
      <c r="CK43" s="401"/>
      <c r="CL43" s="401"/>
      <c r="CM43" s="401"/>
      <c r="CN43" s="401"/>
      <c r="CO43" s="401"/>
      <c r="CP43" s="401"/>
      <c r="CQ43" s="401"/>
      <c r="CR43" s="401"/>
      <c r="CS43" s="401"/>
      <c r="CT43" s="401"/>
      <c r="CU43" s="401"/>
      <c r="CV43" s="401"/>
      <c r="CW43" s="401"/>
      <c r="CX43" s="401"/>
      <c r="CY43" s="401"/>
      <c r="CZ43" s="401"/>
      <c r="DA43" s="401"/>
      <c r="DB43" s="401"/>
      <c r="DC43" s="401"/>
      <c r="DD43" s="401"/>
      <c r="DE43" s="401"/>
      <c r="DF43" s="401"/>
      <c r="DG43" s="401"/>
      <c r="DH43" s="401"/>
      <c r="DI43" s="401"/>
      <c r="DJ43" s="401"/>
      <c r="DK43" s="401"/>
      <c r="DL43" s="401"/>
      <c r="DM43" s="401"/>
      <c r="DN43" s="401"/>
      <c r="DO43" s="402"/>
      <c r="DP43" s="401"/>
      <c r="DQ43" s="401"/>
      <c r="DR43" s="401"/>
      <c r="DS43" s="401"/>
      <c r="DT43" s="401"/>
      <c r="DU43" s="401"/>
      <c r="DV43" s="401"/>
      <c r="DW43" s="401"/>
      <c r="DX43" s="401"/>
      <c r="DY43" s="401"/>
      <c r="DZ43" s="401"/>
      <c r="EA43" s="401"/>
      <c r="EB43" s="401"/>
      <c r="EC43" s="401"/>
      <c r="ED43" s="401"/>
      <c r="EE43" s="401"/>
      <c r="EF43" s="401"/>
      <c r="EG43" s="401"/>
      <c r="EH43" s="401"/>
      <c r="EI43" s="401"/>
      <c r="EJ43" s="401"/>
      <c r="EK43" s="401"/>
      <c r="EL43" s="401"/>
      <c r="EM43" s="402"/>
      <c r="EN43" s="401"/>
      <c r="EO43" s="401"/>
      <c r="EP43" s="401"/>
      <c r="EQ43" s="401"/>
      <c r="ER43" s="401"/>
      <c r="ES43" s="401"/>
      <c r="ET43" s="401"/>
      <c r="EU43" s="401"/>
      <c r="EV43" s="401"/>
      <c r="EW43" s="401"/>
      <c r="EX43" s="401"/>
      <c r="EY43" s="401"/>
      <c r="EZ43" s="401"/>
      <c r="FA43" s="401"/>
      <c r="FB43" s="401"/>
      <c r="FC43" s="401"/>
      <c r="FD43" s="401"/>
      <c r="FE43" s="401"/>
      <c r="FF43" s="401"/>
      <c r="FG43" s="401"/>
      <c r="FH43" s="401"/>
      <c r="FI43" s="401"/>
      <c r="FJ43" s="401"/>
      <c r="FK43" s="401"/>
      <c r="FL43" s="401"/>
      <c r="FM43" s="401"/>
      <c r="FN43" s="401"/>
      <c r="FO43" s="401"/>
      <c r="FP43" s="375" t="s">
        <v>850</v>
      </c>
      <c r="FQ43" s="376" t="s">
        <v>972</v>
      </c>
      <c r="FR43" s="377" t="s">
        <v>522</v>
      </c>
      <c r="FS43" s="377" t="s">
        <v>850</v>
      </c>
      <c r="FT43" s="377" t="s">
        <v>910</v>
      </c>
      <c r="FU43" s="144">
        <f t="shared" si="0"/>
        <v>0</v>
      </c>
      <c r="FV43" s="371" t="s">
        <v>911</v>
      </c>
    </row>
    <row r="44" spans="1:178" s="371" customFormat="1">
      <c r="A44" s="368" t="s">
        <v>526</v>
      </c>
      <c r="B44" s="369" t="s">
        <v>517</v>
      </c>
      <c r="C44" s="369" t="s">
        <v>555</v>
      </c>
      <c r="D44" s="369" t="s">
        <v>4</v>
      </c>
      <c r="E44" s="370" t="s">
        <v>806</v>
      </c>
      <c r="F44" s="369" t="s">
        <v>520</v>
      </c>
      <c r="G44" s="369"/>
      <c r="H44" s="402" t="s">
        <v>850</v>
      </c>
      <c r="I44" s="402" t="s">
        <v>850</v>
      </c>
      <c r="J44" s="402" t="s">
        <v>850</v>
      </c>
      <c r="K44" s="402"/>
      <c r="L44" s="402" t="s">
        <v>850</v>
      </c>
      <c r="M44" s="402" t="s">
        <v>850</v>
      </c>
      <c r="N44" s="402"/>
      <c r="O44" s="402"/>
      <c r="P44" s="402"/>
      <c r="Q44" s="402"/>
      <c r="R44" s="402"/>
      <c r="S44" s="402"/>
      <c r="T44" s="402"/>
      <c r="U44" s="402" t="s">
        <v>850</v>
      </c>
      <c r="V44" s="402" t="s">
        <v>850</v>
      </c>
      <c r="W44" s="402" t="s">
        <v>850</v>
      </c>
      <c r="X44" s="402"/>
      <c r="Y44" s="402"/>
      <c r="Z44" s="402"/>
      <c r="AA44" s="402"/>
      <c r="AB44" s="402"/>
      <c r="AC44" s="402"/>
      <c r="AD44" s="402"/>
      <c r="AE44" s="402" t="s">
        <v>850</v>
      </c>
      <c r="AF44" s="402" t="s">
        <v>850</v>
      </c>
      <c r="AG44" s="402" t="s">
        <v>850</v>
      </c>
      <c r="AH44" s="402" t="s">
        <v>850</v>
      </c>
      <c r="AI44" s="402" t="s">
        <v>850</v>
      </c>
      <c r="AJ44" s="402" t="s">
        <v>850</v>
      </c>
      <c r="AK44" s="402" t="s">
        <v>850</v>
      </c>
      <c r="AL44" s="402" t="s">
        <v>850</v>
      </c>
      <c r="AM44" s="402" t="s">
        <v>850</v>
      </c>
      <c r="AN44" s="402" t="s">
        <v>850</v>
      </c>
      <c r="AO44" s="402" t="s">
        <v>850</v>
      </c>
      <c r="AP44" s="402" t="s">
        <v>850</v>
      </c>
      <c r="AQ44" s="402" t="s">
        <v>850</v>
      </c>
      <c r="AR44" s="402" t="s">
        <v>850</v>
      </c>
      <c r="AS44" s="402" t="s">
        <v>850</v>
      </c>
      <c r="AT44" s="402"/>
      <c r="AU44" s="402"/>
      <c r="AV44" s="402"/>
      <c r="AW44" s="402"/>
      <c r="AX44" s="402"/>
      <c r="AY44" s="402"/>
      <c r="AZ44" s="402" t="s">
        <v>850</v>
      </c>
      <c r="BA44" s="402"/>
      <c r="BB44" s="402" t="s">
        <v>850</v>
      </c>
      <c r="BC44" s="403">
        <f>40-40</f>
        <v>0</v>
      </c>
      <c r="BD44" s="402"/>
      <c r="BE44" s="402" t="s">
        <v>850</v>
      </c>
      <c r="BF44" s="402" t="s">
        <v>850</v>
      </c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1"/>
      <c r="CF44" s="402" t="s">
        <v>850</v>
      </c>
      <c r="CG44" s="402"/>
      <c r="CH44" s="402"/>
      <c r="CI44" s="402"/>
      <c r="CJ44" s="402"/>
      <c r="CK44" s="402"/>
      <c r="CL44" s="402"/>
      <c r="CM44" s="401"/>
      <c r="CN44" s="402"/>
      <c r="CO44" s="401"/>
      <c r="CP44" s="402" t="s">
        <v>850</v>
      </c>
      <c r="CQ44" s="402" t="s">
        <v>850</v>
      </c>
      <c r="CR44" s="402"/>
      <c r="CS44" s="402" t="s">
        <v>850</v>
      </c>
      <c r="CT44" s="402" t="s">
        <v>850</v>
      </c>
      <c r="CU44" s="402" t="s">
        <v>850</v>
      </c>
      <c r="CV44" s="402"/>
      <c r="CW44" s="402"/>
      <c r="CX44" s="402"/>
      <c r="CY44" s="402"/>
      <c r="CZ44" s="402"/>
      <c r="DA44" s="402"/>
      <c r="DB44" s="402"/>
      <c r="DC44" s="402" t="s">
        <v>850</v>
      </c>
      <c r="DD44" s="402"/>
      <c r="DE44" s="402" t="s">
        <v>850</v>
      </c>
      <c r="DF44" s="402"/>
      <c r="DG44" s="402"/>
      <c r="DH44" s="402" t="s">
        <v>850</v>
      </c>
      <c r="DI44" s="402" t="s">
        <v>850</v>
      </c>
      <c r="DJ44" s="402" t="s">
        <v>850</v>
      </c>
      <c r="DK44" s="402" t="s">
        <v>850</v>
      </c>
      <c r="DL44" s="402" t="s">
        <v>850</v>
      </c>
      <c r="DM44" s="402" t="s">
        <v>850</v>
      </c>
      <c r="DN44" s="402" t="s">
        <v>850</v>
      </c>
      <c r="DO44" s="402"/>
      <c r="DP44" s="402"/>
      <c r="DQ44" s="402" t="s">
        <v>850</v>
      </c>
      <c r="DR44" s="402" t="s">
        <v>850</v>
      </c>
      <c r="DS44" s="402"/>
      <c r="DT44" s="402" t="s">
        <v>850</v>
      </c>
      <c r="DU44" s="402"/>
      <c r="DV44" s="402" t="s">
        <v>850</v>
      </c>
      <c r="DW44" s="402"/>
      <c r="DX44" s="402" t="s">
        <v>850</v>
      </c>
      <c r="DY44" s="402"/>
      <c r="DZ44" s="402" t="s">
        <v>850</v>
      </c>
      <c r="EA44" s="402" t="s">
        <v>850</v>
      </c>
      <c r="EB44" s="402" t="s">
        <v>850</v>
      </c>
      <c r="EC44" s="402" t="s">
        <v>850</v>
      </c>
      <c r="ED44" s="402" t="s">
        <v>850</v>
      </c>
      <c r="EE44" s="402"/>
      <c r="EF44" s="402" t="s">
        <v>850</v>
      </c>
      <c r="EG44" s="402"/>
      <c r="EH44" s="402"/>
      <c r="EI44" s="402" t="s">
        <v>850</v>
      </c>
      <c r="EJ44" s="402" t="s">
        <v>850</v>
      </c>
      <c r="EK44" s="402" t="s">
        <v>850</v>
      </c>
      <c r="EL44" s="402" t="s">
        <v>850</v>
      </c>
      <c r="EM44" s="402"/>
      <c r="EN44" s="402" t="s">
        <v>850</v>
      </c>
      <c r="EO44" s="402" t="s">
        <v>850</v>
      </c>
      <c r="EP44" s="402" t="s">
        <v>850</v>
      </c>
      <c r="EQ44" s="402"/>
      <c r="ER44" s="402" t="s">
        <v>850</v>
      </c>
      <c r="ES44" s="402" t="s">
        <v>850</v>
      </c>
      <c r="ET44" s="402" t="s">
        <v>850</v>
      </c>
      <c r="EU44" s="402"/>
      <c r="EV44" s="402"/>
      <c r="EW44" s="402"/>
      <c r="EX44" s="402"/>
      <c r="EY44" s="402" t="s">
        <v>850</v>
      </c>
      <c r="EZ44" s="402"/>
      <c r="FA44" s="402"/>
      <c r="FB44" s="402"/>
      <c r="FC44" s="402"/>
      <c r="FD44" s="402"/>
      <c r="FE44" s="402" t="s">
        <v>850</v>
      </c>
      <c r="FF44" s="402"/>
      <c r="FG44" s="402" t="s">
        <v>850</v>
      </c>
      <c r="FH44" s="402"/>
      <c r="FI44" s="402" t="s">
        <v>850</v>
      </c>
      <c r="FJ44" s="402" t="s">
        <v>850</v>
      </c>
      <c r="FK44" s="402"/>
      <c r="FL44" s="402" t="s">
        <v>850</v>
      </c>
      <c r="FM44" s="402" t="s">
        <v>850</v>
      </c>
      <c r="FN44" s="402" t="s">
        <v>850</v>
      </c>
      <c r="FO44" s="402" t="s">
        <v>850</v>
      </c>
      <c r="FP44" s="375"/>
      <c r="FQ44" s="376" t="s">
        <v>972</v>
      </c>
      <c r="FR44" s="377" t="s">
        <v>522</v>
      </c>
      <c r="FS44" s="377" t="s">
        <v>850</v>
      </c>
      <c r="FT44" s="377" t="s">
        <v>910</v>
      </c>
      <c r="FU44" s="144">
        <f t="shared" si="0"/>
        <v>0</v>
      </c>
      <c r="FV44" s="371" t="s">
        <v>911</v>
      </c>
    </row>
    <row r="45" spans="1:178" s="371" customFormat="1">
      <c r="A45" s="368" t="s">
        <v>526</v>
      </c>
      <c r="B45" s="369" t="s">
        <v>517</v>
      </c>
      <c r="C45" s="369" t="s">
        <v>555</v>
      </c>
      <c r="D45" s="369" t="s">
        <v>3</v>
      </c>
      <c r="E45" s="370" t="s">
        <v>806</v>
      </c>
      <c r="F45" s="369" t="s">
        <v>520</v>
      </c>
      <c r="G45" s="369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1"/>
      <c r="CF45" s="402"/>
      <c r="CG45" s="402"/>
      <c r="CH45" s="402"/>
      <c r="CI45" s="402"/>
      <c r="CJ45" s="402"/>
      <c r="CK45" s="402"/>
      <c r="CL45" s="402"/>
      <c r="CM45" s="401"/>
      <c r="CN45" s="402"/>
      <c r="CO45" s="401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375"/>
      <c r="FQ45" s="376" t="s">
        <v>972</v>
      </c>
      <c r="FR45" s="377" t="s">
        <v>522</v>
      </c>
      <c r="FS45" s="377" t="s">
        <v>850</v>
      </c>
      <c r="FT45" s="377" t="s">
        <v>910</v>
      </c>
      <c r="FU45" s="144">
        <f t="shared" si="0"/>
        <v>0</v>
      </c>
      <c r="FV45" s="371" t="s">
        <v>911</v>
      </c>
    </row>
    <row r="46" spans="1:178" s="371" customFormat="1">
      <c r="A46" s="368" t="s">
        <v>526</v>
      </c>
      <c r="B46" s="369" t="s">
        <v>517</v>
      </c>
      <c r="C46" s="369" t="s">
        <v>555</v>
      </c>
      <c r="D46" s="369" t="s">
        <v>8</v>
      </c>
      <c r="E46" s="370" t="s">
        <v>568</v>
      </c>
      <c r="F46" s="369" t="s">
        <v>520</v>
      </c>
      <c r="G46" s="369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401"/>
      <c r="AB46" s="401"/>
      <c r="AC46" s="401"/>
      <c r="AD46" s="401"/>
      <c r="AE46" s="401"/>
      <c r="AF46" s="401"/>
      <c r="AG46" s="401"/>
      <c r="AH46" s="401"/>
      <c r="AI46" s="401"/>
      <c r="AJ46" s="401"/>
      <c r="AK46" s="401"/>
      <c r="AL46" s="401"/>
      <c r="AM46" s="401"/>
      <c r="AN46" s="401"/>
      <c r="AO46" s="401"/>
      <c r="AP46" s="401"/>
      <c r="AQ46" s="401"/>
      <c r="AR46" s="401"/>
      <c r="AS46" s="401"/>
      <c r="AT46" s="401"/>
      <c r="AU46" s="401"/>
      <c r="AV46" s="401"/>
      <c r="AW46" s="401"/>
      <c r="AX46" s="401"/>
      <c r="AY46" s="401"/>
      <c r="AZ46" s="401"/>
      <c r="BA46" s="402"/>
      <c r="BB46" s="401"/>
      <c r="BC46" s="401"/>
      <c r="BD46" s="401"/>
      <c r="BE46" s="401"/>
      <c r="BF46" s="401"/>
      <c r="BG46" s="401"/>
      <c r="BH46" s="401"/>
      <c r="BI46" s="401"/>
      <c r="BJ46" s="401"/>
      <c r="BK46" s="401"/>
      <c r="BL46" s="401"/>
      <c r="BM46" s="401"/>
      <c r="BN46" s="401"/>
      <c r="BO46" s="401"/>
      <c r="BP46" s="401"/>
      <c r="BQ46" s="401"/>
      <c r="BR46" s="401"/>
      <c r="BS46" s="401"/>
      <c r="BT46" s="401"/>
      <c r="BU46" s="401"/>
      <c r="BV46" s="401"/>
      <c r="BW46" s="401"/>
      <c r="BX46" s="401"/>
      <c r="BY46" s="401"/>
      <c r="BZ46" s="401"/>
      <c r="CA46" s="401"/>
      <c r="CB46" s="401"/>
      <c r="CC46" s="401"/>
      <c r="CD46" s="401"/>
      <c r="CE46" s="401"/>
      <c r="CF46" s="401"/>
      <c r="CG46" s="401"/>
      <c r="CH46" s="401"/>
      <c r="CI46" s="401"/>
      <c r="CJ46" s="401"/>
      <c r="CK46" s="401"/>
      <c r="CL46" s="401"/>
      <c r="CM46" s="401"/>
      <c r="CN46" s="401"/>
      <c r="CO46" s="401"/>
      <c r="CP46" s="401"/>
      <c r="CQ46" s="401"/>
      <c r="CR46" s="401"/>
      <c r="CS46" s="401"/>
      <c r="CT46" s="401"/>
      <c r="CU46" s="401"/>
      <c r="CV46" s="401"/>
      <c r="CW46" s="401"/>
      <c r="CX46" s="401"/>
      <c r="CY46" s="401"/>
      <c r="CZ46" s="411">
        <v>10</v>
      </c>
      <c r="DA46" s="401"/>
      <c r="DB46" s="401"/>
      <c r="DC46" s="401"/>
      <c r="DD46" s="401"/>
      <c r="DE46" s="401"/>
      <c r="DF46" s="401"/>
      <c r="DG46" s="401"/>
      <c r="DH46" s="401"/>
      <c r="DI46" s="401"/>
      <c r="DJ46" s="401"/>
      <c r="DK46" s="401"/>
      <c r="DL46" s="401"/>
      <c r="DM46" s="401"/>
      <c r="DN46" s="401"/>
      <c r="DO46" s="402"/>
      <c r="DP46" s="401"/>
      <c r="DQ46" s="401"/>
      <c r="DR46" s="401"/>
      <c r="DS46" s="401"/>
      <c r="DT46" s="401"/>
      <c r="DU46" s="411">
        <v>10</v>
      </c>
      <c r="DV46" s="401"/>
      <c r="DW46" s="401"/>
      <c r="DX46" s="401"/>
      <c r="DY46" s="401"/>
      <c r="DZ46" s="401"/>
      <c r="EA46" s="401"/>
      <c r="EB46" s="401"/>
      <c r="EC46" s="401"/>
      <c r="ED46" s="401"/>
      <c r="EE46" s="411">
        <v>5</v>
      </c>
      <c r="EF46" s="401"/>
      <c r="EG46" s="401"/>
      <c r="EH46" s="411">
        <v>5</v>
      </c>
      <c r="EI46" s="401"/>
      <c r="EJ46" s="401"/>
      <c r="EK46" s="401"/>
      <c r="EL46" s="401"/>
      <c r="EM46" s="402"/>
      <c r="EN46" s="401"/>
      <c r="EO46" s="401"/>
      <c r="EP46" s="401"/>
      <c r="EQ46" s="401"/>
      <c r="ER46" s="401"/>
      <c r="ES46" s="401"/>
      <c r="ET46" s="401"/>
      <c r="EU46" s="401"/>
      <c r="EV46" s="411">
        <v>2</v>
      </c>
      <c r="EW46" s="411">
        <v>10</v>
      </c>
      <c r="EX46" s="401"/>
      <c r="EY46" s="401"/>
      <c r="EZ46" s="401"/>
      <c r="FA46" s="401"/>
      <c r="FB46" s="401"/>
      <c r="FC46" s="401"/>
      <c r="FD46" s="401"/>
      <c r="FE46" s="401"/>
      <c r="FF46" s="401"/>
      <c r="FG46" s="401"/>
      <c r="FH46" s="401"/>
      <c r="FI46" s="401"/>
      <c r="FJ46" s="401"/>
      <c r="FK46" s="401"/>
      <c r="FL46" s="401"/>
      <c r="FM46" s="401"/>
      <c r="FN46" s="401"/>
      <c r="FO46" s="401"/>
      <c r="FP46" s="375" t="s">
        <v>850</v>
      </c>
      <c r="FQ46" s="376" t="s">
        <v>972</v>
      </c>
      <c r="FR46" s="377" t="s">
        <v>522</v>
      </c>
      <c r="FS46" s="377" t="s">
        <v>850</v>
      </c>
      <c r="FT46" s="377" t="s">
        <v>565</v>
      </c>
      <c r="FU46" s="144">
        <f t="shared" si="0"/>
        <v>42</v>
      </c>
      <c r="FV46" s="371" t="s">
        <v>906</v>
      </c>
    </row>
    <row r="47" spans="1:178" s="371" customFormat="1">
      <c r="A47" s="368" t="s">
        <v>526</v>
      </c>
      <c r="B47" s="369" t="s">
        <v>517</v>
      </c>
      <c r="C47" s="369" t="s">
        <v>555</v>
      </c>
      <c r="D47" s="369" t="s">
        <v>4</v>
      </c>
      <c r="E47" s="370" t="s">
        <v>568</v>
      </c>
      <c r="F47" s="369" t="s">
        <v>520</v>
      </c>
      <c r="G47" s="369"/>
      <c r="H47" s="402" t="s">
        <v>850</v>
      </c>
      <c r="I47" s="402" t="s">
        <v>850</v>
      </c>
      <c r="J47" s="403">
        <f>10-10</f>
        <v>0</v>
      </c>
      <c r="K47" s="403">
        <f>10-10+10</f>
        <v>10</v>
      </c>
      <c r="L47" s="403">
        <f>20-20</f>
        <v>0</v>
      </c>
      <c r="M47" s="402" t="s">
        <v>850</v>
      </c>
      <c r="N47" s="403">
        <f t="shared" ref="N47:U47" si="6">20-20</f>
        <v>0</v>
      </c>
      <c r="O47" s="403">
        <f>20-20+3</f>
        <v>3</v>
      </c>
      <c r="P47" s="403">
        <f t="shared" si="6"/>
        <v>0</v>
      </c>
      <c r="Q47" s="403">
        <f t="shared" si="6"/>
        <v>0</v>
      </c>
      <c r="R47" s="403">
        <f t="shared" si="6"/>
        <v>0</v>
      </c>
      <c r="S47" s="403">
        <f t="shared" si="6"/>
        <v>0</v>
      </c>
      <c r="T47" s="403">
        <f>20-20+2</f>
        <v>2</v>
      </c>
      <c r="U47" s="403">
        <f t="shared" si="6"/>
        <v>0</v>
      </c>
      <c r="V47" s="403">
        <f>50-50</f>
        <v>0</v>
      </c>
      <c r="W47" s="403">
        <f>50-50</f>
        <v>0</v>
      </c>
      <c r="X47" s="403">
        <f>50-50+10</f>
        <v>10</v>
      </c>
      <c r="Y47" s="403">
        <f>50-50+10</f>
        <v>10</v>
      </c>
      <c r="Z47" s="402" t="s">
        <v>850</v>
      </c>
      <c r="AA47" s="403">
        <f>50-50</f>
        <v>0</v>
      </c>
      <c r="AB47" s="402"/>
      <c r="AC47" s="403">
        <f>50-50</f>
        <v>0</v>
      </c>
      <c r="AD47" s="403">
        <f>50-50+3</f>
        <v>3</v>
      </c>
      <c r="AE47" s="402" t="s">
        <v>850</v>
      </c>
      <c r="AF47" s="403">
        <f>100-100</f>
        <v>0</v>
      </c>
      <c r="AG47" s="403">
        <f>50-50</f>
        <v>0</v>
      </c>
      <c r="AH47" s="403">
        <f>100-100</f>
        <v>0</v>
      </c>
      <c r="AI47" s="403">
        <f>50-50</f>
        <v>0</v>
      </c>
      <c r="AJ47" s="403">
        <f>50-50</f>
        <v>0</v>
      </c>
      <c r="AK47" s="402" t="s">
        <v>850</v>
      </c>
      <c r="AL47" s="402" t="s">
        <v>850</v>
      </c>
      <c r="AM47" s="402" t="s">
        <v>850</v>
      </c>
      <c r="AN47" s="402" t="s">
        <v>850</v>
      </c>
      <c r="AO47" s="402" t="s">
        <v>850</v>
      </c>
      <c r="AP47" s="402" t="s">
        <v>850</v>
      </c>
      <c r="AQ47" s="402" t="s">
        <v>850</v>
      </c>
      <c r="AR47" s="402" t="s">
        <v>850</v>
      </c>
      <c r="AS47" s="402" t="s">
        <v>850</v>
      </c>
      <c r="AT47" s="402"/>
      <c r="AU47" s="402"/>
      <c r="AV47" s="402"/>
      <c r="AW47" s="402"/>
      <c r="AX47" s="402"/>
      <c r="AY47" s="402"/>
      <c r="AZ47" s="403">
        <f>10-10</f>
        <v>0</v>
      </c>
      <c r="BA47" s="409">
        <v>3</v>
      </c>
      <c r="BB47" s="403">
        <f>10-10</f>
        <v>0</v>
      </c>
      <c r="BC47" s="403">
        <f>10-10</f>
        <v>0</v>
      </c>
      <c r="BD47" s="403">
        <f>10-10+3</f>
        <v>3</v>
      </c>
      <c r="BE47" s="403">
        <f>10-10</f>
        <v>0</v>
      </c>
      <c r="BF47" s="402" t="s">
        <v>850</v>
      </c>
      <c r="BG47" s="402"/>
      <c r="BH47" s="402"/>
      <c r="BI47" s="402"/>
      <c r="BJ47" s="402"/>
      <c r="BK47" s="402"/>
      <c r="BL47" s="402"/>
      <c r="BM47" s="402"/>
      <c r="BN47" s="403">
        <f>20-20+1</f>
        <v>1</v>
      </c>
      <c r="BO47" s="403">
        <f>20-20+5</f>
        <v>5</v>
      </c>
      <c r="BP47" s="403">
        <f>20-20</f>
        <v>0</v>
      </c>
      <c r="BQ47" s="403">
        <f>20-20</f>
        <v>0</v>
      </c>
      <c r="BR47" s="403">
        <f>20-20</f>
        <v>0</v>
      </c>
      <c r="BS47" s="402"/>
      <c r="BT47" s="402"/>
      <c r="BU47" s="402"/>
      <c r="BV47" s="402"/>
      <c r="BW47" s="402"/>
      <c r="BX47" s="402"/>
      <c r="BY47" s="403">
        <f>50-50+2</f>
        <v>2</v>
      </c>
      <c r="BZ47" s="403">
        <f>50-50</f>
        <v>0</v>
      </c>
      <c r="CA47" s="402" t="s">
        <v>850</v>
      </c>
      <c r="CB47" s="403">
        <f>50-50+5</f>
        <v>5</v>
      </c>
      <c r="CC47" s="403">
        <f>50-50</f>
        <v>0</v>
      </c>
      <c r="CD47" s="403">
        <f>50-50</f>
        <v>0</v>
      </c>
      <c r="CE47" s="401"/>
      <c r="CF47" s="403">
        <f>50-50</f>
        <v>0</v>
      </c>
      <c r="CG47" s="402"/>
      <c r="CH47" s="403">
        <f>50-50+3</f>
        <v>3</v>
      </c>
      <c r="CI47" s="403">
        <f>50-50+3</f>
        <v>3</v>
      </c>
      <c r="CJ47" s="403">
        <f>50-50+2</f>
        <v>2</v>
      </c>
      <c r="CK47" s="403">
        <f>50-50</f>
        <v>0</v>
      </c>
      <c r="CL47" s="402" t="s">
        <v>850</v>
      </c>
      <c r="CM47" s="411">
        <v>3</v>
      </c>
      <c r="CN47" s="403">
        <f>50-50</f>
        <v>0</v>
      </c>
      <c r="CO47" s="411">
        <v>5</v>
      </c>
      <c r="CP47" s="403">
        <f>50-50</f>
        <v>0</v>
      </c>
      <c r="CQ47" s="403">
        <f>50-50</f>
        <v>0</v>
      </c>
      <c r="CR47" s="403">
        <f>50-50</f>
        <v>0</v>
      </c>
      <c r="CS47" s="402" t="s">
        <v>850</v>
      </c>
      <c r="CT47" s="402" t="s">
        <v>850</v>
      </c>
      <c r="CU47" s="402" t="s">
        <v>850</v>
      </c>
      <c r="CV47" s="403">
        <f>50-50+10</f>
        <v>10</v>
      </c>
      <c r="CW47" s="402"/>
      <c r="CX47" s="403">
        <f>50-50+10</f>
        <v>10</v>
      </c>
      <c r="CY47" s="403">
        <f>50-50</f>
        <v>0</v>
      </c>
      <c r="CZ47" s="403">
        <f>50-50</f>
        <v>0</v>
      </c>
      <c r="DA47" s="403">
        <f>50-50</f>
        <v>0</v>
      </c>
      <c r="DB47" s="402" t="s">
        <v>850</v>
      </c>
      <c r="DC47" s="402" t="s">
        <v>850</v>
      </c>
      <c r="DD47" s="403">
        <f>50-50+10</f>
        <v>10</v>
      </c>
      <c r="DE47" s="402" t="s">
        <v>850</v>
      </c>
      <c r="DF47" s="403">
        <f>50-50+1</f>
        <v>1</v>
      </c>
      <c r="DG47" s="403">
        <f>50-50+2</f>
        <v>2</v>
      </c>
      <c r="DH47" s="403">
        <f>50-50</f>
        <v>0</v>
      </c>
      <c r="DI47" s="403">
        <f>50-50</f>
        <v>0</v>
      </c>
      <c r="DJ47" s="403">
        <f>50-50</f>
        <v>0</v>
      </c>
      <c r="DK47" s="402" t="s">
        <v>850</v>
      </c>
      <c r="DL47" s="402" t="s">
        <v>850</v>
      </c>
      <c r="DM47" s="403">
        <f>100-100</f>
        <v>0</v>
      </c>
      <c r="DN47" s="402" t="s">
        <v>850</v>
      </c>
      <c r="DO47" s="409">
        <v>100</v>
      </c>
      <c r="DP47" s="403">
        <f>200-200</f>
        <v>0</v>
      </c>
      <c r="DQ47" s="403">
        <f>100-100</f>
        <v>0</v>
      </c>
      <c r="DR47" s="403">
        <f>100-100</f>
        <v>0</v>
      </c>
      <c r="DS47" s="403">
        <f>100-100+5</f>
        <v>5</v>
      </c>
      <c r="DT47" s="402" t="s">
        <v>850</v>
      </c>
      <c r="DU47" s="403">
        <f>500-500</f>
        <v>0</v>
      </c>
      <c r="DV47" s="403">
        <f>500-500</f>
        <v>0</v>
      </c>
      <c r="DW47" s="403">
        <f>500-500</f>
        <v>0</v>
      </c>
      <c r="DX47" s="402" t="s">
        <v>850</v>
      </c>
      <c r="DY47" s="402"/>
      <c r="DZ47" s="403">
        <f>500-500</f>
        <v>0</v>
      </c>
      <c r="EA47" s="402" t="s">
        <v>850</v>
      </c>
      <c r="EB47" s="403">
        <f>500-500</f>
        <v>0</v>
      </c>
      <c r="EC47" s="403">
        <f>500-500</f>
        <v>0</v>
      </c>
      <c r="ED47" s="403">
        <f>500-500</f>
        <v>0</v>
      </c>
      <c r="EE47" s="403">
        <f>500-500</f>
        <v>0</v>
      </c>
      <c r="EF47" s="403">
        <f>200-200</f>
        <v>0</v>
      </c>
      <c r="EG47" s="403">
        <f>200-200+2</f>
        <v>2</v>
      </c>
      <c r="EH47" s="403">
        <f>200-200</f>
        <v>0</v>
      </c>
      <c r="EI47" s="402" t="s">
        <v>850</v>
      </c>
      <c r="EJ47" s="403">
        <f>200-200</f>
        <v>0</v>
      </c>
      <c r="EK47" s="403">
        <f>200-200</f>
        <v>0</v>
      </c>
      <c r="EL47" s="402" t="s">
        <v>850</v>
      </c>
      <c r="EM47" s="411">
        <v>1</v>
      </c>
      <c r="EN47" s="403">
        <f>200-200</f>
        <v>0</v>
      </c>
      <c r="EO47" s="403">
        <f>200-200</f>
        <v>0</v>
      </c>
      <c r="EP47" s="403">
        <f>200-200</f>
        <v>0</v>
      </c>
      <c r="EQ47" s="403">
        <f>200-200+5</f>
        <v>5</v>
      </c>
      <c r="ER47" s="403">
        <f>200-200</f>
        <v>0</v>
      </c>
      <c r="ES47" s="402" t="s">
        <v>850</v>
      </c>
      <c r="ET47" s="403">
        <f>200-200</f>
        <v>0</v>
      </c>
      <c r="EU47" s="403">
        <f>200-200</f>
        <v>0</v>
      </c>
      <c r="EV47" s="403">
        <f>200-200</f>
        <v>0</v>
      </c>
      <c r="EW47" s="403">
        <f>200-200</f>
        <v>0</v>
      </c>
      <c r="EX47" s="402"/>
      <c r="EY47" s="402" t="s">
        <v>850</v>
      </c>
      <c r="EZ47" s="402"/>
      <c r="FA47" s="402"/>
      <c r="FB47" s="402"/>
      <c r="FC47" s="402"/>
      <c r="FD47" s="402"/>
      <c r="FE47" s="402" t="s">
        <v>850</v>
      </c>
      <c r="FF47" s="402"/>
      <c r="FG47" s="402" t="s">
        <v>850</v>
      </c>
      <c r="FH47" s="402"/>
      <c r="FI47" s="402" t="s">
        <v>850</v>
      </c>
      <c r="FJ47" s="402" t="s">
        <v>850</v>
      </c>
      <c r="FK47" s="402"/>
      <c r="FL47" s="402" t="s">
        <v>850</v>
      </c>
      <c r="FM47" s="402" t="s">
        <v>850</v>
      </c>
      <c r="FN47" s="402" t="s">
        <v>850</v>
      </c>
      <c r="FO47" s="402" t="s">
        <v>850</v>
      </c>
      <c r="FP47" s="375"/>
      <c r="FQ47" s="376" t="s">
        <v>972</v>
      </c>
      <c r="FR47" s="377" t="s">
        <v>522</v>
      </c>
      <c r="FS47" s="377" t="s">
        <v>850</v>
      </c>
      <c r="FT47" s="377" t="s">
        <v>565</v>
      </c>
      <c r="FU47" s="144">
        <f t="shared" si="0"/>
        <v>219</v>
      </c>
      <c r="FV47" s="371" t="s">
        <v>906</v>
      </c>
    </row>
    <row r="48" spans="1:178" s="371" customFormat="1">
      <c r="A48" s="368" t="s">
        <v>526</v>
      </c>
      <c r="B48" s="369" t="s">
        <v>517</v>
      </c>
      <c r="C48" s="369" t="s">
        <v>555</v>
      </c>
      <c r="D48" s="369" t="s">
        <v>3</v>
      </c>
      <c r="E48" s="370" t="s">
        <v>568</v>
      </c>
      <c r="F48" s="369" t="s">
        <v>520</v>
      </c>
      <c r="G48" s="369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1"/>
      <c r="CF48" s="402"/>
      <c r="CG48" s="402"/>
      <c r="CH48" s="402"/>
      <c r="CI48" s="402"/>
      <c r="CJ48" s="402"/>
      <c r="CK48" s="402"/>
      <c r="CL48" s="402"/>
      <c r="CM48" s="401"/>
      <c r="CN48" s="402"/>
      <c r="CO48" s="401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375"/>
      <c r="FQ48" s="376" t="s">
        <v>972</v>
      </c>
      <c r="FR48" s="377" t="s">
        <v>522</v>
      </c>
      <c r="FS48" s="377" t="s">
        <v>850</v>
      </c>
      <c r="FT48" s="377" t="s">
        <v>565</v>
      </c>
      <c r="FU48" s="144">
        <f t="shared" si="0"/>
        <v>0</v>
      </c>
      <c r="FV48" s="371" t="s">
        <v>906</v>
      </c>
    </row>
    <row r="49" spans="1:178" s="371" customFormat="1">
      <c r="A49" s="368" t="s">
        <v>526</v>
      </c>
      <c r="B49" s="369" t="s">
        <v>517</v>
      </c>
      <c r="C49" s="369" t="s">
        <v>555</v>
      </c>
      <c r="D49" s="369" t="s">
        <v>8</v>
      </c>
      <c r="E49" s="370" t="s">
        <v>569</v>
      </c>
      <c r="F49" s="369" t="s">
        <v>520</v>
      </c>
      <c r="G49" s="369" t="s">
        <v>978</v>
      </c>
      <c r="H49" s="401"/>
      <c r="I49" s="401"/>
      <c r="J49" s="401"/>
      <c r="K49" s="401"/>
      <c r="L49" s="401"/>
      <c r="M49" s="401"/>
      <c r="N49" s="401"/>
      <c r="O49" s="401"/>
      <c r="P49" s="401"/>
      <c r="Q49" s="401"/>
      <c r="R49" s="401"/>
      <c r="S49" s="401"/>
      <c r="T49" s="401"/>
      <c r="U49" s="401"/>
      <c r="V49" s="401"/>
      <c r="W49" s="401"/>
      <c r="X49" s="401"/>
      <c r="Y49" s="401"/>
      <c r="Z49" s="401"/>
      <c r="AA49" s="401"/>
      <c r="AB49" s="401"/>
      <c r="AC49" s="401"/>
      <c r="AD49" s="401"/>
      <c r="AE49" s="401"/>
      <c r="AF49" s="401"/>
      <c r="AG49" s="401"/>
      <c r="AH49" s="401"/>
      <c r="AI49" s="401"/>
      <c r="AJ49" s="401"/>
      <c r="AK49" s="401"/>
      <c r="AL49" s="401"/>
      <c r="AM49" s="401"/>
      <c r="AN49" s="401"/>
      <c r="AO49" s="401"/>
      <c r="AP49" s="401"/>
      <c r="AQ49" s="401"/>
      <c r="AR49" s="401"/>
      <c r="AS49" s="401"/>
      <c r="AT49" s="401"/>
      <c r="AU49" s="401"/>
      <c r="AV49" s="401"/>
      <c r="AW49" s="401"/>
      <c r="AX49" s="401"/>
      <c r="AY49" s="401"/>
      <c r="AZ49" s="401"/>
      <c r="BA49" s="402"/>
      <c r="BB49" s="401"/>
      <c r="BC49" s="401"/>
      <c r="BD49" s="401"/>
      <c r="BE49" s="401"/>
      <c r="BF49" s="401"/>
      <c r="BG49" s="401"/>
      <c r="BH49" s="401"/>
      <c r="BI49" s="401"/>
      <c r="BJ49" s="401"/>
      <c r="BK49" s="401"/>
      <c r="BL49" s="401"/>
      <c r="BM49" s="401"/>
      <c r="BN49" s="401"/>
      <c r="BO49" s="401"/>
      <c r="BP49" s="401"/>
      <c r="BQ49" s="401"/>
      <c r="BR49" s="401"/>
      <c r="BS49" s="401"/>
      <c r="BT49" s="401"/>
      <c r="BU49" s="401"/>
      <c r="BV49" s="401"/>
      <c r="BW49" s="401"/>
      <c r="BX49" s="401"/>
      <c r="BY49" s="401"/>
      <c r="BZ49" s="401"/>
      <c r="CA49" s="401"/>
      <c r="CB49" s="401"/>
      <c r="CC49" s="401"/>
      <c r="CD49" s="401"/>
      <c r="CE49" s="401"/>
      <c r="CF49" s="401"/>
      <c r="CG49" s="401"/>
      <c r="CH49" s="401"/>
      <c r="CI49" s="401"/>
      <c r="CJ49" s="401"/>
      <c r="CK49" s="401"/>
      <c r="CL49" s="401"/>
      <c r="CM49" s="401"/>
      <c r="CN49" s="401"/>
      <c r="CO49" s="401"/>
      <c r="CP49" s="401"/>
      <c r="CQ49" s="401"/>
      <c r="CR49" s="401"/>
      <c r="CS49" s="401"/>
      <c r="CT49" s="401"/>
      <c r="CU49" s="401"/>
      <c r="CV49" s="401"/>
      <c r="CW49" s="401"/>
      <c r="CX49" s="401"/>
      <c r="CY49" s="401"/>
      <c r="CZ49" s="401"/>
      <c r="DA49" s="401"/>
      <c r="DB49" s="401"/>
      <c r="DC49" s="401"/>
      <c r="DD49" s="401"/>
      <c r="DE49" s="401"/>
      <c r="DF49" s="401"/>
      <c r="DG49" s="401"/>
      <c r="DH49" s="401"/>
      <c r="DI49" s="401"/>
      <c r="DJ49" s="401"/>
      <c r="DK49" s="401"/>
      <c r="DL49" s="401"/>
      <c r="DM49" s="401"/>
      <c r="DN49" s="401"/>
      <c r="DO49" s="402"/>
      <c r="DP49" s="401"/>
      <c r="DQ49" s="401"/>
      <c r="DR49" s="401"/>
      <c r="DS49" s="401"/>
      <c r="DT49" s="401"/>
      <c r="DU49" s="411">
        <v>10</v>
      </c>
      <c r="DV49" s="401"/>
      <c r="DW49" s="401"/>
      <c r="DX49" s="401"/>
      <c r="DY49" s="401"/>
      <c r="DZ49" s="401"/>
      <c r="EA49" s="401"/>
      <c r="EB49" s="401"/>
      <c r="EC49" s="401"/>
      <c r="ED49" s="401"/>
      <c r="EE49" s="401"/>
      <c r="EF49" s="401"/>
      <c r="EG49" s="401"/>
      <c r="EH49" s="401"/>
      <c r="EI49" s="401"/>
      <c r="EJ49" s="401"/>
      <c r="EK49" s="401"/>
      <c r="EL49" s="401"/>
      <c r="EM49" s="402"/>
      <c r="EN49" s="401"/>
      <c r="EO49" s="401"/>
      <c r="EP49" s="401"/>
      <c r="EQ49" s="401"/>
      <c r="ER49" s="401"/>
      <c r="ES49" s="401"/>
      <c r="ET49" s="401"/>
      <c r="EU49" s="401"/>
      <c r="EV49" s="401"/>
      <c r="EW49" s="401"/>
      <c r="EX49" s="401"/>
      <c r="EY49" s="401"/>
      <c r="EZ49" s="401"/>
      <c r="FA49" s="401"/>
      <c r="FB49" s="401"/>
      <c r="FC49" s="401"/>
      <c r="FD49" s="401"/>
      <c r="FE49" s="401"/>
      <c r="FF49" s="401"/>
      <c r="FG49" s="401"/>
      <c r="FH49" s="401"/>
      <c r="FI49" s="401"/>
      <c r="FJ49" s="401"/>
      <c r="FK49" s="401"/>
      <c r="FL49" s="401"/>
      <c r="FM49" s="401"/>
      <c r="FN49" s="401"/>
      <c r="FO49" s="401"/>
      <c r="FP49" s="375" t="s">
        <v>850</v>
      </c>
      <c r="FQ49" s="376" t="s">
        <v>972</v>
      </c>
      <c r="FR49" s="377" t="s">
        <v>522</v>
      </c>
      <c r="FS49" s="377" t="s">
        <v>571</v>
      </c>
      <c r="FT49" s="377" t="s">
        <v>572</v>
      </c>
      <c r="FU49" s="144">
        <f t="shared" si="0"/>
        <v>10</v>
      </c>
      <c r="FV49" s="371" t="s">
        <v>913</v>
      </c>
    </row>
    <row r="50" spans="1:178" s="371" customFormat="1">
      <c r="A50" s="368" t="s">
        <v>526</v>
      </c>
      <c r="B50" s="369" t="s">
        <v>517</v>
      </c>
      <c r="C50" s="369" t="s">
        <v>555</v>
      </c>
      <c r="D50" s="369" t="s">
        <v>4</v>
      </c>
      <c r="E50" s="370" t="s">
        <v>569</v>
      </c>
      <c r="F50" s="369" t="s">
        <v>520</v>
      </c>
      <c r="G50" s="369" t="s">
        <v>978</v>
      </c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3">
        <f>50-50+2</f>
        <v>2</v>
      </c>
      <c r="BP50" s="402"/>
      <c r="BQ50" s="403">
        <f>50-50</f>
        <v>0</v>
      </c>
      <c r="BR50" s="402" t="s">
        <v>850</v>
      </c>
      <c r="BS50" s="403">
        <f>50-50+5</f>
        <v>5</v>
      </c>
      <c r="BT50" s="402"/>
      <c r="BU50" s="402"/>
      <c r="BV50" s="402"/>
      <c r="BW50" s="402"/>
      <c r="BX50" s="402"/>
      <c r="BY50" s="402"/>
      <c r="BZ50" s="403">
        <f>50-50</f>
        <v>0</v>
      </c>
      <c r="CA50" s="402" t="s">
        <v>850</v>
      </c>
      <c r="CB50" s="402"/>
      <c r="CC50" s="402"/>
      <c r="CD50" s="402"/>
      <c r="CE50" s="401"/>
      <c r="CF50" s="402" t="s">
        <v>850</v>
      </c>
      <c r="CG50" s="402"/>
      <c r="CH50" s="403">
        <f>100-100+1</f>
        <v>1</v>
      </c>
      <c r="CI50" s="403">
        <f>100-100+2</f>
        <v>2</v>
      </c>
      <c r="CJ50" s="403">
        <f>100-100+2</f>
        <v>2</v>
      </c>
      <c r="CK50" s="402"/>
      <c r="CL50" s="402" t="s">
        <v>850</v>
      </c>
      <c r="CM50" s="411">
        <v>5</v>
      </c>
      <c r="CN50" s="403">
        <f>200-200</f>
        <v>0</v>
      </c>
      <c r="CO50" s="411">
        <v>5</v>
      </c>
      <c r="CP50" s="403">
        <f>100-100</f>
        <v>0</v>
      </c>
      <c r="CQ50" s="403">
        <f>100-100</f>
        <v>0</v>
      </c>
      <c r="CR50" s="403">
        <f>100-100</f>
        <v>0</v>
      </c>
      <c r="CS50" s="402" t="s">
        <v>850</v>
      </c>
      <c r="CT50" s="402" t="s">
        <v>850</v>
      </c>
      <c r="CU50" s="403">
        <f>200-200</f>
        <v>0</v>
      </c>
      <c r="CV50" s="402"/>
      <c r="CW50" s="402"/>
      <c r="CX50" s="402"/>
      <c r="CY50" s="402"/>
      <c r="CZ50" s="402"/>
      <c r="DA50" s="402"/>
      <c r="DB50" s="402"/>
      <c r="DC50" s="402" t="s">
        <v>850</v>
      </c>
      <c r="DD50" s="402"/>
      <c r="DE50" s="402" t="s">
        <v>850</v>
      </c>
      <c r="DF50" s="403">
        <f>200-200</f>
        <v>0</v>
      </c>
      <c r="DG50" s="403">
        <f>200-200+1</f>
        <v>1</v>
      </c>
      <c r="DH50" s="402" t="s">
        <v>850</v>
      </c>
      <c r="DI50" s="403">
        <f>200-200</f>
        <v>0</v>
      </c>
      <c r="DJ50" s="402" t="s">
        <v>850</v>
      </c>
      <c r="DK50" s="402" t="s">
        <v>850</v>
      </c>
      <c r="DL50" s="402" t="s">
        <v>850</v>
      </c>
      <c r="DM50" s="402" t="s">
        <v>850</v>
      </c>
      <c r="DN50" s="402" t="s">
        <v>850</v>
      </c>
      <c r="DO50" s="402"/>
      <c r="DP50" s="402"/>
      <c r="DQ50" s="402" t="s">
        <v>850</v>
      </c>
      <c r="DR50" s="402" t="s">
        <v>850</v>
      </c>
      <c r="DS50" s="402"/>
      <c r="DT50" s="402" t="s">
        <v>850</v>
      </c>
      <c r="DU50" s="403">
        <f>200-200</f>
        <v>0</v>
      </c>
      <c r="DV50" s="402" t="s">
        <v>850</v>
      </c>
      <c r="DW50" s="402"/>
      <c r="DX50" s="402" t="s">
        <v>850</v>
      </c>
      <c r="DY50" s="402"/>
      <c r="DZ50" s="402" t="s">
        <v>850</v>
      </c>
      <c r="EA50" s="402" t="s">
        <v>850</v>
      </c>
      <c r="EB50" s="402" t="s">
        <v>850</v>
      </c>
      <c r="EC50" s="403">
        <f>300-300</f>
        <v>0</v>
      </c>
      <c r="ED50" s="402" t="s">
        <v>850</v>
      </c>
      <c r="EE50" s="402"/>
      <c r="EF50" s="402" t="s">
        <v>850</v>
      </c>
      <c r="EG50" s="403">
        <f>300-300+1</f>
        <v>1</v>
      </c>
      <c r="EH50" s="402"/>
      <c r="EI50" s="402" t="s">
        <v>850</v>
      </c>
      <c r="EJ50" s="402" t="s">
        <v>850</v>
      </c>
      <c r="EK50" s="402" t="s">
        <v>850</v>
      </c>
      <c r="EL50" s="402" t="s">
        <v>850</v>
      </c>
      <c r="EM50" s="402"/>
      <c r="EN50" s="402" t="s">
        <v>850</v>
      </c>
      <c r="EO50" s="402" t="s">
        <v>850</v>
      </c>
      <c r="EP50" s="402" t="s">
        <v>850</v>
      </c>
      <c r="EQ50" s="402"/>
      <c r="ER50" s="402" t="s">
        <v>850</v>
      </c>
      <c r="ES50" s="402" t="s">
        <v>850</v>
      </c>
      <c r="ET50" s="402" t="s">
        <v>850</v>
      </c>
      <c r="EU50" s="402"/>
      <c r="EV50" s="402"/>
      <c r="EW50" s="402"/>
      <c r="EX50" s="402"/>
      <c r="EY50" s="402" t="s">
        <v>850</v>
      </c>
      <c r="EZ50" s="402"/>
      <c r="FA50" s="402"/>
      <c r="FB50" s="402"/>
      <c r="FC50" s="402"/>
      <c r="FD50" s="402"/>
      <c r="FE50" s="402" t="s">
        <v>850</v>
      </c>
      <c r="FF50" s="402"/>
      <c r="FG50" s="402" t="s">
        <v>850</v>
      </c>
      <c r="FH50" s="402"/>
      <c r="FI50" s="402" t="s">
        <v>850</v>
      </c>
      <c r="FJ50" s="402" t="s">
        <v>850</v>
      </c>
      <c r="FK50" s="402"/>
      <c r="FL50" s="402" t="s">
        <v>850</v>
      </c>
      <c r="FM50" s="402" t="s">
        <v>850</v>
      </c>
      <c r="FN50" s="402" t="s">
        <v>850</v>
      </c>
      <c r="FO50" s="402" t="s">
        <v>850</v>
      </c>
      <c r="FP50" s="375"/>
      <c r="FQ50" s="376" t="s">
        <v>972</v>
      </c>
      <c r="FR50" s="377" t="s">
        <v>522</v>
      </c>
      <c r="FS50" s="377" t="s">
        <v>571</v>
      </c>
      <c r="FT50" s="377" t="s">
        <v>572</v>
      </c>
      <c r="FU50" s="144">
        <f t="shared" si="0"/>
        <v>24</v>
      </c>
      <c r="FV50" s="371" t="s">
        <v>913</v>
      </c>
    </row>
    <row r="51" spans="1:178" s="371" customFormat="1">
      <c r="A51" s="368" t="s">
        <v>526</v>
      </c>
      <c r="B51" s="369" t="s">
        <v>517</v>
      </c>
      <c r="C51" s="369" t="s">
        <v>555</v>
      </c>
      <c r="D51" s="369" t="s">
        <v>3</v>
      </c>
      <c r="E51" s="370" t="s">
        <v>569</v>
      </c>
      <c r="F51" s="369" t="s">
        <v>520</v>
      </c>
      <c r="G51" s="369" t="s">
        <v>979</v>
      </c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1"/>
      <c r="CF51" s="402"/>
      <c r="CG51" s="402"/>
      <c r="CH51" s="402"/>
      <c r="CI51" s="402"/>
      <c r="CJ51" s="402"/>
      <c r="CK51" s="402"/>
      <c r="CL51" s="402"/>
      <c r="CM51" s="401"/>
      <c r="CN51" s="402"/>
      <c r="CO51" s="401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375"/>
      <c r="FQ51" s="376" t="s">
        <v>972</v>
      </c>
      <c r="FR51" s="377" t="s">
        <v>522</v>
      </c>
      <c r="FS51" s="377" t="s">
        <v>571</v>
      </c>
      <c r="FT51" s="377" t="s">
        <v>572</v>
      </c>
      <c r="FU51" s="144">
        <f t="shared" si="0"/>
        <v>0</v>
      </c>
      <c r="FV51" s="371" t="s">
        <v>913</v>
      </c>
    </row>
    <row r="52" spans="1:178" s="371" customFormat="1">
      <c r="A52" s="368" t="s">
        <v>540</v>
      </c>
      <c r="B52" s="369" t="s">
        <v>517</v>
      </c>
      <c r="C52" s="369" t="s">
        <v>555</v>
      </c>
      <c r="D52" s="369" t="s">
        <v>8</v>
      </c>
      <c r="E52" s="370" t="s">
        <v>574</v>
      </c>
      <c r="F52" s="369" t="s">
        <v>520</v>
      </c>
      <c r="G52" s="369" t="s">
        <v>980</v>
      </c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401"/>
      <c r="AA52" s="401"/>
      <c r="AB52" s="401"/>
      <c r="AC52" s="401"/>
      <c r="AD52" s="401"/>
      <c r="AE52" s="401"/>
      <c r="AF52" s="401"/>
      <c r="AG52" s="401"/>
      <c r="AH52" s="401"/>
      <c r="AI52" s="401"/>
      <c r="AJ52" s="401"/>
      <c r="AK52" s="401"/>
      <c r="AL52" s="401"/>
      <c r="AM52" s="401"/>
      <c r="AN52" s="401"/>
      <c r="AO52" s="401"/>
      <c r="AP52" s="401"/>
      <c r="AQ52" s="401"/>
      <c r="AR52" s="401"/>
      <c r="AS52" s="401"/>
      <c r="AT52" s="401"/>
      <c r="AU52" s="401"/>
      <c r="AV52" s="401"/>
      <c r="AW52" s="401"/>
      <c r="AX52" s="401"/>
      <c r="AY52" s="401"/>
      <c r="AZ52" s="401"/>
      <c r="BA52" s="402"/>
      <c r="BB52" s="401"/>
      <c r="BC52" s="401"/>
      <c r="BD52" s="401"/>
      <c r="BE52" s="401"/>
      <c r="BF52" s="401"/>
      <c r="BG52" s="401"/>
      <c r="BH52" s="401"/>
      <c r="BI52" s="401"/>
      <c r="BJ52" s="401"/>
      <c r="BK52" s="401"/>
      <c r="BL52" s="401"/>
      <c r="BM52" s="401"/>
      <c r="BN52" s="401"/>
      <c r="BO52" s="401"/>
      <c r="BP52" s="401"/>
      <c r="BQ52" s="401"/>
      <c r="BR52" s="401"/>
      <c r="BS52" s="401"/>
      <c r="BT52" s="401"/>
      <c r="BU52" s="401"/>
      <c r="BV52" s="401"/>
      <c r="BW52" s="401"/>
      <c r="BX52" s="401"/>
      <c r="BY52" s="401"/>
      <c r="BZ52" s="401"/>
      <c r="CA52" s="401"/>
      <c r="CB52" s="401"/>
      <c r="CC52" s="401"/>
      <c r="CD52" s="401"/>
      <c r="CE52" s="401"/>
      <c r="CF52" s="401"/>
      <c r="CG52" s="401"/>
      <c r="CH52" s="401"/>
      <c r="CI52" s="401"/>
      <c r="CJ52" s="401"/>
      <c r="CK52" s="401"/>
      <c r="CL52" s="401"/>
      <c r="CM52" s="401"/>
      <c r="CN52" s="401"/>
      <c r="CO52" s="401"/>
      <c r="CP52" s="401"/>
      <c r="CQ52" s="401"/>
      <c r="CR52" s="401"/>
      <c r="CS52" s="401"/>
      <c r="CT52" s="401"/>
      <c r="CU52" s="401"/>
      <c r="CV52" s="401"/>
      <c r="CW52" s="401"/>
      <c r="CX52" s="401"/>
      <c r="CY52" s="401"/>
      <c r="CZ52" s="401"/>
      <c r="DA52" s="401"/>
      <c r="DB52" s="401"/>
      <c r="DC52" s="401"/>
      <c r="DD52" s="401"/>
      <c r="DE52" s="401"/>
      <c r="DF52" s="401"/>
      <c r="DG52" s="401"/>
      <c r="DH52" s="401"/>
      <c r="DI52" s="401"/>
      <c r="DJ52" s="401"/>
      <c r="DK52" s="401"/>
      <c r="DL52" s="401"/>
      <c r="DM52" s="401"/>
      <c r="DN52" s="401"/>
      <c r="DO52" s="402"/>
      <c r="DP52" s="401"/>
      <c r="DQ52" s="401"/>
      <c r="DR52" s="401"/>
      <c r="DS52" s="401"/>
      <c r="DT52" s="401"/>
      <c r="DU52" s="401"/>
      <c r="DV52" s="401"/>
      <c r="DW52" s="401"/>
      <c r="DX52" s="401"/>
      <c r="DY52" s="401"/>
      <c r="DZ52" s="401"/>
      <c r="EA52" s="401"/>
      <c r="EB52" s="401"/>
      <c r="EC52" s="401"/>
      <c r="ED52" s="401"/>
      <c r="EE52" s="401"/>
      <c r="EF52" s="401"/>
      <c r="EG52" s="401"/>
      <c r="EH52" s="401"/>
      <c r="EI52" s="401"/>
      <c r="EJ52" s="401"/>
      <c r="EK52" s="401"/>
      <c r="EL52" s="401"/>
      <c r="EM52" s="402"/>
      <c r="EN52" s="401"/>
      <c r="EO52" s="401"/>
      <c r="EP52" s="401"/>
      <c r="EQ52" s="401"/>
      <c r="ER52" s="401"/>
      <c r="ES52" s="401"/>
      <c r="ET52" s="401"/>
      <c r="EU52" s="401"/>
      <c r="EV52" s="401"/>
      <c r="EW52" s="401"/>
      <c r="EX52" s="401"/>
      <c r="EY52" s="401"/>
      <c r="EZ52" s="401"/>
      <c r="FA52" s="401"/>
      <c r="FB52" s="401"/>
      <c r="FC52" s="401"/>
      <c r="FD52" s="401"/>
      <c r="FE52" s="401"/>
      <c r="FF52" s="401"/>
      <c r="FG52" s="401"/>
      <c r="FH52" s="401"/>
      <c r="FI52" s="401"/>
      <c r="FJ52" s="401"/>
      <c r="FK52" s="401"/>
      <c r="FL52" s="401"/>
      <c r="FM52" s="401"/>
      <c r="FN52" s="401"/>
      <c r="FO52" s="401"/>
      <c r="FP52" s="375" t="s">
        <v>850</v>
      </c>
      <c r="FQ52" s="376" t="s">
        <v>972</v>
      </c>
      <c r="FR52" s="377" t="s">
        <v>522</v>
      </c>
      <c r="FS52" s="377" t="s">
        <v>850</v>
      </c>
      <c r="FT52" s="377" t="s">
        <v>981</v>
      </c>
      <c r="FU52" s="144">
        <f t="shared" si="0"/>
        <v>0</v>
      </c>
      <c r="FV52" s="371" t="s">
        <v>905</v>
      </c>
    </row>
    <row r="53" spans="1:178" s="371" customFormat="1">
      <c r="A53" s="368" t="s">
        <v>540</v>
      </c>
      <c r="B53" s="369" t="s">
        <v>517</v>
      </c>
      <c r="C53" s="369" t="s">
        <v>555</v>
      </c>
      <c r="D53" s="369" t="s">
        <v>4</v>
      </c>
      <c r="E53" s="370" t="s">
        <v>574</v>
      </c>
      <c r="F53" s="369" t="s">
        <v>520</v>
      </c>
      <c r="G53" s="369" t="s">
        <v>980</v>
      </c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 t="s">
        <v>850</v>
      </c>
      <c r="CB53" s="403">
        <f>100-100+4</f>
        <v>4</v>
      </c>
      <c r="CC53" s="402" t="s">
        <v>850</v>
      </c>
      <c r="CD53" s="403">
        <f>100-100</f>
        <v>0</v>
      </c>
      <c r="CE53" s="401"/>
      <c r="CF53" s="402" t="s">
        <v>850</v>
      </c>
      <c r="CG53" s="402"/>
      <c r="CH53" s="402"/>
      <c r="CI53" s="403">
        <f>100-100+2</f>
        <v>2</v>
      </c>
      <c r="CJ53" s="402"/>
      <c r="CK53" s="402"/>
      <c r="CL53" s="403">
        <f>100-100</f>
        <v>0</v>
      </c>
      <c r="CM53" s="401"/>
      <c r="CN53" s="402"/>
      <c r="CO53" s="411">
        <v>5</v>
      </c>
      <c r="CP53" s="403">
        <f>100-100</f>
        <v>0</v>
      </c>
      <c r="CQ53" s="402" t="s">
        <v>850</v>
      </c>
      <c r="CR53" s="402"/>
      <c r="CS53" s="402" t="s">
        <v>850</v>
      </c>
      <c r="CT53" s="402" t="s">
        <v>850</v>
      </c>
      <c r="CU53" s="403">
        <f>100-100</f>
        <v>0</v>
      </c>
      <c r="CV53" s="402"/>
      <c r="CW53" s="402"/>
      <c r="CX53" s="402"/>
      <c r="CY53" s="402"/>
      <c r="CZ53" s="402"/>
      <c r="DA53" s="402"/>
      <c r="DB53" s="402"/>
      <c r="DC53" s="402" t="s">
        <v>850</v>
      </c>
      <c r="DD53" s="403">
        <f>100-100+10</f>
        <v>10</v>
      </c>
      <c r="DE53" s="402" t="s">
        <v>850</v>
      </c>
      <c r="DF53" s="402"/>
      <c r="DG53" s="402"/>
      <c r="DH53" s="402" t="s">
        <v>850</v>
      </c>
      <c r="DI53" s="403">
        <f>100-100</f>
        <v>0</v>
      </c>
      <c r="DJ53" s="402" t="s">
        <v>850</v>
      </c>
      <c r="DK53" s="402" t="s">
        <v>850</v>
      </c>
      <c r="DL53" s="402" t="s">
        <v>850</v>
      </c>
      <c r="DM53" s="402" t="s">
        <v>850</v>
      </c>
      <c r="DN53" s="402" t="s">
        <v>850</v>
      </c>
      <c r="DO53" s="402"/>
      <c r="DP53" s="402"/>
      <c r="DQ53" s="402" t="s">
        <v>850</v>
      </c>
      <c r="DR53" s="402" t="s">
        <v>850</v>
      </c>
      <c r="DS53" s="402"/>
      <c r="DT53" s="402" t="s">
        <v>850</v>
      </c>
      <c r="DU53" s="402"/>
      <c r="DV53" s="402" t="s">
        <v>850</v>
      </c>
      <c r="DW53" s="402"/>
      <c r="DX53" s="402" t="s">
        <v>850</v>
      </c>
      <c r="DY53" s="402"/>
      <c r="DZ53" s="402" t="s">
        <v>850</v>
      </c>
      <c r="EA53" s="402" t="s">
        <v>850</v>
      </c>
      <c r="EB53" s="402" t="s">
        <v>850</v>
      </c>
      <c r="EC53" s="403">
        <f>100-100</f>
        <v>0</v>
      </c>
      <c r="ED53" s="402" t="s">
        <v>850</v>
      </c>
      <c r="EE53" s="402"/>
      <c r="EF53" s="402" t="s">
        <v>850</v>
      </c>
      <c r="EG53" s="402"/>
      <c r="EH53" s="402"/>
      <c r="EI53" s="402" t="s">
        <v>850</v>
      </c>
      <c r="EJ53" s="402" t="s">
        <v>850</v>
      </c>
      <c r="EK53" s="402" t="s">
        <v>850</v>
      </c>
      <c r="EL53" s="402" t="s">
        <v>850</v>
      </c>
      <c r="EM53" s="402"/>
      <c r="EN53" s="402" t="s">
        <v>850</v>
      </c>
      <c r="EO53" s="402" t="s">
        <v>850</v>
      </c>
      <c r="EP53" s="402" t="s">
        <v>850</v>
      </c>
      <c r="EQ53" s="402"/>
      <c r="ER53" s="402" t="s">
        <v>850</v>
      </c>
      <c r="ES53" s="402" t="s">
        <v>850</v>
      </c>
      <c r="ET53" s="402" t="s">
        <v>850</v>
      </c>
      <c r="EU53" s="402"/>
      <c r="EV53" s="402"/>
      <c r="EW53" s="402"/>
      <c r="EX53" s="402"/>
      <c r="EY53" s="402" t="s">
        <v>850</v>
      </c>
      <c r="EZ53" s="402"/>
      <c r="FA53" s="402"/>
      <c r="FB53" s="402"/>
      <c r="FC53" s="402"/>
      <c r="FD53" s="402"/>
      <c r="FE53" s="402" t="s">
        <v>850</v>
      </c>
      <c r="FF53" s="402"/>
      <c r="FG53" s="402" t="s">
        <v>850</v>
      </c>
      <c r="FH53" s="402"/>
      <c r="FI53" s="402" t="s">
        <v>850</v>
      </c>
      <c r="FJ53" s="402" t="s">
        <v>850</v>
      </c>
      <c r="FK53" s="402"/>
      <c r="FL53" s="402" t="s">
        <v>850</v>
      </c>
      <c r="FM53" s="402" t="s">
        <v>850</v>
      </c>
      <c r="FN53" s="402" t="s">
        <v>850</v>
      </c>
      <c r="FO53" s="402" t="s">
        <v>850</v>
      </c>
      <c r="FP53" s="375"/>
      <c r="FQ53" s="376" t="s">
        <v>972</v>
      </c>
      <c r="FR53" s="377" t="s">
        <v>522</v>
      </c>
      <c r="FS53" s="377" t="s">
        <v>850</v>
      </c>
      <c r="FT53" s="377" t="s">
        <v>981</v>
      </c>
      <c r="FU53" s="144">
        <f t="shared" si="0"/>
        <v>21</v>
      </c>
      <c r="FV53" s="371" t="s">
        <v>905</v>
      </c>
    </row>
    <row r="54" spans="1:178" s="371" customFormat="1">
      <c r="A54" s="368" t="s">
        <v>540</v>
      </c>
      <c r="B54" s="369" t="s">
        <v>517</v>
      </c>
      <c r="C54" s="369" t="s">
        <v>555</v>
      </c>
      <c r="D54" s="369" t="s">
        <v>3</v>
      </c>
      <c r="E54" s="370" t="s">
        <v>574</v>
      </c>
      <c r="F54" s="369" t="s">
        <v>520</v>
      </c>
      <c r="G54" s="369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1"/>
      <c r="CF54" s="402"/>
      <c r="CG54" s="402"/>
      <c r="CH54" s="402"/>
      <c r="CI54" s="402"/>
      <c r="CJ54" s="402"/>
      <c r="CK54" s="402"/>
      <c r="CL54" s="402"/>
      <c r="CM54" s="401"/>
      <c r="CN54" s="402"/>
      <c r="CO54" s="401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375"/>
      <c r="FQ54" s="376" t="s">
        <v>972</v>
      </c>
      <c r="FR54" s="377" t="s">
        <v>522</v>
      </c>
      <c r="FS54" s="377" t="s">
        <v>850</v>
      </c>
      <c r="FT54" s="377" t="s">
        <v>981</v>
      </c>
      <c r="FU54" s="144">
        <f t="shared" si="0"/>
        <v>0</v>
      </c>
      <c r="FV54" s="371" t="s">
        <v>905</v>
      </c>
    </row>
    <row r="55" spans="1:178" s="371" customFormat="1">
      <c r="A55" s="368" t="s">
        <v>526</v>
      </c>
      <c r="B55" s="369" t="s">
        <v>525</v>
      </c>
      <c r="C55" s="369" t="s">
        <v>555</v>
      </c>
      <c r="D55" s="369" t="s">
        <v>8</v>
      </c>
      <c r="E55" s="370" t="s">
        <v>709</v>
      </c>
      <c r="F55" s="369" t="s">
        <v>520</v>
      </c>
      <c r="G55" s="369" t="s">
        <v>982</v>
      </c>
      <c r="H55" s="401"/>
      <c r="I55" s="401"/>
      <c r="J55" s="401"/>
      <c r="K55" s="401"/>
      <c r="L55" s="401"/>
      <c r="M55" s="401"/>
      <c r="N55" s="401"/>
      <c r="O55" s="401"/>
      <c r="P55" s="401"/>
      <c r="Q55" s="401"/>
      <c r="R55" s="401"/>
      <c r="S55" s="401"/>
      <c r="T55" s="401"/>
      <c r="U55" s="401"/>
      <c r="V55" s="401"/>
      <c r="W55" s="401"/>
      <c r="X55" s="401"/>
      <c r="Y55" s="401"/>
      <c r="Z55" s="401"/>
      <c r="AA55" s="401"/>
      <c r="AB55" s="401"/>
      <c r="AC55" s="401"/>
      <c r="AD55" s="401"/>
      <c r="AE55" s="401"/>
      <c r="AF55" s="401"/>
      <c r="AG55" s="401"/>
      <c r="AH55" s="401"/>
      <c r="AI55" s="401"/>
      <c r="AJ55" s="401"/>
      <c r="AK55" s="401"/>
      <c r="AL55" s="401"/>
      <c r="AM55" s="401"/>
      <c r="AN55" s="401"/>
      <c r="AO55" s="401"/>
      <c r="AP55" s="401"/>
      <c r="AQ55" s="401"/>
      <c r="AR55" s="401"/>
      <c r="AS55" s="401"/>
      <c r="AT55" s="401"/>
      <c r="AU55" s="401"/>
      <c r="AV55" s="401"/>
      <c r="AW55" s="401"/>
      <c r="AX55" s="401"/>
      <c r="AY55" s="401"/>
      <c r="AZ55" s="401"/>
      <c r="BA55" s="402"/>
      <c r="BB55" s="401"/>
      <c r="BC55" s="401"/>
      <c r="BD55" s="401"/>
      <c r="BE55" s="401"/>
      <c r="BF55" s="401"/>
      <c r="BG55" s="401"/>
      <c r="BH55" s="401"/>
      <c r="BI55" s="401"/>
      <c r="BJ55" s="401"/>
      <c r="BK55" s="401"/>
      <c r="BL55" s="401"/>
      <c r="BM55" s="401"/>
      <c r="BN55" s="401"/>
      <c r="BO55" s="401"/>
      <c r="BP55" s="401"/>
      <c r="BQ55" s="401"/>
      <c r="BR55" s="401"/>
      <c r="BS55" s="401"/>
      <c r="BT55" s="401"/>
      <c r="BU55" s="401"/>
      <c r="BV55" s="401"/>
      <c r="BW55" s="401"/>
      <c r="BX55" s="401"/>
      <c r="BY55" s="401"/>
      <c r="BZ55" s="401"/>
      <c r="CA55" s="401"/>
      <c r="CB55" s="401"/>
      <c r="CC55" s="401"/>
      <c r="CD55" s="401"/>
      <c r="CE55" s="401"/>
      <c r="CF55" s="401"/>
      <c r="CG55" s="401"/>
      <c r="CH55" s="401"/>
      <c r="CI55" s="401"/>
      <c r="CJ55" s="401"/>
      <c r="CK55" s="401"/>
      <c r="CL55" s="401"/>
      <c r="CM55" s="401"/>
      <c r="CN55" s="401"/>
      <c r="CO55" s="401"/>
      <c r="CP55" s="401"/>
      <c r="CQ55" s="401"/>
      <c r="CR55" s="401"/>
      <c r="CS55" s="401"/>
      <c r="CT55" s="401"/>
      <c r="CU55" s="401"/>
      <c r="CV55" s="401"/>
      <c r="CW55" s="401"/>
      <c r="CX55" s="401"/>
      <c r="CY55" s="401"/>
      <c r="CZ55" s="411">
        <v>5</v>
      </c>
      <c r="DA55" s="401"/>
      <c r="DB55" s="401"/>
      <c r="DC55" s="401"/>
      <c r="DD55" s="401"/>
      <c r="DE55" s="401"/>
      <c r="DF55" s="401"/>
      <c r="DG55" s="401"/>
      <c r="DH55" s="401"/>
      <c r="DI55" s="401"/>
      <c r="DJ55" s="401"/>
      <c r="DK55" s="401"/>
      <c r="DL55" s="401"/>
      <c r="DM55" s="401"/>
      <c r="DN55" s="401"/>
      <c r="DO55" s="402"/>
      <c r="DP55" s="401"/>
      <c r="DQ55" s="401"/>
      <c r="DR55" s="401"/>
      <c r="DS55" s="401"/>
      <c r="DT55" s="401"/>
      <c r="DU55" s="411">
        <v>10</v>
      </c>
      <c r="DV55" s="401"/>
      <c r="DW55" s="401"/>
      <c r="DX55" s="401"/>
      <c r="DY55" s="401"/>
      <c r="DZ55" s="401"/>
      <c r="EA55" s="401"/>
      <c r="EB55" s="401"/>
      <c r="EC55" s="401"/>
      <c r="ED55" s="401"/>
      <c r="EE55" s="401"/>
      <c r="EF55" s="401"/>
      <c r="EG55" s="401"/>
      <c r="EH55" s="411">
        <v>3</v>
      </c>
      <c r="EI55" s="401"/>
      <c r="EJ55" s="401"/>
      <c r="EK55" s="401"/>
      <c r="EL55" s="401"/>
      <c r="EM55" s="402"/>
      <c r="EN55" s="401"/>
      <c r="EO55" s="401"/>
      <c r="EP55" s="401"/>
      <c r="EQ55" s="401"/>
      <c r="ER55" s="401"/>
      <c r="ES55" s="401"/>
      <c r="ET55" s="401"/>
      <c r="EU55" s="401"/>
      <c r="EV55" s="401"/>
      <c r="EW55" s="401"/>
      <c r="EX55" s="401"/>
      <c r="EY55" s="401"/>
      <c r="EZ55" s="401"/>
      <c r="FA55" s="401"/>
      <c r="FB55" s="401"/>
      <c r="FC55" s="401"/>
      <c r="FD55" s="401"/>
      <c r="FE55" s="401"/>
      <c r="FF55" s="401"/>
      <c r="FG55" s="401"/>
      <c r="FH55" s="401"/>
      <c r="FI55" s="401"/>
      <c r="FJ55" s="401"/>
      <c r="FK55" s="401"/>
      <c r="FL55" s="401"/>
      <c r="FM55" s="401"/>
      <c r="FN55" s="401"/>
      <c r="FO55" s="401"/>
      <c r="FP55" s="375" t="s">
        <v>850</v>
      </c>
      <c r="FQ55" s="376" t="s">
        <v>972</v>
      </c>
      <c r="FR55" s="377" t="s">
        <v>522</v>
      </c>
      <c r="FS55" s="377" t="s">
        <v>711</v>
      </c>
      <c r="FT55" s="377" t="s">
        <v>577</v>
      </c>
      <c r="FU55" s="144">
        <f t="shared" si="0"/>
        <v>18</v>
      </c>
      <c r="FV55" s="371" t="s">
        <v>913</v>
      </c>
    </row>
    <row r="56" spans="1:178" s="371" customFormat="1">
      <c r="A56" s="368" t="s">
        <v>526</v>
      </c>
      <c r="B56" s="369" t="s">
        <v>525</v>
      </c>
      <c r="C56" s="369" t="s">
        <v>555</v>
      </c>
      <c r="D56" s="369" t="s">
        <v>4</v>
      </c>
      <c r="E56" s="370" t="s">
        <v>709</v>
      </c>
      <c r="F56" s="369" t="s">
        <v>520</v>
      </c>
      <c r="G56" s="369" t="s">
        <v>982</v>
      </c>
      <c r="H56" s="402"/>
      <c r="I56" s="402"/>
      <c r="J56" s="402"/>
      <c r="K56" s="402"/>
      <c r="L56" s="402"/>
      <c r="M56" s="402"/>
      <c r="N56" s="402"/>
      <c r="O56" s="403">
        <f>100-100+5</f>
        <v>5</v>
      </c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3">
        <f>100-100</f>
        <v>0</v>
      </c>
      <c r="AG56" s="403">
        <f>100-100</f>
        <v>0</v>
      </c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3">
        <f>100-100</f>
        <v>0</v>
      </c>
      <c r="AT56" s="402"/>
      <c r="AU56" s="402"/>
      <c r="AV56" s="402"/>
      <c r="AW56" s="402"/>
      <c r="AX56" s="402"/>
      <c r="AY56" s="402"/>
      <c r="AZ56" s="402" t="s">
        <v>850</v>
      </c>
      <c r="BA56" s="409">
        <v>5</v>
      </c>
      <c r="BB56" s="403">
        <f>100-100</f>
        <v>0</v>
      </c>
      <c r="BC56" s="403">
        <f>100-100</f>
        <v>0</v>
      </c>
      <c r="BD56" s="402"/>
      <c r="BE56" s="402" t="s">
        <v>850</v>
      </c>
      <c r="BF56" s="402" t="s">
        <v>850</v>
      </c>
      <c r="BG56" s="402"/>
      <c r="BH56" s="402"/>
      <c r="BI56" s="402"/>
      <c r="BJ56" s="402"/>
      <c r="BK56" s="402"/>
      <c r="BL56" s="402"/>
      <c r="BM56" s="402"/>
      <c r="BN56" s="403">
        <f>100-100+1</f>
        <v>1</v>
      </c>
      <c r="BO56" s="403">
        <f>100-100+2</f>
        <v>2</v>
      </c>
      <c r="BP56" s="403">
        <f>100-100+2</f>
        <v>2</v>
      </c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 t="s">
        <v>850</v>
      </c>
      <c r="CB56" s="403">
        <f>100-100+4</f>
        <v>4</v>
      </c>
      <c r="CC56" s="403">
        <f>100-100</f>
        <v>0</v>
      </c>
      <c r="CD56" s="402"/>
      <c r="CE56" s="401"/>
      <c r="CF56" s="402" t="s">
        <v>850</v>
      </c>
      <c r="CG56" s="402"/>
      <c r="CH56" s="403">
        <f>100-100+1</f>
        <v>1</v>
      </c>
      <c r="CI56" s="403">
        <f>100-100+2</f>
        <v>2</v>
      </c>
      <c r="CJ56" s="403">
        <f>100-100+2</f>
        <v>2</v>
      </c>
      <c r="CK56" s="402"/>
      <c r="CL56" s="403">
        <f>100-100</f>
        <v>0</v>
      </c>
      <c r="CM56" s="401"/>
      <c r="CN56" s="402"/>
      <c r="CO56" s="411">
        <v>5</v>
      </c>
      <c r="CP56" s="403">
        <f>100-100</f>
        <v>0</v>
      </c>
      <c r="CQ56" s="403">
        <f>100-100</f>
        <v>0</v>
      </c>
      <c r="CR56" s="402"/>
      <c r="CS56" s="403">
        <f>100-100</f>
        <v>0</v>
      </c>
      <c r="CT56" s="402" t="s">
        <v>850</v>
      </c>
      <c r="CU56" s="402" t="s">
        <v>850</v>
      </c>
      <c r="CV56" s="402"/>
      <c r="CW56" s="403">
        <f>100-100+5</f>
        <v>5</v>
      </c>
      <c r="CX56" s="403">
        <f>100-100+10</f>
        <v>10</v>
      </c>
      <c r="CY56" s="402"/>
      <c r="CZ56" s="403">
        <f>100-100</f>
        <v>0</v>
      </c>
      <c r="DA56" s="402"/>
      <c r="DB56" s="402" t="s">
        <v>850</v>
      </c>
      <c r="DC56" s="402" t="s">
        <v>850</v>
      </c>
      <c r="DD56" s="403">
        <f>100-100+10</f>
        <v>10</v>
      </c>
      <c r="DE56" s="402" t="s">
        <v>850</v>
      </c>
      <c r="DF56" s="403">
        <f>100-100+1</f>
        <v>1</v>
      </c>
      <c r="DG56" s="403">
        <f>100-100+1</f>
        <v>1</v>
      </c>
      <c r="DH56" s="403">
        <f>100-100</f>
        <v>0</v>
      </c>
      <c r="DI56" s="403">
        <f>100-100</f>
        <v>0</v>
      </c>
      <c r="DJ56" s="403">
        <f>100-100</f>
        <v>0</v>
      </c>
      <c r="DK56" s="402" t="s">
        <v>850</v>
      </c>
      <c r="DL56" s="402" t="s">
        <v>850</v>
      </c>
      <c r="DM56" s="402" t="s">
        <v>850</v>
      </c>
      <c r="DN56" s="402" t="s">
        <v>850</v>
      </c>
      <c r="DO56" s="402"/>
      <c r="DP56" s="402"/>
      <c r="DQ56" s="402" t="s">
        <v>850</v>
      </c>
      <c r="DR56" s="402" t="s">
        <v>850</v>
      </c>
      <c r="DS56" s="402"/>
      <c r="DT56" s="402" t="s">
        <v>850</v>
      </c>
      <c r="DU56" s="403">
        <f>100-100</f>
        <v>0</v>
      </c>
      <c r="DV56" s="402" t="s">
        <v>850</v>
      </c>
      <c r="DW56" s="403">
        <f>100-100</f>
        <v>0</v>
      </c>
      <c r="DX56" s="402" t="s">
        <v>850</v>
      </c>
      <c r="DY56" s="402"/>
      <c r="DZ56" s="402" t="s">
        <v>850</v>
      </c>
      <c r="EA56" s="402" t="s">
        <v>850</v>
      </c>
      <c r="EB56" s="402" t="s">
        <v>850</v>
      </c>
      <c r="EC56" s="403">
        <f>100-100</f>
        <v>0</v>
      </c>
      <c r="ED56" s="403">
        <f>100-100</f>
        <v>0</v>
      </c>
      <c r="EE56" s="402"/>
      <c r="EF56" s="402" t="s">
        <v>850</v>
      </c>
      <c r="EG56" s="403">
        <f>100-100+2</f>
        <v>2</v>
      </c>
      <c r="EH56" s="403">
        <f>100-100</f>
        <v>0</v>
      </c>
      <c r="EI56" s="403">
        <f>100-100</f>
        <v>0</v>
      </c>
      <c r="EJ56" s="402" t="s">
        <v>850</v>
      </c>
      <c r="EK56" s="403">
        <f>100-100</f>
        <v>0</v>
      </c>
      <c r="EL56" s="403">
        <f>100-100</f>
        <v>0</v>
      </c>
      <c r="EM56" s="402"/>
      <c r="EN56" s="403">
        <f>100-100</f>
        <v>0</v>
      </c>
      <c r="EO56" s="402" t="s">
        <v>850</v>
      </c>
      <c r="EP56" s="402" t="s">
        <v>850</v>
      </c>
      <c r="EQ56" s="402"/>
      <c r="ER56" s="402" t="s">
        <v>850</v>
      </c>
      <c r="ES56" s="402" t="s">
        <v>850</v>
      </c>
      <c r="ET56" s="402" t="s">
        <v>850</v>
      </c>
      <c r="EU56" s="402"/>
      <c r="EV56" s="402"/>
      <c r="EW56" s="402"/>
      <c r="EX56" s="403">
        <f>100-100+10</f>
        <v>10</v>
      </c>
      <c r="EY56" s="402" t="s">
        <v>850</v>
      </c>
      <c r="EZ56" s="402"/>
      <c r="FA56" s="402"/>
      <c r="FB56" s="402"/>
      <c r="FC56" s="402"/>
      <c r="FD56" s="402"/>
      <c r="FE56" s="402" t="s">
        <v>850</v>
      </c>
      <c r="FF56" s="402"/>
      <c r="FG56" s="402" t="s">
        <v>850</v>
      </c>
      <c r="FH56" s="402"/>
      <c r="FI56" s="402" t="s">
        <v>850</v>
      </c>
      <c r="FJ56" s="402" t="s">
        <v>850</v>
      </c>
      <c r="FK56" s="402"/>
      <c r="FL56" s="402" t="s">
        <v>850</v>
      </c>
      <c r="FM56" s="402" t="s">
        <v>850</v>
      </c>
      <c r="FN56" s="402" t="s">
        <v>850</v>
      </c>
      <c r="FO56" s="402" t="s">
        <v>850</v>
      </c>
      <c r="FP56" s="375"/>
      <c r="FQ56" s="376" t="s">
        <v>972</v>
      </c>
      <c r="FR56" s="377" t="s">
        <v>522</v>
      </c>
      <c r="FS56" s="377" t="s">
        <v>711</v>
      </c>
      <c r="FT56" s="377" t="s">
        <v>577</v>
      </c>
      <c r="FU56" s="144">
        <f t="shared" si="0"/>
        <v>68</v>
      </c>
      <c r="FV56" s="371" t="s">
        <v>913</v>
      </c>
    </row>
    <row r="57" spans="1:178" s="371" customFormat="1">
      <c r="A57" s="368" t="s">
        <v>526</v>
      </c>
      <c r="B57" s="369" t="s">
        <v>525</v>
      </c>
      <c r="C57" s="369" t="s">
        <v>555</v>
      </c>
      <c r="D57" s="369" t="s">
        <v>3</v>
      </c>
      <c r="E57" s="370" t="s">
        <v>709</v>
      </c>
      <c r="F57" s="369" t="s">
        <v>520</v>
      </c>
      <c r="G57" s="369" t="s">
        <v>983</v>
      </c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1"/>
      <c r="CF57" s="402"/>
      <c r="CG57" s="402"/>
      <c r="CH57" s="402"/>
      <c r="CI57" s="402"/>
      <c r="CJ57" s="402"/>
      <c r="CK57" s="402"/>
      <c r="CL57" s="402"/>
      <c r="CM57" s="401"/>
      <c r="CN57" s="402"/>
      <c r="CO57" s="401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375"/>
      <c r="FQ57" s="376" t="s">
        <v>972</v>
      </c>
      <c r="FR57" s="377" t="s">
        <v>522</v>
      </c>
      <c r="FS57" s="377" t="s">
        <v>711</v>
      </c>
      <c r="FT57" s="377" t="s">
        <v>577</v>
      </c>
      <c r="FU57" s="144">
        <f t="shared" si="0"/>
        <v>0</v>
      </c>
      <c r="FV57" s="371" t="s">
        <v>913</v>
      </c>
    </row>
    <row r="58" spans="1:178" s="371" customFormat="1">
      <c r="A58" s="368" t="s">
        <v>526</v>
      </c>
      <c r="B58" s="369" t="s">
        <v>517</v>
      </c>
      <c r="C58" s="369" t="s">
        <v>555</v>
      </c>
      <c r="D58" s="369" t="s">
        <v>8</v>
      </c>
      <c r="E58" s="370" t="s">
        <v>578</v>
      </c>
      <c r="F58" s="369" t="s">
        <v>520</v>
      </c>
      <c r="G58" s="369"/>
      <c r="H58" s="401"/>
      <c r="I58" s="401"/>
      <c r="J58" s="401"/>
      <c r="K58" s="401"/>
      <c r="L58" s="401"/>
      <c r="M58" s="401"/>
      <c r="N58" s="401"/>
      <c r="O58" s="401"/>
      <c r="P58" s="401"/>
      <c r="Q58" s="401"/>
      <c r="R58" s="401"/>
      <c r="S58" s="401"/>
      <c r="T58" s="401"/>
      <c r="U58" s="401"/>
      <c r="V58" s="401"/>
      <c r="W58" s="401"/>
      <c r="X58" s="401"/>
      <c r="Y58" s="401"/>
      <c r="Z58" s="401"/>
      <c r="AA58" s="401"/>
      <c r="AB58" s="401"/>
      <c r="AC58" s="401"/>
      <c r="AD58" s="401"/>
      <c r="AE58" s="401"/>
      <c r="AF58" s="401"/>
      <c r="AG58" s="401"/>
      <c r="AH58" s="401"/>
      <c r="AI58" s="401"/>
      <c r="AJ58" s="401"/>
      <c r="AK58" s="401"/>
      <c r="AL58" s="401"/>
      <c r="AM58" s="401"/>
      <c r="AN58" s="401"/>
      <c r="AO58" s="401"/>
      <c r="AP58" s="401"/>
      <c r="AQ58" s="401"/>
      <c r="AR58" s="401"/>
      <c r="AS58" s="401"/>
      <c r="AT58" s="401"/>
      <c r="AU58" s="401"/>
      <c r="AV58" s="401"/>
      <c r="AW58" s="401"/>
      <c r="AX58" s="401"/>
      <c r="AY58" s="401"/>
      <c r="AZ58" s="401"/>
      <c r="BA58" s="402"/>
      <c r="BB58" s="401"/>
      <c r="BC58" s="401"/>
      <c r="BD58" s="401"/>
      <c r="BE58" s="401"/>
      <c r="BF58" s="401"/>
      <c r="BG58" s="401"/>
      <c r="BH58" s="401"/>
      <c r="BI58" s="401"/>
      <c r="BJ58" s="401"/>
      <c r="BK58" s="401"/>
      <c r="BL58" s="401"/>
      <c r="BM58" s="401"/>
      <c r="BN58" s="401"/>
      <c r="BO58" s="401"/>
      <c r="BP58" s="401"/>
      <c r="BQ58" s="401"/>
      <c r="BR58" s="401"/>
      <c r="BS58" s="401"/>
      <c r="BT58" s="401"/>
      <c r="BU58" s="401"/>
      <c r="BV58" s="401"/>
      <c r="BW58" s="401"/>
      <c r="BX58" s="401"/>
      <c r="BY58" s="401"/>
      <c r="BZ58" s="401"/>
      <c r="CA58" s="401"/>
      <c r="CB58" s="401"/>
      <c r="CC58" s="401"/>
      <c r="CD58" s="401"/>
      <c r="CE58" s="401"/>
      <c r="CF58" s="401"/>
      <c r="CG58" s="401"/>
      <c r="CH58" s="401"/>
      <c r="CI58" s="401"/>
      <c r="CJ58" s="401"/>
      <c r="CK58" s="401"/>
      <c r="CL58" s="401"/>
      <c r="CM58" s="401"/>
      <c r="CN58" s="401"/>
      <c r="CO58" s="401"/>
      <c r="CP58" s="401"/>
      <c r="CQ58" s="401"/>
      <c r="CR58" s="401"/>
      <c r="CS58" s="401"/>
      <c r="CT58" s="401"/>
      <c r="CU58" s="401"/>
      <c r="CV58" s="401"/>
      <c r="CW58" s="401"/>
      <c r="CX58" s="401"/>
      <c r="CY58" s="401"/>
      <c r="CZ58" s="411">
        <v>80</v>
      </c>
      <c r="DA58" s="401"/>
      <c r="DB58" s="401"/>
      <c r="DC58" s="401"/>
      <c r="DD58" s="401"/>
      <c r="DE58" s="401"/>
      <c r="DF58" s="401"/>
      <c r="DG58" s="401"/>
      <c r="DH58" s="401"/>
      <c r="DI58" s="401"/>
      <c r="DJ58" s="401"/>
      <c r="DK58" s="401"/>
      <c r="DL58" s="401"/>
      <c r="DM58" s="401"/>
      <c r="DN58" s="401"/>
      <c r="DO58" s="402"/>
      <c r="DP58" s="401"/>
      <c r="DQ58" s="401"/>
      <c r="DR58" s="401"/>
      <c r="DS58" s="401"/>
      <c r="DT58" s="403">
        <f>1917-1917+5</f>
        <v>5</v>
      </c>
      <c r="DU58" s="411">
        <v>120</v>
      </c>
      <c r="DV58" s="401"/>
      <c r="DW58" s="401"/>
      <c r="DX58" s="401"/>
      <c r="DY58" s="401"/>
      <c r="DZ58" s="401"/>
      <c r="EA58" s="401"/>
      <c r="EB58" s="401"/>
      <c r="EC58" s="401"/>
      <c r="ED58" s="401"/>
      <c r="EE58" s="401"/>
      <c r="EF58" s="401"/>
      <c r="EG58" s="401"/>
      <c r="EH58" s="411">
        <v>20</v>
      </c>
      <c r="EI58" s="401"/>
      <c r="EJ58" s="401"/>
      <c r="EK58" s="401"/>
      <c r="EL58" s="401"/>
      <c r="EM58" s="402"/>
      <c r="EN58" s="401"/>
      <c r="EO58" s="401"/>
      <c r="EP58" s="401"/>
      <c r="EQ58" s="401"/>
      <c r="ER58" s="401"/>
      <c r="ES58" s="401"/>
      <c r="ET58" s="401"/>
      <c r="EU58" s="401"/>
      <c r="EV58" s="401"/>
      <c r="EW58" s="411">
        <v>80</v>
      </c>
      <c r="EX58" s="401"/>
      <c r="EY58" s="401"/>
      <c r="EZ58" s="401"/>
      <c r="FA58" s="401"/>
      <c r="FB58" s="401"/>
      <c r="FC58" s="401"/>
      <c r="FD58" s="401"/>
      <c r="FE58" s="401"/>
      <c r="FF58" s="401"/>
      <c r="FG58" s="401"/>
      <c r="FH58" s="401"/>
      <c r="FI58" s="401"/>
      <c r="FJ58" s="401"/>
      <c r="FK58" s="401"/>
      <c r="FL58" s="401"/>
      <c r="FM58" s="401"/>
      <c r="FN58" s="401"/>
      <c r="FO58" s="401"/>
      <c r="FP58" s="375" t="s">
        <v>850</v>
      </c>
      <c r="FQ58" s="376" t="s">
        <v>972</v>
      </c>
      <c r="FR58" s="377" t="s">
        <v>522</v>
      </c>
      <c r="FS58" s="377" t="s">
        <v>850</v>
      </c>
      <c r="FT58" s="377" t="s">
        <v>915</v>
      </c>
      <c r="FU58" s="144">
        <f t="shared" si="0"/>
        <v>305</v>
      </c>
      <c r="FV58" s="371" t="s">
        <v>911</v>
      </c>
    </row>
    <row r="59" spans="1:178" s="371" customFormat="1">
      <c r="A59" s="368" t="s">
        <v>526</v>
      </c>
      <c r="B59" s="369" t="s">
        <v>517</v>
      </c>
      <c r="C59" s="369" t="s">
        <v>555</v>
      </c>
      <c r="D59" s="369" t="s">
        <v>4</v>
      </c>
      <c r="E59" s="370" t="s">
        <v>578</v>
      </c>
      <c r="F59" s="369" t="s">
        <v>520</v>
      </c>
      <c r="G59" s="369"/>
      <c r="H59" s="403">
        <f>30-30</f>
        <v>0</v>
      </c>
      <c r="I59" s="402" t="s">
        <v>850</v>
      </c>
      <c r="J59" s="403">
        <f>10-10</f>
        <v>0</v>
      </c>
      <c r="K59" s="403">
        <f>11-11+10</f>
        <v>10</v>
      </c>
      <c r="L59" s="403">
        <f>300-300</f>
        <v>0</v>
      </c>
      <c r="M59" s="403">
        <f>295-295</f>
        <v>0</v>
      </c>
      <c r="N59" s="403">
        <f>285-285</f>
        <v>0</v>
      </c>
      <c r="O59" s="403">
        <f>253-253</f>
        <v>0</v>
      </c>
      <c r="P59" s="402" t="s">
        <v>850</v>
      </c>
      <c r="Q59" s="403">
        <f>300-300</f>
        <v>0</v>
      </c>
      <c r="R59" s="402" t="s">
        <v>850</v>
      </c>
      <c r="S59" s="403">
        <f>274-274</f>
        <v>0</v>
      </c>
      <c r="T59" s="403">
        <f>260-260</f>
        <v>0</v>
      </c>
      <c r="U59" s="402" t="s">
        <v>850</v>
      </c>
      <c r="V59" s="403">
        <f>1000-1000</f>
        <v>0</v>
      </c>
      <c r="W59" s="402" t="s">
        <v>850</v>
      </c>
      <c r="X59" s="403">
        <f>737-737+35</f>
        <v>35</v>
      </c>
      <c r="Y59" s="403">
        <f>470-470+10</f>
        <v>10</v>
      </c>
      <c r="Z59" s="402" t="s">
        <v>850</v>
      </c>
      <c r="AA59" s="403">
        <f>965-965</f>
        <v>0</v>
      </c>
      <c r="AB59" s="403">
        <f>1840-1840+40</f>
        <v>40</v>
      </c>
      <c r="AC59" s="403">
        <f>1910-1910</f>
        <v>0</v>
      </c>
      <c r="AD59" s="403">
        <f>1885-1885</f>
        <v>0</v>
      </c>
      <c r="AE59" s="402" t="s">
        <v>850</v>
      </c>
      <c r="AF59" s="402" t="s">
        <v>850</v>
      </c>
      <c r="AG59" s="402" t="s">
        <v>850</v>
      </c>
      <c r="AH59" s="402" t="s">
        <v>850</v>
      </c>
      <c r="AI59" s="402" t="s">
        <v>850</v>
      </c>
      <c r="AJ59" s="402" t="s">
        <v>850</v>
      </c>
      <c r="AK59" s="403">
        <f>400-400</f>
        <v>0</v>
      </c>
      <c r="AL59" s="403">
        <f>500-500</f>
        <v>0</v>
      </c>
      <c r="AM59" s="403">
        <f>370-370</f>
        <v>0</v>
      </c>
      <c r="AN59" s="402" t="s">
        <v>850</v>
      </c>
      <c r="AO59" s="402" t="s">
        <v>850</v>
      </c>
      <c r="AP59" s="402" t="s">
        <v>850</v>
      </c>
      <c r="AQ59" s="402" t="s">
        <v>850</v>
      </c>
      <c r="AR59" s="402" t="s">
        <v>850</v>
      </c>
      <c r="AS59" s="403">
        <f>1500-1500</f>
        <v>0</v>
      </c>
      <c r="AT59" s="403">
        <f>1500-1500</f>
        <v>0</v>
      </c>
      <c r="AU59" s="403">
        <f>3-3</f>
        <v>0</v>
      </c>
      <c r="AV59" s="402" t="s">
        <v>850</v>
      </c>
      <c r="AW59" s="402" t="s">
        <v>850</v>
      </c>
      <c r="AX59" s="403">
        <f>12-12+2</f>
        <v>2</v>
      </c>
      <c r="AY59" s="403">
        <f>15-15</f>
        <v>0</v>
      </c>
      <c r="AZ59" s="403">
        <f>55-55</f>
        <v>0</v>
      </c>
      <c r="BA59" s="409">
        <v>5</v>
      </c>
      <c r="BB59" s="403">
        <f>25-25</f>
        <v>0</v>
      </c>
      <c r="BC59" s="402" t="s">
        <v>850</v>
      </c>
      <c r="BD59" s="403">
        <f>50-50+10</f>
        <v>10</v>
      </c>
      <c r="BE59" s="403">
        <f>8-8</f>
        <v>0</v>
      </c>
      <c r="BF59" s="403">
        <f>25-25</f>
        <v>0</v>
      </c>
      <c r="BG59" s="402"/>
      <c r="BH59" s="402" t="s">
        <v>850</v>
      </c>
      <c r="BI59" s="402" t="s">
        <v>850</v>
      </c>
      <c r="BJ59" s="402" t="s">
        <v>850</v>
      </c>
      <c r="BK59" s="402" t="s">
        <v>850</v>
      </c>
      <c r="BL59" s="403">
        <f>8-8+2</f>
        <v>2</v>
      </c>
      <c r="BM59" s="402"/>
      <c r="BN59" s="403">
        <f>155-155</f>
        <v>0</v>
      </c>
      <c r="BO59" s="403">
        <f>138-138+15</f>
        <v>15</v>
      </c>
      <c r="BP59" s="403">
        <f>785-785+20</f>
        <v>20</v>
      </c>
      <c r="BQ59" s="403">
        <f>50-50</f>
        <v>0</v>
      </c>
      <c r="BR59" s="403">
        <f>200-200</f>
        <v>0</v>
      </c>
      <c r="BS59" s="403">
        <f>102-102+30</f>
        <v>30</v>
      </c>
      <c r="BT59" s="402"/>
      <c r="BU59" s="402" t="s">
        <v>850</v>
      </c>
      <c r="BV59" s="402" t="s">
        <v>850</v>
      </c>
      <c r="BW59" s="403">
        <f>10-10</f>
        <v>0</v>
      </c>
      <c r="BX59" s="403">
        <f>10-10</f>
        <v>0</v>
      </c>
      <c r="BY59" s="403">
        <f>140-140+5</f>
        <v>5</v>
      </c>
      <c r="BZ59" s="403">
        <f>198-198</f>
        <v>0</v>
      </c>
      <c r="CA59" s="403">
        <f>138-138</f>
        <v>0</v>
      </c>
      <c r="CB59" s="409">
        <v>40</v>
      </c>
      <c r="CC59" s="403">
        <f>80-80</f>
        <v>0</v>
      </c>
      <c r="CD59" s="403">
        <f>140-140</f>
        <v>0</v>
      </c>
      <c r="CE59" s="401"/>
      <c r="CF59" s="403">
        <f>150-150</f>
        <v>0</v>
      </c>
      <c r="CG59" s="403">
        <f>30-30+20</f>
        <v>20</v>
      </c>
      <c r="CH59" s="403">
        <f>370-370+10</f>
        <v>10</v>
      </c>
      <c r="CI59" s="403">
        <f>390-390+20</f>
        <v>20</v>
      </c>
      <c r="CJ59" s="403">
        <f>462-462+12</f>
        <v>12</v>
      </c>
      <c r="CK59" s="403">
        <f>500-500</f>
        <v>0</v>
      </c>
      <c r="CL59" s="403">
        <f>327-327</f>
        <v>0</v>
      </c>
      <c r="CM59" s="411">
        <v>15</v>
      </c>
      <c r="CN59" s="403">
        <f>443-443</f>
        <v>0</v>
      </c>
      <c r="CO59" s="411">
        <v>100</v>
      </c>
      <c r="CP59" s="403">
        <f>325-325</f>
        <v>0</v>
      </c>
      <c r="CQ59" s="403">
        <f>865-865</f>
        <v>0</v>
      </c>
      <c r="CR59" s="403">
        <f>935-935</f>
        <v>0</v>
      </c>
      <c r="CS59" s="403">
        <f>981-981</f>
        <v>0</v>
      </c>
      <c r="CT59" s="402" t="s">
        <v>850</v>
      </c>
      <c r="CU59" s="403">
        <f>1975-1975</f>
        <v>0</v>
      </c>
      <c r="CV59" s="403">
        <f>1225-1225+80</f>
        <v>80</v>
      </c>
      <c r="CW59" s="403">
        <f>1760-1760+70</f>
        <v>70</v>
      </c>
      <c r="CX59" s="403">
        <f>1620-1620+30</f>
        <v>30</v>
      </c>
      <c r="CY59" s="403">
        <f>1710-1710</f>
        <v>0</v>
      </c>
      <c r="CZ59" s="403">
        <f>4170-4170</f>
        <v>0</v>
      </c>
      <c r="DA59" s="403">
        <f>2000-2000</f>
        <v>0</v>
      </c>
      <c r="DB59" s="402" t="s">
        <v>850</v>
      </c>
      <c r="DC59" s="402" t="s">
        <v>850</v>
      </c>
      <c r="DD59" s="403">
        <f>4345-4345+180</f>
        <v>180</v>
      </c>
      <c r="DE59" s="402" t="s">
        <v>850</v>
      </c>
      <c r="DF59" s="403">
        <f>1610-1610+4</f>
        <v>4</v>
      </c>
      <c r="DG59" s="403">
        <f>250-250+10</f>
        <v>10</v>
      </c>
      <c r="DH59" s="403">
        <f>1650-1650</f>
        <v>0</v>
      </c>
      <c r="DI59" s="403">
        <f>1080-1080</f>
        <v>0</v>
      </c>
      <c r="DJ59" s="403">
        <f>1583-1583</f>
        <v>0</v>
      </c>
      <c r="DK59" s="402" t="s">
        <v>850</v>
      </c>
      <c r="DL59" s="402" t="s">
        <v>850</v>
      </c>
      <c r="DM59" s="403">
        <f>500-500</f>
        <v>0</v>
      </c>
      <c r="DN59" s="403">
        <f>500-500+20</f>
        <v>20</v>
      </c>
      <c r="DO59" s="409">
        <v>200</v>
      </c>
      <c r="DP59" s="403">
        <f>500-500</f>
        <v>0</v>
      </c>
      <c r="DQ59" s="403">
        <f>1200-1200</f>
        <v>0</v>
      </c>
      <c r="DR59" s="402" t="s">
        <v>850</v>
      </c>
      <c r="DS59" s="402"/>
      <c r="DT59" s="401"/>
      <c r="DU59" s="403">
        <f>1760-1760</f>
        <v>0</v>
      </c>
      <c r="DV59" s="403">
        <f>1951-1951</f>
        <v>0</v>
      </c>
      <c r="DW59" s="403">
        <f>1800-1800</f>
        <v>0</v>
      </c>
      <c r="DX59" s="402" t="s">
        <v>850</v>
      </c>
      <c r="DY59" s="403">
        <f>1848-1848</f>
        <v>0</v>
      </c>
      <c r="DZ59" s="403">
        <f>1240-1240</f>
        <v>0</v>
      </c>
      <c r="EA59" s="403">
        <f>2000-2000</f>
        <v>0</v>
      </c>
      <c r="EB59" s="403">
        <f>1957-1957</f>
        <v>0</v>
      </c>
      <c r="EC59" s="403">
        <f>1820-1820</f>
        <v>0</v>
      </c>
      <c r="ED59" s="403">
        <f>1770-1770</f>
        <v>0</v>
      </c>
      <c r="EE59" s="403">
        <f>2000-2000</f>
        <v>0</v>
      </c>
      <c r="EF59" s="402" t="s">
        <v>850</v>
      </c>
      <c r="EG59" s="403">
        <f>1370-1370+20</f>
        <v>20</v>
      </c>
      <c r="EH59" s="403">
        <f>1300-1300</f>
        <v>0</v>
      </c>
      <c r="EI59" s="403">
        <f>1740-1740</f>
        <v>0</v>
      </c>
      <c r="EJ59" s="402" t="s">
        <v>850</v>
      </c>
      <c r="EK59" s="403">
        <f>1910-1910</f>
        <v>0</v>
      </c>
      <c r="EL59" s="403">
        <f>1990-1990</f>
        <v>0</v>
      </c>
      <c r="EM59" s="402"/>
      <c r="EN59" s="403">
        <f>1897-1897</f>
        <v>0</v>
      </c>
      <c r="EO59" s="402" t="s">
        <v>850</v>
      </c>
      <c r="EP59" s="403">
        <f>1940-1940</f>
        <v>0</v>
      </c>
      <c r="EQ59" s="403">
        <f>1920-1920+20</f>
        <v>20</v>
      </c>
      <c r="ER59" s="403">
        <f>1930-1930</f>
        <v>0</v>
      </c>
      <c r="ES59" s="403">
        <f>1997-1997</f>
        <v>0</v>
      </c>
      <c r="ET59" s="403">
        <f>1997-1997</f>
        <v>0</v>
      </c>
      <c r="EU59" s="403">
        <f>1978-1978</f>
        <v>0</v>
      </c>
      <c r="EV59" s="403">
        <f>1960-1960</f>
        <v>0</v>
      </c>
      <c r="EW59" s="403">
        <f>1820-1820</f>
        <v>0</v>
      </c>
      <c r="EX59" s="403">
        <f>1950-1950+40</f>
        <v>40</v>
      </c>
      <c r="EY59" s="402" t="s">
        <v>850</v>
      </c>
      <c r="EZ59" s="402"/>
      <c r="FA59" s="402"/>
      <c r="FB59" s="402"/>
      <c r="FC59" s="402"/>
      <c r="FD59" s="402"/>
      <c r="FE59" s="402" t="s">
        <v>850</v>
      </c>
      <c r="FF59" s="402"/>
      <c r="FG59" s="402" t="s">
        <v>850</v>
      </c>
      <c r="FH59" s="402"/>
      <c r="FI59" s="402" t="s">
        <v>850</v>
      </c>
      <c r="FJ59" s="402" t="s">
        <v>850</v>
      </c>
      <c r="FK59" s="402"/>
      <c r="FL59" s="402" t="s">
        <v>850</v>
      </c>
      <c r="FM59" s="402" t="s">
        <v>850</v>
      </c>
      <c r="FN59" s="402" t="s">
        <v>850</v>
      </c>
      <c r="FO59" s="402" t="s">
        <v>850</v>
      </c>
      <c r="FP59" s="375"/>
      <c r="FQ59" s="376" t="s">
        <v>972</v>
      </c>
      <c r="FR59" s="377" t="s">
        <v>522</v>
      </c>
      <c r="FS59" s="377" t="s">
        <v>850</v>
      </c>
      <c r="FT59" s="377" t="s">
        <v>915</v>
      </c>
      <c r="FU59" s="144">
        <f t="shared" si="0"/>
        <v>1075</v>
      </c>
      <c r="FV59" s="371" t="s">
        <v>911</v>
      </c>
    </row>
    <row r="60" spans="1:178" s="371" customFormat="1" ht="10.5">
      <c r="A60" s="368" t="s">
        <v>526</v>
      </c>
      <c r="B60" s="369" t="s">
        <v>517</v>
      </c>
      <c r="C60" s="369" t="s">
        <v>555</v>
      </c>
      <c r="D60" s="369" t="s">
        <v>3</v>
      </c>
      <c r="E60" s="370" t="s">
        <v>578</v>
      </c>
      <c r="F60" s="369" t="s">
        <v>520</v>
      </c>
      <c r="G60" s="369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10">
        <v>1</v>
      </c>
      <c r="CE60" s="401"/>
      <c r="CF60" s="402"/>
      <c r="CG60" s="402"/>
      <c r="CH60" s="402"/>
      <c r="CI60" s="402"/>
      <c r="CJ60" s="402"/>
      <c r="CK60" s="402"/>
      <c r="CL60" s="402"/>
      <c r="CM60" s="401"/>
      <c r="CN60" s="412">
        <v>3</v>
      </c>
      <c r="CO60" s="401"/>
      <c r="CP60" s="402"/>
      <c r="CQ60" s="402"/>
      <c r="CR60" s="412">
        <v>2</v>
      </c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375"/>
      <c r="FQ60" s="376" t="s">
        <v>972</v>
      </c>
      <c r="FR60" s="377" t="s">
        <v>522</v>
      </c>
      <c r="FS60" s="377" t="s">
        <v>850</v>
      </c>
      <c r="FT60" s="377" t="s">
        <v>915</v>
      </c>
      <c r="FU60" s="144">
        <f t="shared" si="0"/>
        <v>6</v>
      </c>
      <c r="FV60" s="371" t="s">
        <v>911</v>
      </c>
    </row>
    <row r="61" spans="1:178" s="371" customFormat="1">
      <c r="A61" s="368" t="s">
        <v>526</v>
      </c>
      <c r="B61" s="369" t="s">
        <v>517</v>
      </c>
      <c r="C61" s="369" t="s">
        <v>555</v>
      </c>
      <c r="D61" s="369" t="s">
        <v>636</v>
      </c>
      <c r="E61" s="370" t="s">
        <v>581</v>
      </c>
      <c r="F61" s="369" t="s">
        <v>520</v>
      </c>
      <c r="G61" s="369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/>
      <c r="BN61" s="402"/>
      <c r="BO61" s="402"/>
      <c r="BP61" s="402"/>
      <c r="BQ61" s="402"/>
      <c r="BR61" s="402"/>
      <c r="BS61" s="402"/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1"/>
      <c r="CF61" s="402"/>
      <c r="CG61" s="402"/>
      <c r="CH61" s="402"/>
      <c r="CI61" s="402"/>
      <c r="CJ61" s="402"/>
      <c r="CK61" s="402"/>
      <c r="CL61" s="402"/>
      <c r="CM61" s="401"/>
      <c r="CN61" s="402"/>
      <c r="CO61" s="401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11">
        <v>20</v>
      </c>
      <c r="DV61" s="402"/>
      <c r="DW61" s="402"/>
      <c r="DX61" s="402"/>
      <c r="DY61" s="402"/>
      <c r="DZ61" s="402"/>
      <c r="EA61" s="402"/>
      <c r="EB61" s="402"/>
      <c r="EC61" s="402"/>
      <c r="ED61" s="402"/>
      <c r="EE61" s="411">
        <v>5</v>
      </c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11">
        <v>10</v>
      </c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375"/>
      <c r="FQ61" s="376" t="s">
        <v>972</v>
      </c>
      <c r="FR61" s="377" t="s">
        <v>522</v>
      </c>
      <c r="FS61" s="377" t="s">
        <v>850</v>
      </c>
      <c r="FT61" s="377" t="s">
        <v>562</v>
      </c>
      <c r="FU61" s="144">
        <f t="shared" si="0"/>
        <v>35</v>
      </c>
      <c r="FV61" s="371" t="s">
        <v>906</v>
      </c>
    </row>
    <row r="62" spans="1:178" s="371" customFormat="1">
      <c r="A62" s="368" t="s">
        <v>526</v>
      </c>
      <c r="B62" s="369" t="s">
        <v>517</v>
      </c>
      <c r="C62" s="369" t="s">
        <v>555</v>
      </c>
      <c r="D62" s="369" t="s">
        <v>633</v>
      </c>
      <c r="E62" s="370" t="s">
        <v>581</v>
      </c>
      <c r="F62" s="369" t="s">
        <v>520</v>
      </c>
      <c r="G62" s="369"/>
      <c r="H62" s="402" t="s">
        <v>850</v>
      </c>
      <c r="I62" s="402" t="s">
        <v>850</v>
      </c>
      <c r="J62" s="402" t="s">
        <v>850</v>
      </c>
      <c r="K62" s="402"/>
      <c r="L62" s="402" t="s">
        <v>850</v>
      </c>
      <c r="M62" s="402" t="s">
        <v>850</v>
      </c>
      <c r="N62" s="402"/>
      <c r="O62" s="402"/>
      <c r="P62" s="402" t="s">
        <v>850</v>
      </c>
      <c r="Q62" s="402" t="s">
        <v>850</v>
      </c>
      <c r="R62" s="402" t="s">
        <v>850</v>
      </c>
      <c r="S62" s="402" t="s">
        <v>850</v>
      </c>
      <c r="T62" s="402"/>
      <c r="U62" s="402" t="s">
        <v>850</v>
      </c>
      <c r="V62" s="402" t="s">
        <v>850</v>
      </c>
      <c r="W62" s="402" t="s">
        <v>850</v>
      </c>
      <c r="X62" s="402"/>
      <c r="Y62" s="402"/>
      <c r="Z62" s="402"/>
      <c r="AA62" s="402"/>
      <c r="AB62" s="402"/>
      <c r="AC62" s="402"/>
      <c r="AD62" s="402"/>
      <c r="AE62" s="402" t="s">
        <v>850</v>
      </c>
      <c r="AF62" s="402" t="s">
        <v>850</v>
      </c>
      <c r="AG62" s="402" t="s">
        <v>850</v>
      </c>
      <c r="AH62" s="402" t="s">
        <v>850</v>
      </c>
      <c r="AI62" s="402" t="s">
        <v>850</v>
      </c>
      <c r="AJ62" s="402" t="s">
        <v>850</v>
      </c>
      <c r="AK62" s="402" t="s">
        <v>850</v>
      </c>
      <c r="AL62" s="402" t="s">
        <v>850</v>
      </c>
      <c r="AM62" s="402" t="s">
        <v>850</v>
      </c>
      <c r="AN62" s="402" t="s">
        <v>850</v>
      </c>
      <c r="AO62" s="402" t="s">
        <v>850</v>
      </c>
      <c r="AP62" s="402" t="s">
        <v>850</v>
      </c>
      <c r="AQ62" s="402" t="s">
        <v>850</v>
      </c>
      <c r="AR62" s="402" t="s">
        <v>850</v>
      </c>
      <c r="AS62" s="402" t="s">
        <v>850</v>
      </c>
      <c r="AT62" s="402" t="s">
        <v>850</v>
      </c>
      <c r="AU62" s="402"/>
      <c r="AV62" s="402" t="s">
        <v>850</v>
      </c>
      <c r="AW62" s="402" t="s">
        <v>850</v>
      </c>
      <c r="AX62" s="402"/>
      <c r="AY62" s="402" t="s">
        <v>850</v>
      </c>
      <c r="AZ62" s="402" t="s">
        <v>850</v>
      </c>
      <c r="BA62" s="402"/>
      <c r="BB62" s="402" t="s">
        <v>850</v>
      </c>
      <c r="BC62" s="403">
        <f>2-2</f>
        <v>0</v>
      </c>
      <c r="BD62" s="402"/>
      <c r="BE62" s="402" t="s">
        <v>850</v>
      </c>
      <c r="BF62" s="403">
        <f>2-2</f>
        <v>0</v>
      </c>
      <c r="BG62" s="402"/>
      <c r="BH62" s="402" t="s">
        <v>850</v>
      </c>
      <c r="BI62" s="402" t="s">
        <v>850</v>
      </c>
      <c r="BJ62" s="402" t="s">
        <v>850</v>
      </c>
      <c r="BK62" s="402" t="s">
        <v>850</v>
      </c>
      <c r="BL62" s="402"/>
      <c r="BM62" s="402"/>
      <c r="BN62" s="402"/>
      <c r="BO62" s="402"/>
      <c r="BP62" s="402"/>
      <c r="BQ62" s="402"/>
      <c r="BR62" s="402"/>
      <c r="BS62" s="403">
        <f>5-5+5</f>
        <v>5</v>
      </c>
      <c r="BT62" s="402"/>
      <c r="BU62" s="402" t="s">
        <v>850</v>
      </c>
      <c r="BV62" s="402" t="s">
        <v>850</v>
      </c>
      <c r="BW62" s="402"/>
      <c r="BX62" s="402"/>
      <c r="BY62" s="402"/>
      <c r="BZ62" s="402"/>
      <c r="CA62" s="402" t="s">
        <v>850</v>
      </c>
      <c r="CB62" s="402"/>
      <c r="CC62" s="402" t="s">
        <v>850</v>
      </c>
      <c r="CD62" s="403">
        <f>5-5</f>
        <v>0</v>
      </c>
      <c r="CE62" s="401"/>
      <c r="CF62" s="402" t="s">
        <v>850</v>
      </c>
      <c r="CG62" s="402"/>
      <c r="CH62" s="402"/>
      <c r="CI62" s="402"/>
      <c r="CJ62" s="402"/>
      <c r="CK62" s="402"/>
      <c r="CL62" s="402" t="s">
        <v>850</v>
      </c>
      <c r="CM62" s="401"/>
      <c r="CN62" s="402"/>
      <c r="CO62" s="401"/>
      <c r="CP62" s="402" t="s">
        <v>850</v>
      </c>
      <c r="CQ62" s="402" t="s">
        <v>850</v>
      </c>
      <c r="CR62" s="402"/>
      <c r="CS62" s="403">
        <f>10-10</f>
        <v>0</v>
      </c>
      <c r="CT62" s="402" t="s">
        <v>850</v>
      </c>
      <c r="CU62" s="402" t="s">
        <v>850</v>
      </c>
      <c r="CV62" s="402"/>
      <c r="CW62" s="402"/>
      <c r="CX62" s="403">
        <f>20-20+10</f>
        <v>10</v>
      </c>
      <c r="CY62" s="402"/>
      <c r="CZ62" s="402"/>
      <c r="DA62" s="402"/>
      <c r="DB62" s="402" t="s">
        <v>850</v>
      </c>
      <c r="DC62" s="403">
        <f>20-20</f>
        <v>0</v>
      </c>
      <c r="DD62" s="403">
        <f>50-50+10</f>
        <v>10</v>
      </c>
      <c r="DE62" s="402" t="s">
        <v>850</v>
      </c>
      <c r="DF62" s="402"/>
      <c r="DG62" s="403">
        <f>50-50+2</f>
        <v>2</v>
      </c>
      <c r="DH62" s="402" t="s">
        <v>850</v>
      </c>
      <c r="DI62" s="403">
        <f>20-20</f>
        <v>0</v>
      </c>
      <c r="DJ62" s="402" t="s">
        <v>850</v>
      </c>
      <c r="DK62" s="402" t="s">
        <v>850</v>
      </c>
      <c r="DL62" s="402" t="s">
        <v>850</v>
      </c>
      <c r="DM62" s="402" t="s">
        <v>850</v>
      </c>
      <c r="DN62" s="402" t="s">
        <v>850</v>
      </c>
      <c r="DO62" s="409">
        <v>80</v>
      </c>
      <c r="DP62" s="403">
        <f>100-100</f>
        <v>0</v>
      </c>
      <c r="DQ62" s="402" t="s">
        <v>850</v>
      </c>
      <c r="DR62" s="402" t="s">
        <v>850</v>
      </c>
      <c r="DS62" s="402"/>
      <c r="DT62" s="402" t="s">
        <v>850</v>
      </c>
      <c r="DU62" s="403">
        <f>150-150</f>
        <v>0</v>
      </c>
      <c r="DV62" s="403">
        <f>30-30</f>
        <v>0</v>
      </c>
      <c r="DW62" s="403">
        <f>150-150</f>
        <v>0</v>
      </c>
      <c r="DX62" s="402" t="s">
        <v>850</v>
      </c>
      <c r="DY62" s="402"/>
      <c r="DZ62" s="403">
        <f>30-30</f>
        <v>0</v>
      </c>
      <c r="EA62" s="402" t="s">
        <v>850</v>
      </c>
      <c r="EB62" s="402" t="s">
        <v>850</v>
      </c>
      <c r="EC62" s="403">
        <f>80-80</f>
        <v>0</v>
      </c>
      <c r="ED62" s="403">
        <f>50-50</f>
        <v>0</v>
      </c>
      <c r="EE62" s="403">
        <f>50-50</f>
        <v>0</v>
      </c>
      <c r="EF62" s="402" t="s">
        <v>850</v>
      </c>
      <c r="EG62" s="403">
        <f>30-30+3</f>
        <v>3</v>
      </c>
      <c r="EH62" s="402"/>
      <c r="EI62" s="402" t="s">
        <v>850</v>
      </c>
      <c r="EJ62" s="403">
        <f>50-50</f>
        <v>0</v>
      </c>
      <c r="EK62" s="403">
        <f>30-30</f>
        <v>0</v>
      </c>
      <c r="EL62" s="403">
        <f>50-50</f>
        <v>0</v>
      </c>
      <c r="EM62" s="402"/>
      <c r="EN62" s="403">
        <f>50-50</f>
        <v>0</v>
      </c>
      <c r="EO62" s="402" t="s">
        <v>850</v>
      </c>
      <c r="EP62" s="403">
        <f>100-100</f>
        <v>0</v>
      </c>
      <c r="EQ62" s="402"/>
      <c r="ER62" s="402" t="s">
        <v>850</v>
      </c>
      <c r="ES62" s="402" t="s">
        <v>850</v>
      </c>
      <c r="ET62" s="402" t="s">
        <v>850</v>
      </c>
      <c r="EU62" s="402"/>
      <c r="EV62" s="403">
        <f>50-50</f>
        <v>0</v>
      </c>
      <c r="EW62" s="403">
        <f>100-100</f>
        <v>0</v>
      </c>
      <c r="EX62" s="402"/>
      <c r="EY62" s="402" t="s">
        <v>850</v>
      </c>
      <c r="EZ62" s="402"/>
      <c r="FA62" s="402"/>
      <c r="FB62" s="402"/>
      <c r="FC62" s="402"/>
      <c r="FD62" s="402"/>
      <c r="FE62" s="402" t="s">
        <v>850</v>
      </c>
      <c r="FF62" s="402"/>
      <c r="FG62" s="402" t="s">
        <v>850</v>
      </c>
      <c r="FH62" s="402"/>
      <c r="FI62" s="402" t="s">
        <v>850</v>
      </c>
      <c r="FJ62" s="402" t="s">
        <v>850</v>
      </c>
      <c r="FK62" s="402"/>
      <c r="FL62" s="402" t="s">
        <v>850</v>
      </c>
      <c r="FM62" s="402" t="s">
        <v>850</v>
      </c>
      <c r="FN62" s="402" t="s">
        <v>850</v>
      </c>
      <c r="FO62" s="402" t="s">
        <v>850</v>
      </c>
      <c r="FP62" s="375" t="s">
        <v>850</v>
      </c>
      <c r="FQ62" s="376" t="s">
        <v>972</v>
      </c>
      <c r="FR62" s="377" t="s">
        <v>522</v>
      </c>
      <c r="FS62" s="377" t="s">
        <v>850</v>
      </c>
      <c r="FT62" s="377" t="s">
        <v>562</v>
      </c>
      <c r="FU62" s="144">
        <f t="shared" si="0"/>
        <v>110</v>
      </c>
      <c r="FV62" s="371" t="s">
        <v>906</v>
      </c>
    </row>
    <row r="63" spans="1:178" s="371" customFormat="1">
      <c r="A63" s="368" t="s">
        <v>526</v>
      </c>
      <c r="B63" s="369" t="s">
        <v>517</v>
      </c>
      <c r="C63" s="369" t="s">
        <v>555</v>
      </c>
      <c r="D63" s="369" t="s">
        <v>632</v>
      </c>
      <c r="E63" s="370" t="s">
        <v>581</v>
      </c>
      <c r="F63" s="369" t="s">
        <v>520</v>
      </c>
      <c r="G63" s="369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1"/>
      <c r="CF63" s="402"/>
      <c r="CG63" s="402"/>
      <c r="CH63" s="402"/>
      <c r="CI63" s="402"/>
      <c r="CJ63" s="402"/>
      <c r="CK63" s="402"/>
      <c r="CL63" s="402"/>
      <c r="CM63" s="401"/>
      <c r="CN63" s="402"/>
      <c r="CO63" s="401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375"/>
      <c r="FQ63" s="376" t="s">
        <v>972</v>
      </c>
      <c r="FR63" s="377" t="s">
        <v>522</v>
      </c>
      <c r="FS63" s="377" t="s">
        <v>850</v>
      </c>
      <c r="FT63" s="377" t="s">
        <v>562</v>
      </c>
      <c r="FU63" s="144">
        <f t="shared" si="0"/>
        <v>0</v>
      </c>
      <c r="FV63" s="371" t="s">
        <v>906</v>
      </c>
    </row>
    <row r="64" spans="1:178" s="371" customFormat="1">
      <c r="A64" s="368" t="s">
        <v>916</v>
      </c>
      <c r="B64" s="369" t="s">
        <v>517</v>
      </c>
      <c r="C64" s="369" t="s">
        <v>555</v>
      </c>
      <c r="D64" s="369" t="s">
        <v>8</v>
      </c>
      <c r="E64" s="370" t="s">
        <v>582</v>
      </c>
      <c r="F64" s="369" t="s">
        <v>520</v>
      </c>
      <c r="G64" s="369" t="s">
        <v>984</v>
      </c>
      <c r="H64" s="401"/>
      <c r="I64" s="401"/>
      <c r="J64" s="401"/>
      <c r="K64" s="401"/>
      <c r="L64" s="401"/>
      <c r="M64" s="401"/>
      <c r="N64" s="401"/>
      <c r="O64" s="401"/>
      <c r="P64" s="401"/>
      <c r="Q64" s="401"/>
      <c r="R64" s="401"/>
      <c r="S64" s="401"/>
      <c r="T64" s="401"/>
      <c r="U64" s="401"/>
      <c r="V64" s="401"/>
      <c r="W64" s="401"/>
      <c r="X64" s="401"/>
      <c r="Y64" s="401"/>
      <c r="Z64" s="401"/>
      <c r="AA64" s="401"/>
      <c r="AB64" s="401"/>
      <c r="AC64" s="401"/>
      <c r="AD64" s="401"/>
      <c r="AE64" s="401"/>
      <c r="AF64" s="401"/>
      <c r="AG64" s="401"/>
      <c r="AH64" s="401"/>
      <c r="AI64" s="401"/>
      <c r="AJ64" s="401"/>
      <c r="AK64" s="401"/>
      <c r="AL64" s="401"/>
      <c r="AM64" s="401"/>
      <c r="AN64" s="401"/>
      <c r="AO64" s="401"/>
      <c r="AP64" s="401"/>
      <c r="AQ64" s="401"/>
      <c r="AR64" s="401"/>
      <c r="AS64" s="401"/>
      <c r="AT64" s="401"/>
      <c r="AU64" s="401"/>
      <c r="AV64" s="401"/>
      <c r="AW64" s="401"/>
      <c r="AX64" s="401"/>
      <c r="AY64" s="401"/>
      <c r="AZ64" s="401"/>
      <c r="BA64" s="402"/>
      <c r="BB64" s="401"/>
      <c r="BC64" s="401"/>
      <c r="BD64" s="401"/>
      <c r="BE64" s="401"/>
      <c r="BF64" s="401"/>
      <c r="BG64" s="401"/>
      <c r="BH64" s="401"/>
      <c r="BI64" s="401"/>
      <c r="BJ64" s="401"/>
      <c r="BK64" s="401"/>
      <c r="BL64" s="401"/>
      <c r="BM64" s="401"/>
      <c r="BN64" s="401"/>
      <c r="BO64" s="401"/>
      <c r="BP64" s="401"/>
      <c r="BQ64" s="401"/>
      <c r="BR64" s="401"/>
      <c r="BS64" s="401"/>
      <c r="BT64" s="401"/>
      <c r="BU64" s="401"/>
      <c r="BV64" s="401"/>
      <c r="BW64" s="401"/>
      <c r="BX64" s="401"/>
      <c r="BY64" s="401"/>
      <c r="BZ64" s="401"/>
      <c r="CA64" s="401"/>
      <c r="CB64" s="401"/>
      <c r="CC64" s="401"/>
      <c r="CD64" s="401"/>
      <c r="CE64" s="401"/>
      <c r="CF64" s="401"/>
      <c r="CG64" s="401"/>
      <c r="CH64" s="401"/>
      <c r="CI64" s="401"/>
      <c r="CJ64" s="401"/>
      <c r="CK64" s="401"/>
      <c r="CL64" s="401"/>
      <c r="CM64" s="401"/>
      <c r="CN64" s="401"/>
      <c r="CO64" s="401"/>
      <c r="CP64" s="401"/>
      <c r="CQ64" s="401"/>
      <c r="CR64" s="401"/>
      <c r="CS64" s="401"/>
      <c r="CT64" s="401"/>
      <c r="CU64" s="401"/>
      <c r="CV64" s="401"/>
      <c r="CW64" s="401"/>
      <c r="CX64" s="401"/>
      <c r="CY64" s="401"/>
      <c r="CZ64" s="411">
        <v>10</v>
      </c>
      <c r="DA64" s="401"/>
      <c r="DB64" s="401"/>
      <c r="DC64" s="401"/>
      <c r="DD64" s="401"/>
      <c r="DE64" s="401"/>
      <c r="DF64" s="401"/>
      <c r="DG64" s="401"/>
      <c r="DH64" s="401"/>
      <c r="DI64" s="401"/>
      <c r="DJ64" s="401"/>
      <c r="DK64" s="401"/>
      <c r="DL64" s="401"/>
      <c r="DM64" s="401"/>
      <c r="DN64" s="401"/>
      <c r="DO64" s="402"/>
      <c r="DP64" s="401"/>
      <c r="DQ64" s="401"/>
      <c r="DR64" s="401"/>
      <c r="DS64" s="401"/>
      <c r="DT64" s="401"/>
      <c r="DU64" s="411">
        <v>20</v>
      </c>
      <c r="DV64" s="401"/>
      <c r="DW64" s="401"/>
      <c r="DX64" s="401"/>
      <c r="DY64" s="401"/>
      <c r="DZ64" s="401"/>
      <c r="EA64" s="401"/>
      <c r="EB64" s="401"/>
      <c r="EC64" s="401"/>
      <c r="ED64" s="401"/>
      <c r="EE64" s="411">
        <v>5</v>
      </c>
      <c r="EF64" s="401"/>
      <c r="EG64" s="401"/>
      <c r="EH64" s="411">
        <v>2</v>
      </c>
      <c r="EI64" s="401"/>
      <c r="EJ64" s="401"/>
      <c r="EK64" s="401"/>
      <c r="EL64" s="401"/>
      <c r="EM64" s="402"/>
      <c r="EN64" s="401"/>
      <c r="EO64" s="401"/>
      <c r="EP64" s="401"/>
      <c r="EQ64" s="401"/>
      <c r="ER64" s="401"/>
      <c r="ES64" s="401"/>
      <c r="ET64" s="401"/>
      <c r="EU64" s="401"/>
      <c r="EV64" s="401"/>
      <c r="EW64" s="411">
        <v>10</v>
      </c>
      <c r="EX64" s="401"/>
      <c r="EY64" s="401"/>
      <c r="EZ64" s="401"/>
      <c r="FA64" s="401"/>
      <c r="FB64" s="401"/>
      <c r="FC64" s="401"/>
      <c r="FD64" s="401"/>
      <c r="FE64" s="401"/>
      <c r="FF64" s="401"/>
      <c r="FG64" s="401"/>
      <c r="FH64" s="401"/>
      <c r="FI64" s="401"/>
      <c r="FJ64" s="401"/>
      <c r="FK64" s="401"/>
      <c r="FL64" s="401"/>
      <c r="FM64" s="401"/>
      <c r="FN64" s="401"/>
      <c r="FO64" s="401"/>
      <c r="FP64" s="375" t="s">
        <v>850</v>
      </c>
      <c r="FQ64" s="376" t="s">
        <v>972</v>
      </c>
      <c r="FR64" s="377" t="s">
        <v>522</v>
      </c>
      <c r="FS64" s="377" t="s">
        <v>850</v>
      </c>
      <c r="FT64" s="377" t="s">
        <v>585</v>
      </c>
      <c r="FU64" s="144">
        <f t="shared" si="0"/>
        <v>47</v>
      </c>
      <c r="FV64" s="371" t="s">
        <v>905</v>
      </c>
    </row>
    <row r="65" spans="1:178" s="371" customFormat="1">
      <c r="A65" s="368" t="s">
        <v>916</v>
      </c>
      <c r="B65" s="369" t="s">
        <v>517</v>
      </c>
      <c r="C65" s="369" t="s">
        <v>555</v>
      </c>
      <c r="D65" s="369" t="s">
        <v>4</v>
      </c>
      <c r="E65" s="370" t="s">
        <v>582</v>
      </c>
      <c r="F65" s="369" t="s">
        <v>520</v>
      </c>
      <c r="G65" s="369" t="s">
        <v>984</v>
      </c>
      <c r="H65" s="402" t="s">
        <v>850</v>
      </c>
      <c r="I65" s="402" t="s">
        <v>850</v>
      </c>
      <c r="J65" s="402" t="s">
        <v>850</v>
      </c>
      <c r="K65" s="402"/>
      <c r="L65" s="402" t="s">
        <v>850</v>
      </c>
      <c r="M65" s="402" t="s">
        <v>850</v>
      </c>
      <c r="N65" s="402"/>
      <c r="O65" s="402"/>
      <c r="P65" s="402" t="s">
        <v>850</v>
      </c>
      <c r="Q65" s="402" t="s">
        <v>850</v>
      </c>
      <c r="R65" s="402" t="s">
        <v>850</v>
      </c>
      <c r="S65" s="402" t="s">
        <v>850</v>
      </c>
      <c r="T65" s="402"/>
      <c r="U65" s="402" t="s">
        <v>850</v>
      </c>
      <c r="V65" s="402" t="s">
        <v>850</v>
      </c>
      <c r="W65" s="402" t="s">
        <v>850</v>
      </c>
      <c r="X65" s="402"/>
      <c r="Y65" s="402"/>
      <c r="Z65" s="402"/>
      <c r="AA65" s="402"/>
      <c r="AB65" s="402"/>
      <c r="AC65" s="403">
        <f>10-10</f>
        <v>0</v>
      </c>
      <c r="AD65" s="403">
        <f>10-10+2</f>
        <v>2</v>
      </c>
      <c r="AE65" s="402" t="s">
        <v>850</v>
      </c>
      <c r="AF65" s="402" t="s">
        <v>850</v>
      </c>
      <c r="AG65" s="402" t="s">
        <v>850</v>
      </c>
      <c r="AH65" s="402" t="s">
        <v>850</v>
      </c>
      <c r="AI65" s="402" t="s">
        <v>850</v>
      </c>
      <c r="AJ65" s="402" t="s">
        <v>850</v>
      </c>
      <c r="AK65" s="402" t="s">
        <v>850</v>
      </c>
      <c r="AL65" s="402" t="s">
        <v>850</v>
      </c>
      <c r="AM65" s="402" t="s">
        <v>850</v>
      </c>
      <c r="AN65" s="402" t="s">
        <v>850</v>
      </c>
      <c r="AO65" s="402" t="s">
        <v>850</v>
      </c>
      <c r="AP65" s="402" t="s">
        <v>850</v>
      </c>
      <c r="AQ65" s="402" t="s">
        <v>850</v>
      </c>
      <c r="AR65" s="402" t="s">
        <v>850</v>
      </c>
      <c r="AS65" s="402" t="s">
        <v>850</v>
      </c>
      <c r="AT65" s="402" t="s">
        <v>850</v>
      </c>
      <c r="AU65" s="402"/>
      <c r="AV65" s="402" t="s">
        <v>850</v>
      </c>
      <c r="AW65" s="402" t="s">
        <v>850</v>
      </c>
      <c r="AX65" s="402"/>
      <c r="AY65" s="402" t="s">
        <v>850</v>
      </c>
      <c r="AZ65" s="402" t="s">
        <v>850</v>
      </c>
      <c r="BA65" s="402"/>
      <c r="BB65" s="402" t="s">
        <v>850</v>
      </c>
      <c r="BC65" s="403">
        <f>10-10</f>
        <v>0</v>
      </c>
      <c r="BD65" s="403">
        <f>10-10+2</f>
        <v>2</v>
      </c>
      <c r="BE65" s="403">
        <f>10-10</f>
        <v>0</v>
      </c>
      <c r="BF65" s="402" t="s">
        <v>850</v>
      </c>
      <c r="BG65" s="402"/>
      <c r="BH65" s="402" t="s">
        <v>850</v>
      </c>
      <c r="BI65" s="402" t="s">
        <v>850</v>
      </c>
      <c r="BJ65" s="402" t="s">
        <v>850</v>
      </c>
      <c r="BK65" s="402" t="s">
        <v>850</v>
      </c>
      <c r="BL65" s="402"/>
      <c r="BM65" s="402"/>
      <c r="BN65" s="402"/>
      <c r="BO65" s="402"/>
      <c r="BP65" s="403">
        <f>20-20+5</f>
        <v>5</v>
      </c>
      <c r="BQ65" s="403">
        <f>20-20</f>
        <v>0</v>
      </c>
      <c r="BR65" s="402"/>
      <c r="BS65" s="403">
        <f>10-10+5</f>
        <v>5</v>
      </c>
      <c r="BT65" s="402"/>
      <c r="BU65" s="402" t="s">
        <v>850</v>
      </c>
      <c r="BV65" s="402" t="s">
        <v>850</v>
      </c>
      <c r="BW65" s="402"/>
      <c r="BX65" s="402"/>
      <c r="BY65" s="402"/>
      <c r="BZ65" s="402"/>
      <c r="CA65" s="402" t="s">
        <v>850</v>
      </c>
      <c r="CB65" s="403">
        <f>20-20+5</f>
        <v>5</v>
      </c>
      <c r="CC65" s="403">
        <f>20-20</f>
        <v>0</v>
      </c>
      <c r="CD65" s="402"/>
      <c r="CE65" s="401"/>
      <c r="CF65" s="403">
        <f>20-20</f>
        <v>0</v>
      </c>
      <c r="CG65" s="402"/>
      <c r="CH65" s="403">
        <f>10-10+2</f>
        <v>2</v>
      </c>
      <c r="CI65" s="403">
        <f>20-20+4</f>
        <v>4</v>
      </c>
      <c r="CJ65" s="403">
        <f>20-20+2</f>
        <v>2</v>
      </c>
      <c r="CK65" s="403">
        <f>20-20</f>
        <v>0</v>
      </c>
      <c r="CL65" s="402" t="s">
        <v>850</v>
      </c>
      <c r="CM65" s="411">
        <v>5</v>
      </c>
      <c r="CN65" s="403">
        <f>10-10</f>
        <v>0</v>
      </c>
      <c r="CO65" s="411">
        <v>10</v>
      </c>
      <c r="CP65" s="403">
        <f>30-30</f>
        <v>0</v>
      </c>
      <c r="CQ65" s="402" t="s">
        <v>850</v>
      </c>
      <c r="CR65" s="403">
        <f>30-30</f>
        <v>0</v>
      </c>
      <c r="CS65" s="403">
        <f>30-30</f>
        <v>0</v>
      </c>
      <c r="CT65" s="402" t="s">
        <v>850</v>
      </c>
      <c r="CU65" s="402" t="s">
        <v>850</v>
      </c>
      <c r="CV65" s="403">
        <f>20-20+10</f>
        <v>10</v>
      </c>
      <c r="CW65" s="403">
        <f>30-30+10</f>
        <v>10</v>
      </c>
      <c r="CX65" s="403">
        <f>60-60+10</f>
        <v>10</v>
      </c>
      <c r="CY65" s="403">
        <f>30-30</f>
        <v>0</v>
      </c>
      <c r="CZ65" s="403">
        <f>60-60</f>
        <v>0</v>
      </c>
      <c r="DA65" s="402"/>
      <c r="DB65" s="402" t="s">
        <v>850</v>
      </c>
      <c r="DC65" s="402" t="s">
        <v>850</v>
      </c>
      <c r="DD65" s="402"/>
      <c r="DE65" s="402" t="s">
        <v>850</v>
      </c>
      <c r="DF65" s="403">
        <f>10-10</f>
        <v>0</v>
      </c>
      <c r="DG65" s="403">
        <f>50-50+2</f>
        <v>2</v>
      </c>
      <c r="DH65" s="403">
        <f>50-50</f>
        <v>0</v>
      </c>
      <c r="DI65" s="403">
        <f>50-50</f>
        <v>0</v>
      </c>
      <c r="DJ65" s="402" t="s">
        <v>850</v>
      </c>
      <c r="DK65" s="402" t="s">
        <v>850</v>
      </c>
      <c r="DL65" s="402" t="s">
        <v>850</v>
      </c>
      <c r="DM65" s="403">
        <f>30-30</f>
        <v>0</v>
      </c>
      <c r="DN65" s="402" t="s">
        <v>850</v>
      </c>
      <c r="DO65" s="409">
        <v>20</v>
      </c>
      <c r="DP65" s="403">
        <f>30-30</f>
        <v>0</v>
      </c>
      <c r="DQ65" s="403">
        <f>40-40</f>
        <v>0</v>
      </c>
      <c r="DR65" s="402" t="s">
        <v>850</v>
      </c>
      <c r="DS65" s="402"/>
      <c r="DT65" s="402" t="s">
        <v>850</v>
      </c>
      <c r="DU65" s="403">
        <f>100-100</f>
        <v>0</v>
      </c>
      <c r="DV65" s="402" t="s">
        <v>850</v>
      </c>
      <c r="DW65" s="403">
        <f>100-100</f>
        <v>0</v>
      </c>
      <c r="DX65" s="402" t="s">
        <v>850</v>
      </c>
      <c r="DY65" s="402"/>
      <c r="DZ65" s="403">
        <f>40-40</f>
        <v>0</v>
      </c>
      <c r="EA65" s="402" t="s">
        <v>850</v>
      </c>
      <c r="EB65" s="402" t="s">
        <v>850</v>
      </c>
      <c r="EC65" s="403">
        <f>20-20</f>
        <v>0</v>
      </c>
      <c r="ED65" s="402" t="s">
        <v>850</v>
      </c>
      <c r="EE65" s="403">
        <f>40-40</f>
        <v>0</v>
      </c>
      <c r="EF65" s="403">
        <f>20-20</f>
        <v>0</v>
      </c>
      <c r="EG65" s="403">
        <f>60-60+2</f>
        <v>2</v>
      </c>
      <c r="EH65" s="403">
        <f>60-60</f>
        <v>0</v>
      </c>
      <c r="EI65" s="403">
        <f>60-60</f>
        <v>0</v>
      </c>
      <c r="EJ65" s="402" t="s">
        <v>850</v>
      </c>
      <c r="EK65" s="402" t="s">
        <v>850</v>
      </c>
      <c r="EL65" s="402" t="s">
        <v>850</v>
      </c>
      <c r="EM65" s="402"/>
      <c r="EN65" s="402" t="s">
        <v>850</v>
      </c>
      <c r="EO65" s="402" t="s">
        <v>850</v>
      </c>
      <c r="EP65" s="402" t="s">
        <v>850</v>
      </c>
      <c r="EQ65" s="402"/>
      <c r="ER65" s="402" t="s">
        <v>850</v>
      </c>
      <c r="ES65" s="402" t="s">
        <v>850</v>
      </c>
      <c r="ET65" s="402" t="s">
        <v>850</v>
      </c>
      <c r="EU65" s="402"/>
      <c r="EV65" s="403">
        <f>40-40</f>
        <v>0</v>
      </c>
      <c r="EW65" s="403">
        <f>40-40</f>
        <v>0</v>
      </c>
      <c r="EX65" s="403">
        <f>40-40+20</f>
        <v>20</v>
      </c>
      <c r="EY65" s="402" t="s">
        <v>850</v>
      </c>
      <c r="EZ65" s="405">
        <f>20-20+20</f>
        <v>20</v>
      </c>
      <c r="FA65" s="405">
        <f>20-20+20</f>
        <v>20</v>
      </c>
      <c r="FB65" s="402"/>
      <c r="FC65" s="402"/>
      <c r="FD65" s="402"/>
      <c r="FE65" s="402"/>
      <c r="FF65" s="402"/>
      <c r="FG65" s="402" t="s">
        <v>850</v>
      </c>
      <c r="FH65" s="402"/>
      <c r="FI65" s="402" t="s">
        <v>850</v>
      </c>
      <c r="FJ65" s="402" t="s">
        <v>850</v>
      </c>
      <c r="FK65" s="402"/>
      <c r="FL65" s="402" t="s">
        <v>850</v>
      </c>
      <c r="FM65" s="402" t="s">
        <v>850</v>
      </c>
      <c r="FN65" s="402" t="s">
        <v>850</v>
      </c>
      <c r="FO65" s="402" t="s">
        <v>850</v>
      </c>
      <c r="FP65" s="375"/>
      <c r="FQ65" s="376" t="s">
        <v>972</v>
      </c>
      <c r="FR65" s="377" t="s">
        <v>522</v>
      </c>
      <c r="FS65" s="377" t="s">
        <v>850</v>
      </c>
      <c r="FT65" s="377" t="s">
        <v>585</v>
      </c>
      <c r="FU65" s="144">
        <f t="shared" si="0"/>
        <v>156</v>
      </c>
      <c r="FV65" s="371" t="s">
        <v>905</v>
      </c>
    </row>
    <row r="66" spans="1:178" s="371" customFormat="1">
      <c r="A66" s="368" t="s">
        <v>916</v>
      </c>
      <c r="B66" s="369" t="s">
        <v>517</v>
      </c>
      <c r="C66" s="369" t="s">
        <v>555</v>
      </c>
      <c r="D66" s="369" t="s">
        <v>3</v>
      </c>
      <c r="E66" s="370" t="s">
        <v>582</v>
      </c>
      <c r="F66" s="369" t="s">
        <v>520</v>
      </c>
      <c r="G66" s="369" t="s">
        <v>985</v>
      </c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1"/>
      <c r="CF66" s="402"/>
      <c r="CG66" s="402"/>
      <c r="CH66" s="402"/>
      <c r="CI66" s="402"/>
      <c r="CJ66" s="402"/>
      <c r="CK66" s="402"/>
      <c r="CL66" s="402"/>
      <c r="CM66" s="401"/>
      <c r="CN66" s="402"/>
      <c r="CO66" s="401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375"/>
      <c r="FQ66" s="376" t="s">
        <v>972</v>
      </c>
      <c r="FR66" s="377" t="s">
        <v>522</v>
      </c>
      <c r="FS66" s="377" t="s">
        <v>850</v>
      </c>
      <c r="FT66" s="377" t="s">
        <v>585</v>
      </c>
      <c r="FU66" s="144">
        <f t="shared" si="0"/>
        <v>0</v>
      </c>
      <c r="FV66" s="371" t="s">
        <v>905</v>
      </c>
    </row>
    <row r="67" spans="1:178" s="371" customFormat="1">
      <c r="A67" s="368" t="s">
        <v>918</v>
      </c>
      <c r="B67" s="369" t="s">
        <v>517</v>
      </c>
      <c r="C67" s="369" t="s">
        <v>555</v>
      </c>
      <c r="D67" s="369" t="s">
        <v>8</v>
      </c>
      <c r="E67" s="370" t="s">
        <v>586</v>
      </c>
      <c r="F67" s="369" t="s">
        <v>520</v>
      </c>
      <c r="G67" s="369" t="s">
        <v>986</v>
      </c>
      <c r="H67" s="401"/>
      <c r="I67" s="401"/>
      <c r="J67" s="401"/>
      <c r="K67" s="401"/>
      <c r="L67" s="401"/>
      <c r="M67" s="401"/>
      <c r="N67" s="401"/>
      <c r="O67" s="401"/>
      <c r="P67" s="401"/>
      <c r="Q67" s="401"/>
      <c r="R67" s="401"/>
      <c r="S67" s="401"/>
      <c r="T67" s="401"/>
      <c r="U67" s="401"/>
      <c r="V67" s="401"/>
      <c r="W67" s="401"/>
      <c r="X67" s="401"/>
      <c r="Y67" s="401"/>
      <c r="Z67" s="401"/>
      <c r="AA67" s="401"/>
      <c r="AB67" s="401"/>
      <c r="AC67" s="401"/>
      <c r="AD67" s="401"/>
      <c r="AE67" s="401"/>
      <c r="AF67" s="401"/>
      <c r="AG67" s="401"/>
      <c r="AH67" s="401"/>
      <c r="AI67" s="401"/>
      <c r="AJ67" s="401"/>
      <c r="AK67" s="401"/>
      <c r="AL67" s="401"/>
      <c r="AM67" s="401"/>
      <c r="AN67" s="401"/>
      <c r="AO67" s="401"/>
      <c r="AP67" s="401"/>
      <c r="AQ67" s="401"/>
      <c r="AR67" s="401"/>
      <c r="AS67" s="401"/>
      <c r="AT67" s="401"/>
      <c r="AU67" s="401"/>
      <c r="AV67" s="401"/>
      <c r="AW67" s="401"/>
      <c r="AX67" s="401"/>
      <c r="AY67" s="401"/>
      <c r="AZ67" s="401"/>
      <c r="BA67" s="402"/>
      <c r="BB67" s="401"/>
      <c r="BC67" s="401"/>
      <c r="BD67" s="401"/>
      <c r="BE67" s="401"/>
      <c r="BF67" s="401"/>
      <c r="BG67" s="401"/>
      <c r="BH67" s="401"/>
      <c r="BI67" s="401"/>
      <c r="BJ67" s="401"/>
      <c r="BK67" s="401"/>
      <c r="BL67" s="401"/>
      <c r="BM67" s="401"/>
      <c r="BN67" s="401"/>
      <c r="BO67" s="401"/>
      <c r="BP67" s="401"/>
      <c r="BQ67" s="401"/>
      <c r="BR67" s="401"/>
      <c r="BS67" s="401"/>
      <c r="BT67" s="401"/>
      <c r="BU67" s="401"/>
      <c r="BV67" s="401"/>
      <c r="BW67" s="401"/>
      <c r="BX67" s="401"/>
      <c r="BY67" s="401"/>
      <c r="BZ67" s="401"/>
      <c r="CA67" s="401"/>
      <c r="CB67" s="401"/>
      <c r="CC67" s="401"/>
      <c r="CD67" s="401"/>
      <c r="CE67" s="401"/>
      <c r="CF67" s="401"/>
      <c r="CG67" s="401"/>
      <c r="CH67" s="401"/>
      <c r="CI67" s="401"/>
      <c r="CJ67" s="401"/>
      <c r="CK67" s="401"/>
      <c r="CL67" s="401"/>
      <c r="CM67" s="401"/>
      <c r="CN67" s="401"/>
      <c r="CO67" s="401"/>
      <c r="CP67" s="401"/>
      <c r="CQ67" s="401"/>
      <c r="CR67" s="401"/>
      <c r="CS67" s="401"/>
      <c r="CT67" s="401"/>
      <c r="CU67" s="401"/>
      <c r="CV67" s="401"/>
      <c r="CW67" s="401"/>
      <c r="CX67" s="401"/>
      <c r="CY67" s="401"/>
      <c r="CZ67" s="411">
        <v>10</v>
      </c>
      <c r="DA67" s="401"/>
      <c r="DB67" s="401"/>
      <c r="DC67" s="401"/>
      <c r="DD67" s="401"/>
      <c r="DE67" s="401"/>
      <c r="DF67" s="401"/>
      <c r="DG67" s="401"/>
      <c r="DH67" s="401"/>
      <c r="DI67" s="401"/>
      <c r="DJ67" s="401"/>
      <c r="DK67" s="401"/>
      <c r="DL67" s="401"/>
      <c r="DM67" s="401"/>
      <c r="DN67" s="401"/>
      <c r="DO67" s="402"/>
      <c r="DP67" s="401"/>
      <c r="DQ67" s="401"/>
      <c r="DR67" s="401"/>
      <c r="DS67" s="401"/>
      <c r="DT67" s="401"/>
      <c r="DU67" s="411">
        <v>100</v>
      </c>
      <c r="DV67" s="401"/>
      <c r="DW67" s="401"/>
      <c r="DX67" s="401"/>
      <c r="DY67" s="401"/>
      <c r="DZ67" s="401"/>
      <c r="EA67" s="401"/>
      <c r="EB67" s="401"/>
      <c r="EC67" s="401"/>
      <c r="ED67" s="401"/>
      <c r="EE67" s="401"/>
      <c r="EF67" s="401"/>
      <c r="EG67" s="401"/>
      <c r="EH67" s="401"/>
      <c r="EI67" s="401"/>
      <c r="EJ67" s="401"/>
      <c r="EK67" s="401"/>
      <c r="EL67" s="401"/>
      <c r="EM67" s="402"/>
      <c r="EN67" s="401"/>
      <c r="EO67" s="401"/>
      <c r="EP67" s="401"/>
      <c r="EQ67" s="401"/>
      <c r="ER67" s="401"/>
      <c r="ES67" s="401"/>
      <c r="ET67" s="401"/>
      <c r="EU67" s="401"/>
      <c r="EV67" s="401"/>
      <c r="EW67" s="411">
        <v>20</v>
      </c>
      <c r="EX67" s="401"/>
      <c r="EY67" s="401"/>
      <c r="EZ67" s="401"/>
      <c r="FA67" s="401"/>
      <c r="FB67" s="401"/>
      <c r="FC67" s="401"/>
      <c r="FD67" s="401"/>
      <c r="FE67" s="401"/>
      <c r="FF67" s="401"/>
      <c r="FG67" s="401"/>
      <c r="FH67" s="401"/>
      <c r="FI67" s="401"/>
      <c r="FJ67" s="401"/>
      <c r="FK67" s="401"/>
      <c r="FL67" s="401"/>
      <c r="FM67" s="401"/>
      <c r="FN67" s="401"/>
      <c r="FO67" s="401"/>
      <c r="FP67" s="375" t="s">
        <v>850</v>
      </c>
      <c r="FQ67" s="376" t="s">
        <v>972</v>
      </c>
      <c r="FR67" s="377" t="s">
        <v>522</v>
      </c>
      <c r="FS67" s="377" t="s">
        <v>850</v>
      </c>
      <c r="FT67" s="377" t="s">
        <v>915</v>
      </c>
      <c r="FU67" s="144">
        <f t="shared" si="0"/>
        <v>130</v>
      </c>
      <c r="FV67" s="371" t="s">
        <v>920</v>
      </c>
    </row>
    <row r="68" spans="1:178" s="371" customFormat="1">
      <c r="A68" s="368" t="s">
        <v>918</v>
      </c>
      <c r="B68" s="369" t="s">
        <v>517</v>
      </c>
      <c r="C68" s="369" t="s">
        <v>555</v>
      </c>
      <c r="D68" s="369" t="s">
        <v>4</v>
      </c>
      <c r="E68" s="370" t="s">
        <v>586</v>
      </c>
      <c r="F68" s="369" t="s">
        <v>520</v>
      </c>
      <c r="G68" s="369" t="s">
        <v>986</v>
      </c>
      <c r="H68" s="402" t="s">
        <v>850</v>
      </c>
      <c r="I68" s="402" t="s">
        <v>850</v>
      </c>
      <c r="J68" s="402" t="s">
        <v>850</v>
      </c>
      <c r="K68" s="402"/>
      <c r="L68" s="402" t="s">
        <v>850</v>
      </c>
      <c r="M68" s="403">
        <f>20-20</f>
        <v>0</v>
      </c>
      <c r="N68" s="403">
        <f>20-20</f>
        <v>0</v>
      </c>
      <c r="O68" s="403">
        <f>20-20</f>
        <v>0</v>
      </c>
      <c r="P68" s="402" t="s">
        <v>850</v>
      </c>
      <c r="Q68" s="402" t="s">
        <v>850</v>
      </c>
      <c r="R68" s="402" t="s">
        <v>850</v>
      </c>
      <c r="S68" s="403">
        <f>20-20</f>
        <v>0</v>
      </c>
      <c r="T68" s="403">
        <f>20-20</f>
        <v>0</v>
      </c>
      <c r="U68" s="402" t="s">
        <v>850</v>
      </c>
      <c r="V68" s="402" t="s">
        <v>850</v>
      </c>
      <c r="W68" s="402" t="s">
        <v>850</v>
      </c>
      <c r="X68" s="403">
        <f>20-20+10</f>
        <v>10</v>
      </c>
      <c r="Y68" s="403">
        <f>40-40+10</f>
        <v>10</v>
      </c>
      <c r="Z68" s="402" t="s">
        <v>850</v>
      </c>
      <c r="AA68" s="403">
        <f>20-20</f>
        <v>0</v>
      </c>
      <c r="AB68" s="403">
        <f>40-40+10</f>
        <v>10</v>
      </c>
      <c r="AC68" s="403">
        <f>40-40</f>
        <v>0</v>
      </c>
      <c r="AD68" s="403">
        <f>40-40</f>
        <v>0</v>
      </c>
      <c r="AE68" s="402" t="s">
        <v>850</v>
      </c>
      <c r="AF68" s="402" t="s">
        <v>850</v>
      </c>
      <c r="AG68" s="402" t="s">
        <v>850</v>
      </c>
      <c r="AH68" s="402" t="s">
        <v>850</v>
      </c>
      <c r="AI68" s="402" t="s">
        <v>850</v>
      </c>
      <c r="AJ68" s="402" t="s">
        <v>850</v>
      </c>
      <c r="AK68" s="402" t="s">
        <v>850</v>
      </c>
      <c r="AL68" s="402" t="s">
        <v>850</v>
      </c>
      <c r="AM68" s="402" t="s">
        <v>850</v>
      </c>
      <c r="AN68" s="402" t="s">
        <v>850</v>
      </c>
      <c r="AO68" s="402" t="s">
        <v>850</v>
      </c>
      <c r="AP68" s="402" t="s">
        <v>850</v>
      </c>
      <c r="AQ68" s="402" t="s">
        <v>850</v>
      </c>
      <c r="AR68" s="402" t="s">
        <v>850</v>
      </c>
      <c r="AS68" s="402" t="s">
        <v>850</v>
      </c>
      <c r="AT68" s="402" t="s">
        <v>850</v>
      </c>
      <c r="AU68" s="403">
        <f>5-5</f>
        <v>0</v>
      </c>
      <c r="AV68" s="402" t="s">
        <v>850</v>
      </c>
      <c r="AW68" s="402" t="s">
        <v>850</v>
      </c>
      <c r="AX68" s="403">
        <f>5-5</f>
        <v>0</v>
      </c>
      <c r="AY68" s="403">
        <f>5-5</f>
        <v>0</v>
      </c>
      <c r="AZ68" s="403">
        <f t="shared" ref="AZ68:BF68" si="7">10-10</f>
        <v>0</v>
      </c>
      <c r="BA68" s="409">
        <v>5</v>
      </c>
      <c r="BB68" s="403">
        <f t="shared" si="7"/>
        <v>0</v>
      </c>
      <c r="BC68" s="403">
        <f t="shared" si="7"/>
        <v>0</v>
      </c>
      <c r="BD68" s="403">
        <f>10-10+2</f>
        <v>2</v>
      </c>
      <c r="BE68" s="403">
        <f t="shared" si="7"/>
        <v>0</v>
      </c>
      <c r="BF68" s="403">
        <f t="shared" si="7"/>
        <v>0</v>
      </c>
      <c r="BG68" s="402"/>
      <c r="BH68" s="402" t="s">
        <v>850</v>
      </c>
      <c r="BI68" s="402" t="s">
        <v>850</v>
      </c>
      <c r="BJ68" s="402" t="s">
        <v>850</v>
      </c>
      <c r="BK68" s="402" t="s">
        <v>850</v>
      </c>
      <c r="BL68" s="402"/>
      <c r="BM68" s="402"/>
      <c r="BN68" s="403">
        <f>20-20</f>
        <v>0</v>
      </c>
      <c r="BO68" s="403">
        <f>20-20+5</f>
        <v>5</v>
      </c>
      <c r="BP68" s="403">
        <f>40-40+5</f>
        <v>5</v>
      </c>
      <c r="BQ68" s="403">
        <f>20-20</f>
        <v>0</v>
      </c>
      <c r="BR68" s="403">
        <f>20-20</f>
        <v>0</v>
      </c>
      <c r="BS68" s="403">
        <f>40-40</f>
        <v>0</v>
      </c>
      <c r="BT68" s="402"/>
      <c r="BU68" s="402" t="s">
        <v>850</v>
      </c>
      <c r="BV68" s="402" t="s">
        <v>850</v>
      </c>
      <c r="BW68" s="403">
        <f>10-10</f>
        <v>0</v>
      </c>
      <c r="BX68" s="403">
        <f>5-5</f>
        <v>0</v>
      </c>
      <c r="BY68" s="403">
        <f>20-20+5</f>
        <v>5</v>
      </c>
      <c r="BZ68" s="403">
        <f>20-20</f>
        <v>0</v>
      </c>
      <c r="CA68" s="403">
        <f>5-5</f>
        <v>0</v>
      </c>
      <c r="CB68" s="403">
        <f>40-40+10</f>
        <v>10</v>
      </c>
      <c r="CC68" s="403">
        <f>40-40</f>
        <v>0</v>
      </c>
      <c r="CD68" s="402"/>
      <c r="CE68" s="401"/>
      <c r="CF68" s="403">
        <f>20-20</f>
        <v>0</v>
      </c>
      <c r="CG68" s="403">
        <f>20-20+10</f>
        <v>10</v>
      </c>
      <c r="CH68" s="403">
        <f>40-40+5</f>
        <v>5</v>
      </c>
      <c r="CI68" s="403">
        <f>60-60+25</f>
        <v>25</v>
      </c>
      <c r="CJ68" s="402"/>
      <c r="CK68" s="403">
        <f>40-40</f>
        <v>0</v>
      </c>
      <c r="CL68" s="403">
        <f>40-40</f>
        <v>0</v>
      </c>
      <c r="CM68" s="411">
        <v>10</v>
      </c>
      <c r="CN68" s="403">
        <f>60-60</f>
        <v>0</v>
      </c>
      <c r="CO68" s="411">
        <v>20</v>
      </c>
      <c r="CP68" s="403">
        <f>120-120</f>
        <v>0</v>
      </c>
      <c r="CQ68" s="402" t="s">
        <v>850</v>
      </c>
      <c r="CR68" s="403">
        <f>60-60</f>
        <v>0</v>
      </c>
      <c r="CS68" s="402" t="s">
        <v>850</v>
      </c>
      <c r="CT68" s="402" t="s">
        <v>850</v>
      </c>
      <c r="CU68" s="402" t="s">
        <v>850</v>
      </c>
      <c r="CV68" s="403">
        <f>40-40+10</f>
        <v>10</v>
      </c>
      <c r="CW68" s="403">
        <f>40-40+10</f>
        <v>10</v>
      </c>
      <c r="CX68" s="403">
        <f>40-40+140</f>
        <v>140</v>
      </c>
      <c r="CY68" s="403">
        <f>40-40</f>
        <v>0</v>
      </c>
      <c r="CZ68" s="403">
        <f>40-40</f>
        <v>0</v>
      </c>
      <c r="DA68" s="402"/>
      <c r="DB68" s="402" t="s">
        <v>850</v>
      </c>
      <c r="DC68" s="402" t="s">
        <v>850</v>
      </c>
      <c r="DD68" s="403">
        <f>20-20</f>
        <v>0</v>
      </c>
      <c r="DE68" s="402" t="s">
        <v>850</v>
      </c>
      <c r="DF68" s="403">
        <f>60-60</f>
        <v>0</v>
      </c>
      <c r="DG68" s="403">
        <f>100-100+25</f>
        <v>25</v>
      </c>
      <c r="DH68" s="403">
        <f>60-60</f>
        <v>0</v>
      </c>
      <c r="DI68" s="403">
        <f>100-100</f>
        <v>0</v>
      </c>
      <c r="DJ68" s="403">
        <f>60-60</f>
        <v>0</v>
      </c>
      <c r="DK68" s="402" t="s">
        <v>850</v>
      </c>
      <c r="DL68" s="402" t="s">
        <v>850</v>
      </c>
      <c r="DM68" s="402" t="s">
        <v>850</v>
      </c>
      <c r="DN68" s="402" t="s">
        <v>850</v>
      </c>
      <c r="DO68" s="402"/>
      <c r="DP68" s="403">
        <f>200-200</f>
        <v>0</v>
      </c>
      <c r="DQ68" s="403">
        <f>100-100</f>
        <v>0</v>
      </c>
      <c r="DR68" s="402" t="s">
        <v>850</v>
      </c>
      <c r="DS68" s="402"/>
      <c r="DT68" s="402" t="s">
        <v>850</v>
      </c>
      <c r="DU68" s="403">
        <f>100-100</f>
        <v>0</v>
      </c>
      <c r="DV68" s="402" t="s">
        <v>850</v>
      </c>
      <c r="DW68" s="403">
        <f>100-100</f>
        <v>0</v>
      </c>
      <c r="DX68" s="402" t="s">
        <v>850</v>
      </c>
      <c r="DY68" s="402"/>
      <c r="DZ68" s="403">
        <f>100-100</f>
        <v>0</v>
      </c>
      <c r="EA68" s="402" t="s">
        <v>850</v>
      </c>
      <c r="EB68" s="402" t="s">
        <v>850</v>
      </c>
      <c r="EC68" s="403">
        <f>100-100</f>
        <v>0</v>
      </c>
      <c r="ED68" s="403">
        <f>100-100</f>
        <v>0</v>
      </c>
      <c r="EE68" s="402"/>
      <c r="EF68" s="402" t="s">
        <v>850</v>
      </c>
      <c r="EG68" s="403">
        <f>100-100</f>
        <v>0</v>
      </c>
      <c r="EH68" s="403">
        <f>40-40</f>
        <v>0</v>
      </c>
      <c r="EI68" s="403">
        <f>100-100</f>
        <v>0</v>
      </c>
      <c r="EJ68" s="402" t="s">
        <v>850</v>
      </c>
      <c r="EK68" s="402" t="s">
        <v>850</v>
      </c>
      <c r="EL68" s="402" t="s">
        <v>850</v>
      </c>
      <c r="EM68" s="402"/>
      <c r="EN68" s="403">
        <f>100-100</f>
        <v>0</v>
      </c>
      <c r="EO68" s="402" t="s">
        <v>850</v>
      </c>
      <c r="EP68" s="403">
        <f>100-100</f>
        <v>0</v>
      </c>
      <c r="EQ68" s="403">
        <f>100-100</f>
        <v>0</v>
      </c>
      <c r="ER68" s="403">
        <f>100-100</f>
        <v>0</v>
      </c>
      <c r="ES68" s="402" t="s">
        <v>850</v>
      </c>
      <c r="ET68" s="402" t="s">
        <v>850</v>
      </c>
      <c r="EU68" s="402"/>
      <c r="EV68" s="403">
        <f>100-100</f>
        <v>0</v>
      </c>
      <c r="EW68" s="403">
        <f>100-100</f>
        <v>0</v>
      </c>
      <c r="EX68" s="403">
        <f>100-100+20</f>
        <v>20</v>
      </c>
      <c r="EY68" s="402" t="s">
        <v>850</v>
      </c>
      <c r="EZ68" s="405">
        <f>40-40+40</f>
        <v>40</v>
      </c>
      <c r="FA68" s="402"/>
      <c r="FB68" s="402"/>
      <c r="FC68" s="402"/>
      <c r="FD68" s="402"/>
      <c r="FE68" s="402" t="s">
        <v>850</v>
      </c>
      <c r="FF68" s="402"/>
      <c r="FG68" s="402" t="s">
        <v>850</v>
      </c>
      <c r="FH68" s="402"/>
      <c r="FI68" s="402" t="s">
        <v>850</v>
      </c>
      <c r="FJ68" s="402" t="s">
        <v>850</v>
      </c>
      <c r="FK68" s="402"/>
      <c r="FL68" s="402" t="s">
        <v>850</v>
      </c>
      <c r="FM68" s="402" t="s">
        <v>850</v>
      </c>
      <c r="FN68" s="402" t="s">
        <v>850</v>
      </c>
      <c r="FO68" s="402" t="s">
        <v>850</v>
      </c>
      <c r="FP68" s="375"/>
      <c r="FQ68" s="376" t="s">
        <v>972</v>
      </c>
      <c r="FR68" s="377" t="s">
        <v>522</v>
      </c>
      <c r="FS68" s="377" t="s">
        <v>850</v>
      </c>
      <c r="FT68" s="377" t="s">
        <v>915</v>
      </c>
      <c r="FU68" s="144">
        <f t="shared" si="0"/>
        <v>377</v>
      </c>
      <c r="FV68" s="371" t="s">
        <v>920</v>
      </c>
    </row>
    <row r="69" spans="1:178" s="371" customFormat="1">
      <c r="A69" s="368" t="s">
        <v>918</v>
      </c>
      <c r="B69" s="369" t="s">
        <v>517</v>
      </c>
      <c r="C69" s="369" t="s">
        <v>555</v>
      </c>
      <c r="D69" s="369" t="s">
        <v>3</v>
      </c>
      <c r="E69" s="370" t="s">
        <v>586</v>
      </c>
      <c r="F69" s="369" t="s">
        <v>520</v>
      </c>
      <c r="G69" s="369" t="s">
        <v>987</v>
      </c>
      <c r="H69" s="402"/>
      <c r="I69" s="402"/>
      <c r="J69" s="402"/>
      <c r="K69" s="402"/>
      <c r="L69" s="402"/>
      <c r="M69" s="402"/>
      <c r="N69" s="402"/>
      <c r="O69" s="402"/>
      <c r="P69" s="402"/>
      <c r="Q69" s="402"/>
      <c r="R69" s="402"/>
      <c r="S69" s="402"/>
      <c r="T69" s="402"/>
      <c r="U69" s="402"/>
      <c r="V69" s="402"/>
      <c r="W69" s="402"/>
      <c r="X69" s="402"/>
      <c r="Y69" s="402"/>
      <c r="Z69" s="402"/>
      <c r="AA69" s="402"/>
      <c r="AB69" s="402"/>
      <c r="AC69" s="402"/>
      <c r="AD69" s="402"/>
      <c r="AE69" s="402"/>
      <c r="AF69" s="402"/>
      <c r="AG69" s="402"/>
      <c r="AH69" s="402"/>
      <c r="AI69" s="402"/>
      <c r="AJ69" s="402"/>
      <c r="AK69" s="402"/>
      <c r="AL69" s="402"/>
      <c r="AM69" s="402"/>
      <c r="AN69" s="402"/>
      <c r="AO69" s="402"/>
      <c r="AP69" s="402"/>
      <c r="AQ69" s="402"/>
      <c r="AR69" s="402"/>
      <c r="AS69" s="402"/>
      <c r="AT69" s="402"/>
      <c r="AU69" s="402"/>
      <c r="AV69" s="402"/>
      <c r="AW69" s="402"/>
      <c r="AX69" s="402"/>
      <c r="AY69" s="402"/>
      <c r="AZ69" s="402"/>
      <c r="BA69" s="402"/>
      <c r="BB69" s="402"/>
      <c r="BC69" s="402"/>
      <c r="BD69" s="402"/>
      <c r="BE69" s="402"/>
      <c r="BF69" s="402"/>
      <c r="BG69" s="402"/>
      <c r="BH69" s="402"/>
      <c r="BI69" s="402"/>
      <c r="BJ69" s="402"/>
      <c r="BK69" s="402"/>
      <c r="BL69" s="402"/>
      <c r="BM69" s="402"/>
      <c r="BN69" s="402"/>
      <c r="BO69" s="402"/>
      <c r="BP69" s="402"/>
      <c r="BQ69" s="402"/>
      <c r="BR69" s="402"/>
      <c r="BS69" s="402"/>
      <c r="BT69" s="402"/>
      <c r="BU69" s="402"/>
      <c r="BV69" s="402"/>
      <c r="BW69" s="402"/>
      <c r="BX69" s="402"/>
      <c r="BY69" s="402"/>
      <c r="BZ69" s="402"/>
      <c r="CA69" s="402"/>
      <c r="CB69" s="402"/>
      <c r="CC69" s="402"/>
      <c r="CD69" s="402"/>
      <c r="CE69" s="401"/>
      <c r="CF69" s="402"/>
      <c r="CG69" s="402"/>
      <c r="CH69" s="402"/>
      <c r="CI69" s="402"/>
      <c r="CJ69" s="402"/>
      <c r="CK69" s="402"/>
      <c r="CL69" s="402"/>
      <c r="CM69" s="401"/>
      <c r="CN69" s="402"/>
      <c r="CO69" s="401"/>
      <c r="CP69" s="402"/>
      <c r="CQ69" s="402"/>
      <c r="CR69" s="402"/>
      <c r="CS69" s="402"/>
      <c r="CT69" s="402"/>
      <c r="CU69" s="402"/>
      <c r="CV69" s="402"/>
      <c r="CW69" s="402"/>
      <c r="CX69" s="402"/>
      <c r="CY69" s="402"/>
      <c r="CZ69" s="402"/>
      <c r="DA69" s="402"/>
      <c r="DB69" s="402"/>
      <c r="DC69" s="402"/>
      <c r="DD69" s="402"/>
      <c r="DE69" s="402"/>
      <c r="DF69" s="402"/>
      <c r="DG69" s="402"/>
      <c r="DH69" s="402"/>
      <c r="DI69" s="402"/>
      <c r="DJ69" s="402"/>
      <c r="DK69" s="402"/>
      <c r="DL69" s="402"/>
      <c r="DM69" s="402"/>
      <c r="DN69" s="402"/>
      <c r="DO69" s="402"/>
      <c r="DP69" s="402"/>
      <c r="DQ69" s="402"/>
      <c r="DR69" s="402"/>
      <c r="DS69" s="402"/>
      <c r="DT69" s="402"/>
      <c r="DU69" s="402"/>
      <c r="DV69" s="402"/>
      <c r="DW69" s="402"/>
      <c r="DX69" s="402"/>
      <c r="DY69" s="402"/>
      <c r="DZ69" s="402"/>
      <c r="EA69" s="402"/>
      <c r="EB69" s="402"/>
      <c r="EC69" s="402"/>
      <c r="ED69" s="402"/>
      <c r="EE69" s="402"/>
      <c r="EF69" s="402"/>
      <c r="EG69" s="402"/>
      <c r="EH69" s="402"/>
      <c r="EI69" s="402"/>
      <c r="EJ69" s="402"/>
      <c r="EK69" s="402"/>
      <c r="EL69" s="402"/>
      <c r="EM69" s="402"/>
      <c r="EN69" s="402"/>
      <c r="EO69" s="402"/>
      <c r="EP69" s="402"/>
      <c r="EQ69" s="402"/>
      <c r="ER69" s="402"/>
      <c r="ES69" s="402"/>
      <c r="ET69" s="402"/>
      <c r="EU69" s="402"/>
      <c r="EV69" s="402"/>
      <c r="EW69" s="402"/>
      <c r="EX69" s="402"/>
      <c r="EY69" s="402"/>
      <c r="EZ69" s="402"/>
      <c r="FA69" s="402"/>
      <c r="FB69" s="402"/>
      <c r="FC69" s="402"/>
      <c r="FD69" s="402"/>
      <c r="FE69" s="402"/>
      <c r="FF69" s="402"/>
      <c r="FG69" s="402"/>
      <c r="FH69" s="402"/>
      <c r="FI69" s="402"/>
      <c r="FJ69" s="402"/>
      <c r="FK69" s="402"/>
      <c r="FL69" s="402"/>
      <c r="FM69" s="402"/>
      <c r="FN69" s="402"/>
      <c r="FO69" s="402"/>
      <c r="FP69" s="375"/>
      <c r="FQ69" s="376" t="s">
        <v>972</v>
      </c>
      <c r="FR69" s="377" t="s">
        <v>522</v>
      </c>
      <c r="FS69" s="377" t="s">
        <v>850</v>
      </c>
      <c r="FT69" s="377" t="s">
        <v>915</v>
      </c>
      <c r="FU69" s="144">
        <f t="shared" si="0"/>
        <v>0</v>
      </c>
      <c r="FV69" s="371" t="s">
        <v>920</v>
      </c>
    </row>
    <row r="70" spans="1:178" s="371" customFormat="1">
      <c r="A70" s="368" t="s">
        <v>526</v>
      </c>
      <c r="B70" s="369" t="s">
        <v>517</v>
      </c>
      <c r="C70" s="369" t="s">
        <v>555</v>
      </c>
      <c r="D70" s="369" t="s">
        <v>8</v>
      </c>
      <c r="E70" s="370" t="s">
        <v>988</v>
      </c>
      <c r="F70" s="369" t="s">
        <v>520</v>
      </c>
      <c r="G70" s="369"/>
      <c r="H70" s="401"/>
      <c r="I70" s="401"/>
      <c r="J70" s="401"/>
      <c r="K70" s="401"/>
      <c r="L70" s="401"/>
      <c r="M70" s="401"/>
      <c r="N70" s="401"/>
      <c r="O70" s="401"/>
      <c r="P70" s="401"/>
      <c r="Q70" s="401"/>
      <c r="R70" s="401"/>
      <c r="S70" s="401"/>
      <c r="T70" s="401"/>
      <c r="U70" s="401"/>
      <c r="V70" s="401"/>
      <c r="W70" s="401"/>
      <c r="X70" s="401"/>
      <c r="Y70" s="401"/>
      <c r="Z70" s="401"/>
      <c r="AA70" s="401"/>
      <c r="AB70" s="401"/>
      <c r="AC70" s="401"/>
      <c r="AD70" s="401"/>
      <c r="AE70" s="401"/>
      <c r="AF70" s="401"/>
      <c r="AG70" s="401"/>
      <c r="AH70" s="401"/>
      <c r="AI70" s="401"/>
      <c r="AJ70" s="401"/>
      <c r="AK70" s="401"/>
      <c r="AL70" s="401"/>
      <c r="AM70" s="401"/>
      <c r="AN70" s="401"/>
      <c r="AO70" s="401"/>
      <c r="AP70" s="401"/>
      <c r="AQ70" s="401"/>
      <c r="AR70" s="401"/>
      <c r="AS70" s="401"/>
      <c r="AT70" s="401"/>
      <c r="AU70" s="401"/>
      <c r="AV70" s="401"/>
      <c r="AW70" s="401"/>
      <c r="AX70" s="401"/>
      <c r="AY70" s="401"/>
      <c r="AZ70" s="401"/>
      <c r="BA70" s="402"/>
      <c r="BB70" s="401"/>
      <c r="BC70" s="401"/>
      <c r="BD70" s="401"/>
      <c r="BE70" s="401"/>
      <c r="BF70" s="401"/>
      <c r="BG70" s="401"/>
      <c r="BH70" s="401"/>
      <c r="BI70" s="401"/>
      <c r="BJ70" s="401"/>
      <c r="BK70" s="401"/>
      <c r="BL70" s="401"/>
      <c r="BM70" s="401"/>
      <c r="BN70" s="401"/>
      <c r="BO70" s="401"/>
      <c r="BP70" s="401"/>
      <c r="BQ70" s="401"/>
      <c r="BR70" s="401"/>
      <c r="BS70" s="401"/>
      <c r="BT70" s="401"/>
      <c r="BU70" s="401"/>
      <c r="BV70" s="401"/>
      <c r="BW70" s="401"/>
      <c r="BX70" s="401"/>
      <c r="BY70" s="401"/>
      <c r="BZ70" s="401"/>
      <c r="CA70" s="401"/>
      <c r="CB70" s="401"/>
      <c r="CC70" s="401"/>
      <c r="CD70" s="401"/>
      <c r="CE70" s="401"/>
      <c r="CF70" s="401"/>
      <c r="CG70" s="401"/>
      <c r="CH70" s="401"/>
      <c r="CI70" s="401"/>
      <c r="CJ70" s="401"/>
      <c r="CK70" s="401"/>
      <c r="CL70" s="401"/>
      <c r="CM70" s="401"/>
      <c r="CN70" s="401"/>
      <c r="CO70" s="401"/>
      <c r="CP70" s="401"/>
      <c r="CQ70" s="401"/>
      <c r="CR70" s="401"/>
      <c r="CS70" s="401"/>
      <c r="CT70" s="401"/>
      <c r="CU70" s="401"/>
      <c r="CV70" s="401"/>
      <c r="CW70" s="401"/>
      <c r="CX70" s="401"/>
      <c r="CY70" s="401"/>
      <c r="CZ70" s="411">
        <v>10</v>
      </c>
      <c r="DA70" s="401"/>
      <c r="DB70" s="401"/>
      <c r="DC70" s="401"/>
      <c r="DD70" s="401"/>
      <c r="DE70" s="401"/>
      <c r="DF70" s="401"/>
      <c r="DG70" s="401"/>
      <c r="DH70" s="401"/>
      <c r="DI70" s="401"/>
      <c r="DJ70" s="401"/>
      <c r="DK70" s="401"/>
      <c r="DL70" s="401"/>
      <c r="DM70" s="401"/>
      <c r="DN70" s="401"/>
      <c r="DO70" s="402"/>
      <c r="DP70" s="401"/>
      <c r="DQ70" s="401"/>
      <c r="DR70" s="401"/>
      <c r="DS70" s="401"/>
      <c r="DT70" s="401"/>
      <c r="DU70" s="411">
        <v>10</v>
      </c>
      <c r="DV70" s="401"/>
      <c r="DW70" s="401"/>
      <c r="DX70" s="401"/>
      <c r="DY70" s="401"/>
      <c r="DZ70" s="401"/>
      <c r="EA70" s="401"/>
      <c r="EB70" s="401"/>
      <c r="EC70" s="401"/>
      <c r="ED70" s="401"/>
      <c r="EE70" s="401"/>
      <c r="EF70" s="401"/>
      <c r="EG70" s="401"/>
      <c r="EH70" s="401"/>
      <c r="EI70" s="401"/>
      <c r="EJ70" s="401"/>
      <c r="EK70" s="401"/>
      <c r="EL70" s="401"/>
      <c r="EM70" s="402"/>
      <c r="EN70" s="401"/>
      <c r="EO70" s="401"/>
      <c r="EP70" s="401"/>
      <c r="EQ70" s="401"/>
      <c r="ER70" s="401"/>
      <c r="ES70" s="401"/>
      <c r="ET70" s="401"/>
      <c r="EU70" s="401"/>
      <c r="EV70" s="401"/>
      <c r="EW70" s="401"/>
      <c r="EX70" s="401"/>
      <c r="EY70" s="401"/>
      <c r="EZ70" s="401"/>
      <c r="FA70" s="401"/>
      <c r="FB70" s="401"/>
      <c r="FC70" s="401"/>
      <c r="FD70" s="401"/>
      <c r="FE70" s="401"/>
      <c r="FF70" s="401"/>
      <c r="FG70" s="401"/>
      <c r="FH70" s="401"/>
      <c r="FI70" s="401"/>
      <c r="FJ70" s="401"/>
      <c r="FK70" s="401"/>
      <c r="FL70" s="401"/>
      <c r="FM70" s="401"/>
      <c r="FN70" s="401"/>
      <c r="FO70" s="401"/>
      <c r="FP70" s="375" t="s">
        <v>850</v>
      </c>
      <c r="FQ70" s="376" t="s">
        <v>972</v>
      </c>
      <c r="FR70" s="377" t="s">
        <v>522</v>
      </c>
      <c r="FS70" s="377" t="s">
        <v>850</v>
      </c>
      <c r="FT70" s="377" t="s">
        <v>565</v>
      </c>
      <c r="FU70" s="144">
        <f t="shared" si="0"/>
        <v>20</v>
      </c>
      <c r="FV70" s="371" t="s">
        <v>906</v>
      </c>
    </row>
    <row r="71" spans="1:178" s="371" customFormat="1">
      <c r="A71" s="368" t="s">
        <v>526</v>
      </c>
      <c r="B71" s="369" t="s">
        <v>517</v>
      </c>
      <c r="C71" s="369" t="s">
        <v>555</v>
      </c>
      <c r="D71" s="369" t="s">
        <v>4</v>
      </c>
      <c r="E71" s="370" t="s">
        <v>988</v>
      </c>
      <c r="F71" s="369" t="s">
        <v>520</v>
      </c>
      <c r="G71" s="369"/>
      <c r="H71" s="402" t="s">
        <v>850</v>
      </c>
      <c r="I71" s="402" t="s">
        <v>850</v>
      </c>
      <c r="J71" s="402" t="s">
        <v>850</v>
      </c>
      <c r="K71" s="402"/>
      <c r="L71" s="402" t="s">
        <v>850</v>
      </c>
      <c r="M71" s="402" t="s">
        <v>850</v>
      </c>
      <c r="N71" s="402"/>
      <c r="O71" s="403">
        <f>20-20+2</f>
        <v>2</v>
      </c>
      <c r="P71" s="402" t="s">
        <v>850</v>
      </c>
      <c r="Q71" s="402" t="s">
        <v>850</v>
      </c>
      <c r="R71" s="402" t="s">
        <v>850</v>
      </c>
      <c r="S71" s="403">
        <f>20-20</f>
        <v>0</v>
      </c>
      <c r="T71" s="403">
        <f>20-20+1</f>
        <v>1</v>
      </c>
      <c r="U71" s="402" t="s">
        <v>850</v>
      </c>
      <c r="V71" s="402" t="s">
        <v>850</v>
      </c>
      <c r="W71" s="402" t="s">
        <v>850</v>
      </c>
      <c r="X71" s="402"/>
      <c r="Y71" s="403">
        <f>20-20+5</f>
        <v>5</v>
      </c>
      <c r="Z71" s="402" t="s">
        <v>850</v>
      </c>
      <c r="AA71" s="403">
        <f>40-40</f>
        <v>0</v>
      </c>
      <c r="AB71" s="402"/>
      <c r="AC71" s="403">
        <f>60-60</f>
        <v>0</v>
      </c>
      <c r="AD71" s="403">
        <f>60-60+2</f>
        <v>2</v>
      </c>
      <c r="AE71" s="402" t="s">
        <v>850</v>
      </c>
      <c r="AF71" s="403">
        <f>40-40</f>
        <v>0</v>
      </c>
      <c r="AG71" s="403">
        <f>20-20</f>
        <v>0</v>
      </c>
      <c r="AH71" s="403">
        <f>40-40</f>
        <v>0</v>
      </c>
      <c r="AI71" s="402" t="s">
        <v>850</v>
      </c>
      <c r="AJ71" s="402" t="s">
        <v>850</v>
      </c>
      <c r="AK71" s="402" t="s">
        <v>850</v>
      </c>
      <c r="AL71" s="402" t="s">
        <v>850</v>
      </c>
      <c r="AM71" s="402" t="s">
        <v>850</v>
      </c>
      <c r="AN71" s="402" t="s">
        <v>850</v>
      </c>
      <c r="AO71" s="402" t="s">
        <v>850</v>
      </c>
      <c r="AP71" s="402" t="s">
        <v>850</v>
      </c>
      <c r="AQ71" s="402" t="s">
        <v>850</v>
      </c>
      <c r="AR71" s="402" t="s">
        <v>850</v>
      </c>
      <c r="AS71" s="402" t="s">
        <v>850</v>
      </c>
      <c r="AT71" s="402" t="s">
        <v>850</v>
      </c>
      <c r="AU71" s="402"/>
      <c r="AV71" s="402" t="s">
        <v>850</v>
      </c>
      <c r="AW71" s="402" t="s">
        <v>850</v>
      </c>
      <c r="AX71" s="402"/>
      <c r="AY71" s="402" t="s">
        <v>850</v>
      </c>
      <c r="AZ71" s="402" t="s">
        <v>850</v>
      </c>
      <c r="BA71" s="402"/>
      <c r="BB71" s="402" t="s">
        <v>850</v>
      </c>
      <c r="BC71" s="403">
        <f>10-10</f>
        <v>0</v>
      </c>
      <c r="BD71" s="402"/>
      <c r="BE71" s="402" t="s">
        <v>850</v>
      </c>
      <c r="BF71" s="402" t="s">
        <v>850</v>
      </c>
      <c r="BG71" s="402"/>
      <c r="BH71" s="402" t="s">
        <v>850</v>
      </c>
      <c r="BI71" s="402" t="s">
        <v>850</v>
      </c>
      <c r="BJ71" s="402" t="s">
        <v>850</v>
      </c>
      <c r="BK71" s="402" t="s">
        <v>850</v>
      </c>
      <c r="BL71" s="402"/>
      <c r="BM71" s="402"/>
      <c r="BN71" s="402"/>
      <c r="BO71" s="402"/>
      <c r="BP71" s="403">
        <f>10-10+2</f>
        <v>2</v>
      </c>
      <c r="BQ71" s="402"/>
      <c r="BR71" s="403">
        <f>20-20</f>
        <v>0</v>
      </c>
      <c r="BS71" s="402"/>
      <c r="BT71" s="402"/>
      <c r="BU71" s="402" t="s">
        <v>850</v>
      </c>
      <c r="BV71" s="402" t="s">
        <v>850</v>
      </c>
      <c r="BW71" s="402"/>
      <c r="BX71" s="402"/>
      <c r="BY71" s="402"/>
      <c r="BZ71" s="402"/>
      <c r="CA71" s="402" t="s">
        <v>850</v>
      </c>
      <c r="CB71" s="403">
        <f>10-10+5</f>
        <v>5</v>
      </c>
      <c r="CC71" s="402" t="s">
        <v>850</v>
      </c>
      <c r="CD71" s="402"/>
      <c r="CE71" s="401"/>
      <c r="CF71" s="402" t="s">
        <v>850</v>
      </c>
      <c r="CG71" s="402"/>
      <c r="CH71" s="402"/>
      <c r="CI71" s="403">
        <f>20-20+3</f>
        <v>3</v>
      </c>
      <c r="CJ71" s="402"/>
      <c r="CK71" s="403">
        <f>20-20</f>
        <v>0</v>
      </c>
      <c r="CL71" s="402" t="s">
        <v>850</v>
      </c>
      <c r="CM71" s="401"/>
      <c r="CN71" s="402"/>
      <c r="CO71" s="411">
        <v>10</v>
      </c>
      <c r="CP71" s="403">
        <f>10-10</f>
        <v>0</v>
      </c>
      <c r="CQ71" s="403">
        <f>10-10</f>
        <v>0</v>
      </c>
      <c r="CR71" s="403">
        <f>20-20</f>
        <v>0</v>
      </c>
      <c r="CS71" s="403">
        <f>20-20</f>
        <v>0</v>
      </c>
      <c r="CT71" s="402" t="s">
        <v>850</v>
      </c>
      <c r="CU71" s="402" t="s">
        <v>850</v>
      </c>
      <c r="CV71" s="402"/>
      <c r="CW71" s="402"/>
      <c r="CX71" s="403">
        <f>20-20+10</f>
        <v>10</v>
      </c>
      <c r="CY71" s="402"/>
      <c r="CZ71" s="403">
        <f>20-20</f>
        <v>0</v>
      </c>
      <c r="DA71" s="403">
        <f>20-20</f>
        <v>0</v>
      </c>
      <c r="DB71" s="402" t="s">
        <v>850</v>
      </c>
      <c r="DC71" s="402" t="s">
        <v>850</v>
      </c>
      <c r="DD71" s="402"/>
      <c r="DE71" s="402" t="s">
        <v>850</v>
      </c>
      <c r="DF71" s="402"/>
      <c r="DG71" s="403">
        <f>40-40+2</f>
        <v>2</v>
      </c>
      <c r="DH71" s="402" t="s">
        <v>850</v>
      </c>
      <c r="DI71" s="402" t="s">
        <v>850</v>
      </c>
      <c r="DJ71" s="402" t="s">
        <v>850</v>
      </c>
      <c r="DK71" s="402" t="s">
        <v>850</v>
      </c>
      <c r="DL71" s="402" t="s">
        <v>850</v>
      </c>
      <c r="DM71" s="403">
        <f>100-100</f>
        <v>0</v>
      </c>
      <c r="DN71" s="402" t="s">
        <v>850</v>
      </c>
      <c r="DO71" s="402"/>
      <c r="DP71" s="402"/>
      <c r="DQ71" s="402" t="s">
        <v>850</v>
      </c>
      <c r="DR71" s="402" t="s">
        <v>850</v>
      </c>
      <c r="DS71" s="402"/>
      <c r="DT71" s="402" t="s">
        <v>850</v>
      </c>
      <c r="DU71" s="403">
        <f>100-100</f>
        <v>0</v>
      </c>
      <c r="DV71" s="402" t="s">
        <v>850</v>
      </c>
      <c r="DW71" s="402"/>
      <c r="DX71" s="402" t="s">
        <v>850</v>
      </c>
      <c r="DY71" s="402"/>
      <c r="DZ71" s="402" t="s">
        <v>850</v>
      </c>
      <c r="EA71" s="402" t="s">
        <v>850</v>
      </c>
      <c r="EB71" s="402" t="s">
        <v>850</v>
      </c>
      <c r="EC71" s="402" t="s">
        <v>850</v>
      </c>
      <c r="ED71" s="402" t="s">
        <v>850</v>
      </c>
      <c r="EE71" s="402"/>
      <c r="EF71" s="402" t="s">
        <v>850</v>
      </c>
      <c r="EG71" s="402"/>
      <c r="EH71" s="402"/>
      <c r="EI71" s="402" t="s">
        <v>850</v>
      </c>
      <c r="EJ71" s="402" t="s">
        <v>850</v>
      </c>
      <c r="EK71" s="402" t="s">
        <v>850</v>
      </c>
      <c r="EL71" s="402" t="s">
        <v>850</v>
      </c>
      <c r="EM71" s="402"/>
      <c r="EN71" s="402" t="s">
        <v>850</v>
      </c>
      <c r="EO71" s="402" t="s">
        <v>850</v>
      </c>
      <c r="EP71" s="402" t="s">
        <v>850</v>
      </c>
      <c r="EQ71" s="402"/>
      <c r="ER71" s="402" t="s">
        <v>850</v>
      </c>
      <c r="ES71" s="402" t="s">
        <v>850</v>
      </c>
      <c r="ET71" s="402" t="s">
        <v>850</v>
      </c>
      <c r="EU71" s="402"/>
      <c r="EV71" s="403">
        <f>100-100</f>
        <v>0</v>
      </c>
      <c r="EW71" s="402"/>
      <c r="EX71" s="402"/>
      <c r="EY71" s="402" t="s">
        <v>850</v>
      </c>
      <c r="EZ71" s="402"/>
      <c r="FA71" s="402"/>
      <c r="FB71" s="402"/>
      <c r="FC71" s="402"/>
      <c r="FD71" s="402"/>
      <c r="FE71" s="402" t="s">
        <v>850</v>
      </c>
      <c r="FF71" s="402"/>
      <c r="FG71" s="402" t="s">
        <v>850</v>
      </c>
      <c r="FH71" s="402"/>
      <c r="FI71" s="402" t="s">
        <v>850</v>
      </c>
      <c r="FJ71" s="402" t="s">
        <v>850</v>
      </c>
      <c r="FK71" s="402"/>
      <c r="FL71" s="402" t="s">
        <v>850</v>
      </c>
      <c r="FM71" s="402" t="s">
        <v>850</v>
      </c>
      <c r="FN71" s="402" t="s">
        <v>850</v>
      </c>
      <c r="FO71" s="402" t="s">
        <v>850</v>
      </c>
      <c r="FP71" s="375"/>
      <c r="FQ71" s="376" t="s">
        <v>972</v>
      </c>
      <c r="FR71" s="377" t="s">
        <v>522</v>
      </c>
      <c r="FS71" s="377" t="s">
        <v>850</v>
      </c>
      <c r="FT71" s="377" t="s">
        <v>565</v>
      </c>
      <c r="FU71" s="144">
        <f t="shared" si="0"/>
        <v>42</v>
      </c>
      <c r="FV71" s="371" t="s">
        <v>906</v>
      </c>
    </row>
    <row r="72" spans="1:178" s="371" customFormat="1">
      <c r="A72" s="368" t="s">
        <v>526</v>
      </c>
      <c r="B72" s="369" t="s">
        <v>517</v>
      </c>
      <c r="C72" s="369" t="s">
        <v>555</v>
      </c>
      <c r="D72" s="369" t="s">
        <v>3</v>
      </c>
      <c r="E72" s="370" t="s">
        <v>988</v>
      </c>
      <c r="F72" s="369" t="s">
        <v>520</v>
      </c>
      <c r="G72" s="369"/>
      <c r="H72" s="402"/>
      <c r="I72" s="402"/>
      <c r="J72" s="402"/>
      <c r="K72" s="402"/>
      <c r="L72" s="402"/>
      <c r="M72" s="402"/>
      <c r="N72" s="402"/>
      <c r="O72" s="402"/>
      <c r="P72" s="402"/>
      <c r="Q72" s="402"/>
      <c r="R72" s="402"/>
      <c r="S72" s="402"/>
      <c r="T72" s="402"/>
      <c r="U72" s="402"/>
      <c r="V72" s="402"/>
      <c r="W72" s="402"/>
      <c r="X72" s="402"/>
      <c r="Y72" s="402"/>
      <c r="Z72" s="402"/>
      <c r="AA72" s="402"/>
      <c r="AB72" s="402"/>
      <c r="AC72" s="402"/>
      <c r="AD72" s="402"/>
      <c r="AE72" s="402"/>
      <c r="AF72" s="402"/>
      <c r="AG72" s="402"/>
      <c r="AH72" s="402"/>
      <c r="AI72" s="402"/>
      <c r="AJ72" s="402"/>
      <c r="AK72" s="402"/>
      <c r="AL72" s="402"/>
      <c r="AM72" s="402"/>
      <c r="AN72" s="402"/>
      <c r="AO72" s="402"/>
      <c r="AP72" s="402"/>
      <c r="AQ72" s="402"/>
      <c r="AR72" s="402"/>
      <c r="AS72" s="402"/>
      <c r="AT72" s="402"/>
      <c r="AU72" s="402"/>
      <c r="AV72" s="402"/>
      <c r="AW72" s="402"/>
      <c r="AX72" s="402"/>
      <c r="AY72" s="402"/>
      <c r="AZ72" s="402"/>
      <c r="BA72" s="402"/>
      <c r="BB72" s="402"/>
      <c r="BC72" s="402"/>
      <c r="BD72" s="402"/>
      <c r="BE72" s="402"/>
      <c r="BF72" s="402"/>
      <c r="BG72" s="402"/>
      <c r="BH72" s="402"/>
      <c r="BI72" s="402"/>
      <c r="BJ72" s="402"/>
      <c r="BK72" s="402"/>
      <c r="BL72" s="402"/>
      <c r="BM72" s="402"/>
      <c r="BN72" s="402"/>
      <c r="BO72" s="402"/>
      <c r="BP72" s="402"/>
      <c r="BQ72" s="402"/>
      <c r="BR72" s="402"/>
      <c r="BS72" s="402"/>
      <c r="BT72" s="402"/>
      <c r="BU72" s="402"/>
      <c r="BV72" s="402"/>
      <c r="BW72" s="402"/>
      <c r="BX72" s="402"/>
      <c r="BY72" s="402"/>
      <c r="BZ72" s="402"/>
      <c r="CA72" s="402"/>
      <c r="CB72" s="402"/>
      <c r="CC72" s="402"/>
      <c r="CD72" s="402"/>
      <c r="CE72" s="401"/>
      <c r="CF72" s="402"/>
      <c r="CG72" s="402"/>
      <c r="CH72" s="402"/>
      <c r="CI72" s="402"/>
      <c r="CJ72" s="402"/>
      <c r="CK72" s="402"/>
      <c r="CL72" s="402"/>
      <c r="CM72" s="401"/>
      <c r="CN72" s="402"/>
      <c r="CO72" s="401"/>
      <c r="CP72" s="402"/>
      <c r="CQ72" s="402"/>
      <c r="CR72" s="402"/>
      <c r="CS72" s="402"/>
      <c r="CT72" s="402"/>
      <c r="CU72" s="402"/>
      <c r="CV72" s="402"/>
      <c r="CW72" s="402"/>
      <c r="CX72" s="402"/>
      <c r="CY72" s="402"/>
      <c r="CZ72" s="402"/>
      <c r="DA72" s="402"/>
      <c r="DB72" s="402"/>
      <c r="DC72" s="402"/>
      <c r="DD72" s="402"/>
      <c r="DE72" s="402"/>
      <c r="DF72" s="402"/>
      <c r="DG72" s="402"/>
      <c r="DH72" s="402"/>
      <c r="DI72" s="402"/>
      <c r="DJ72" s="402"/>
      <c r="DK72" s="402"/>
      <c r="DL72" s="402"/>
      <c r="DM72" s="402"/>
      <c r="DN72" s="402"/>
      <c r="DO72" s="402"/>
      <c r="DP72" s="402"/>
      <c r="DQ72" s="402"/>
      <c r="DR72" s="402"/>
      <c r="DS72" s="402"/>
      <c r="DT72" s="402"/>
      <c r="DU72" s="402"/>
      <c r="DV72" s="402"/>
      <c r="DW72" s="402"/>
      <c r="DX72" s="402"/>
      <c r="DY72" s="402"/>
      <c r="DZ72" s="402"/>
      <c r="EA72" s="402"/>
      <c r="EB72" s="402"/>
      <c r="EC72" s="402"/>
      <c r="ED72" s="402"/>
      <c r="EE72" s="402"/>
      <c r="EF72" s="402"/>
      <c r="EG72" s="402"/>
      <c r="EH72" s="402"/>
      <c r="EI72" s="402"/>
      <c r="EJ72" s="402"/>
      <c r="EK72" s="402"/>
      <c r="EL72" s="402"/>
      <c r="EM72" s="402"/>
      <c r="EN72" s="402"/>
      <c r="EO72" s="402"/>
      <c r="EP72" s="402"/>
      <c r="EQ72" s="402"/>
      <c r="ER72" s="402"/>
      <c r="ES72" s="402"/>
      <c r="ET72" s="402"/>
      <c r="EU72" s="402"/>
      <c r="EV72" s="402"/>
      <c r="EW72" s="402"/>
      <c r="EX72" s="402"/>
      <c r="EY72" s="402"/>
      <c r="EZ72" s="402"/>
      <c r="FA72" s="402"/>
      <c r="FB72" s="402"/>
      <c r="FC72" s="402"/>
      <c r="FD72" s="402"/>
      <c r="FE72" s="402"/>
      <c r="FF72" s="402"/>
      <c r="FG72" s="402"/>
      <c r="FH72" s="402"/>
      <c r="FI72" s="402"/>
      <c r="FJ72" s="402"/>
      <c r="FK72" s="402"/>
      <c r="FL72" s="402"/>
      <c r="FM72" s="402"/>
      <c r="FN72" s="402"/>
      <c r="FO72" s="402"/>
      <c r="FP72" s="375"/>
      <c r="FQ72" s="376" t="s">
        <v>972</v>
      </c>
      <c r="FR72" s="377" t="s">
        <v>522</v>
      </c>
      <c r="FS72" s="377" t="s">
        <v>850</v>
      </c>
      <c r="FT72" s="377" t="s">
        <v>565</v>
      </c>
      <c r="FU72" s="144">
        <f t="shared" ref="FU72:FU127" si="8">SUM(H72:FO72)</f>
        <v>0</v>
      </c>
      <c r="FV72" s="371" t="s">
        <v>906</v>
      </c>
    </row>
    <row r="73" spans="1:178" s="371" customFormat="1">
      <c r="A73" s="368" t="s">
        <v>526</v>
      </c>
      <c r="B73" s="369" t="s">
        <v>517</v>
      </c>
      <c r="C73" s="369" t="s">
        <v>555</v>
      </c>
      <c r="D73" s="369" t="s">
        <v>8</v>
      </c>
      <c r="E73" s="370" t="s">
        <v>589</v>
      </c>
      <c r="F73" s="369" t="s">
        <v>520</v>
      </c>
      <c r="G73" s="369" t="s">
        <v>989</v>
      </c>
      <c r="H73" s="401"/>
      <c r="I73" s="401"/>
      <c r="J73" s="401"/>
      <c r="K73" s="401"/>
      <c r="L73" s="401"/>
      <c r="M73" s="401"/>
      <c r="N73" s="401"/>
      <c r="O73" s="401"/>
      <c r="P73" s="401"/>
      <c r="Q73" s="401"/>
      <c r="R73" s="401"/>
      <c r="S73" s="401"/>
      <c r="T73" s="401"/>
      <c r="U73" s="401"/>
      <c r="V73" s="401"/>
      <c r="W73" s="401"/>
      <c r="X73" s="401"/>
      <c r="Y73" s="401"/>
      <c r="Z73" s="401"/>
      <c r="AA73" s="401"/>
      <c r="AB73" s="401"/>
      <c r="AC73" s="401"/>
      <c r="AD73" s="401"/>
      <c r="AE73" s="401"/>
      <c r="AF73" s="401"/>
      <c r="AG73" s="401"/>
      <c r="AH73" s="401"/>
      <c r="AI73" s="401"/>
      <c r="AJ73" s="401"/>
      <c r="AK73" s="401"/>
      <c r="AL73" s="401"/>
      <c r="AM73" s="401"/>
      <c r="AN73" s="401"/>
      <c r="AO73" s="401"/>
      <c r="AP73" s="401"/>
      <c r="AQ73" s="401"/>
      <c r="AR73" s="401"/>
      <c r="AS73" s="401"/>
      <c r="AT73" s="401"/>
      <c r="AU73" s="401"/>
      <c r="AV73" s="401"/>
      <c r="AW73" s="401"/>
      <c r="AX73" s="401"/>
      <c r="AY73" s="401"/>
      <c r="AZ73" s="401"/>
      <c r="BA73" s="402"/>
      <c r="BB73" s="401"/>
      <c r="BC73" s="401"/>
      <c r="BD73" s="401"/>
      <c r="BE73" s="401"/>
      <c r="BF73" s="401"/>
      <c r="BG73" s="401"/>
      <c r="BH73" s="401"/>
      <c r="BI73" s="401"/>
      <c r="BJ73" s="401"/>
      <c r="BK73" s="401"/>
      <c r="BL73" s="401"/>
      <c r="BM73" s="401"/>
      <c r="BN73" s="401"/>
      <c r="BO73" s="401"/>
      <c r="BP73" s="401"/>
      <c r="BQ73" s="401"/>
      <c r="BR73" s="401"/>
      <c r="BS73" s="401"/>
      <c r="BT73" s="401"/>
      <c r="BU73" s="401"/>
      <c r="BV73" s="401"/>
      <c r="BW73" s="401"/>
      <c r="BX73" s="401"/>
      <c r="BY73" s="401"/>
      <c r="BZ73" s="401"/>
      <c r="CA73" s="401"/>
      <c r="CB73" s="401"/>
      <c r="CC73" s="401"/>
      <c r="CD73" s="401"/>
      <c r="CE73" s="401"/>
      <c r="CF73" s="401"/>
      <c r="CG73" s="401"/>
      <c r="CH73" s="401"/>
      <c r="CI73" s="401"/>
      <c r="CJ73" s="401"/>
      <c r="CK73" s="401"/>
      <c r="CL73" s="401"/>
      <c r="CM73" s="401"/>
      <c r="CN73" s="401"/>
      <c r="CO73" s="401"/>
      <c r="CP73" s="401"/>
      <c r="CQ73" s="401"/>
      <c r="CR73" s="401"/>
      <c r="CS73" s="401"/>
      <c r="CT73" s="401"/>
      <c r="CU73" s="401"/>
      <c r="CV73" s="401"/>
      <c r="CW73" s="401"/>
      <c r="CX73" s="401"/>
      <c r="CY73" s="401"/>
      <c r="CZ73" s="411">
        <v>10</v>
      </c>
      <c r="DA73" s="401"/>
      <c r="DB73" s="401"/>
      <c r="DC73" s="401"/>
      <c r="DD73" s="401"/>
      <c r="DE73" s="401"/>
      <c r="DF73" s="401"/>
      <c r="DG73" s="401"/>
      <c r="DH73" s="401"/>
      <c r="DI73" s="401"/>
      <c r="DJ73" s="401"/>
      <c r="DK73" s="401"/>
      <c r="DL73" s="401"/>
      <c r="DM73" s="401"/>
      <c r="DN73" s="401"/>
      <c r="DO73" s="402"/>
      <c r="DP73" s="401"/>
      <c r="DQ73" s="401"/>
      <c r="DR73" s="401"/>
      <c r="DS73" s="401"/>
      <c r="DT73" s="401"/>
      <c r="DU73" s="411">
        <v>20</v>
      </c>
      <c r="DV73" s="401"/>
      <c r="DW73" s="401"/>
      <c r="DX73" s="401"/>
      <c r="DY73" s="411">
        <v>4</v>
      </c>
      <c r="DZ73" s="401"/>
      <c r="EA73" s="401"/>
      <c r="EB73" s="401"/>
      <c r="EC73" s="401"/>
      <c r="ED73" s="401"/>
      <c r="EE73" s="401"/>
      <c r="EF73" s="401"/>
      <c r="EG73" s="401"/>
      <c r="EH73" s="401"/>
      <c r="EI73" s="401"/>
      <c r="EJ73" s="401"/>
      <c r="EK73" s="401"/>
      <c r="EL73" s="401"/>
      <c r="EM73" s="402"/>
      <c r="EN73" s="401"/>
      <c r="EO73" s="401"/>
      <c r="EP73" s="401"/>
      <c r="EQ73" s="401"/>
      <c r="ER73" s="401"/>
      <c r="ES73" s="401"/>
      <c r="ET73" s="401"/>
      <c r="EU73" s="401"/>
      <c r="EV73" s="401"/>
      <c r="EW73" s="401"/>
      <c r="EX73" s="401"/>
      <c r="EY73" s="401"/>
      <c r="EZ73" s="401"/>
      <c r="FA73" s="401"/>
      <c r="FB73" s="401"/>
      <c r="FC73" s="401"/>
      <c r="FD73" s="404">
        <f>2</f>
        <v>2</v>
      </c>
      <c r="FE73" s="401"/>
      <c r="FF73" s="401"/>
      <c r="FG73" s="401"/>
      <c r="FH73" s="401"/>
      <c r="FI73" s="401"/>
      <c r="FJ73" s="401"/>
      <c r="FK73" s="401"/>
      <c r="FL73" s="401"/>
      <c r="FM73" s="401"/>
      <c r="FN73" s="401"/>
      <c r="FO73" s="401"/>
      <c r="FP73" s="375" t="s">
        <v>850</v>
      </c>
      <c r="FQ73" s="376" t="s">
        <v>972</v>
      </c>
      <c r="FR73" s="377" t="s">
        <v>522</v>
      </c>
      <c r="FS73" s="377" t="s">
        <v>850</v>
      </c>
      <c r="FT73" s="377" t="s">
        <v>592</v>
      </c>
      <c r="FU73" s="144">
        <f t="shared" si="8"/>
        <v>36</v>
      </c>
      <c r="FV73" s="371" t="s">
        <v>905</v>
      </c>
    </row>
    <row r="74" spans="1:178" s="371" customFormat="1">
      <c r="A74" s="368" t="s">
        <v>526</v>
      </c>
      <c r="B74" s="369" t="s">
        <v>517</v>
      </c>
      <c r="C74" s="369" t="s">
        <v>555</v>
      </c>
      <c r="D74" s="369" t="s">
        <v>4</v>
      </c>
      <c r="E74" s="370" t="s">
        <v>589</v>
      </c>
      <c r="F74" s="369" t="s">
        <v>520</v>
      </c>
      <c r="G74" s="369" t="s">
        <v>989</v>
      </c>
      <c r="H74" s="402" t="s">
        <v>850</v>
      </c>
      <c r="I74" s="402" t="s">
        <v>850</v>
      </c>
      <c r="J74" s="403">
        <f>5-5</f>
        <v>0</v>
      </c>
      <c r="K74" s="402"/>
      <c r="L74" s="402" t="s">
        <v>850</v>
      </c>
      <c r="M74" s="403">
        <f>10-10</f>
        <v>0</v>
      </c>
      <c r="N74" s="403">
        <f>5-5+1</f>
        <v>1</v>
      </c>
      <c r="O74" s="403">
        <f>10-10+5</f>
        <v>5</v>
      </c>
      <c r="P74" s="402" t="s">
        <v>850</v>
      </c>
      <c r="Q74" s="402" t="s">
        <v>850</v>
      </c>
      <c r="R74" s="402" t="s">
        <v>850</v>
      </c>
      <c r="S74" s="403">
        <f>5-5</f>
        <v>0</v>
      </c>
      <c r="T74" s="403">
        <f>10-10+2</f>
        <v>2</v>
      </c>
      <c r="U74" s="402" t="s">
        <v>850</v>
      </c>
      <c r="V74" s="402" t="s">
        <v>850</v>
      </c>
      <c r="W74" s="402" t="s">
        <v>850</v>
      </c>
      <c r="X74" s="402"/>
      <c r="Y74" s="403">
        <f>10-10+10</f>
        <v>10</v>
      </c>
      <c r="Z74" s="403">
        <f>10-10</f>
        <v>0</v>
      </c>
      <c r="AA74" s="403">
        <f>10-10</f>
        <v>0</v>
      </c>
      <c r="AB74" s="403">
        <f>30-30+10</f>
        <v>10</v>
      </c>
      <c r="AC74" s="403">
        <f>50-50</f>
        <v>0</v>
      </c>
      <c r="AD74" s="403">
        <f>50-50+5</f>
        <v>5</v>
      </c>
      <c r="AE74" s="402" t="s">
        <v>850</v>
      </c>
      <c r="AF74" s="403">
        <f>55-55</f>
        <v>0</v>
      </c>
      <c r="AG74" s="403">
        <f>60-60</f>
        <v>0</v>
      </c>
      <c r="AH74" s="402" t="s">
        <v>850</v>
      </c>
      <c r="AI74" s="402" t="s">
        <v>850</v>
      </c>
      <c r="AJ74" s="402" t="s">
        <v>850</v>
      </c>
      <c r="AK74" s="402" t="s">
        <v>850</v>
      </c>
      <c r="AL74" s="402" t="s">
        <v>850</v>
      </c>
      <c r="AM74" s="402" t="s">
        <v>850</v>
      </c>
      <c r="AN74" s="402" t="s">
        <v>850</v>
      </c>
      <c r="AO74" s="402" t="s">
        <v>850</v>
      </c>
      <c r="AP74" s="402" t="s">
        <v>850</v>
      </c>
      <c r="AQ74" s="402" t="s">
        <v>850</v>
      </c>
      <c r="AR74" s="402" t="s">
        <v>850</v>
      </c>
      <c r="AS74" s="402" t="s">
        <v>850</v>
      </c>
      <c r="AT74" s="402" t="s">
        <v>850</v>
      </c>
      <c r="AU74" s="405">
        <f>4-4+1</f>
        <v>1</v>
      </c>
      <c r="AV74" s="402" t="s">
        <v>850</v>
      </c>
      <c r="AW74" s="402" t="s">
        <v>850</v>
      </c>
      <c r="AX74" s="402"/>
      <c r="AY74" s="402" t="s">
        <v>850</v>
      </c>
      <c r="AZ74" s="402" t="s">
        <v>850</v>
      </c>
      <c r="BA74" s="409">
        <v>5</v>
      </c>
      <c r="BB74" s="403">
        <f>5-5</f>
        <v>0</v>
      </c>
      <c r="BC74" s="402" t="s">
        <v>850</v>
      </c>
      <c r="BD74" s="402"/>
      <c r="BE74" s="403">
        <f>10-10</f>
        <v>0</v>
      </c>
      <c r="BF74" s="403">
        <f>10-10</f>
        <v>0</v>
      </c>
      <c r="BG74" s="402"/>
      <c r="BH74" s="402" t="s">
        <v>850</v>
      </c>
      <c r="BI74" s="402" t="s">
        <v>850</v>
      </c>
      <c r="BJ74" s="402" t="s">
        <v>850</v>
      </c>
      <c r="BK74" s="402" t="s">
        <v>850</v>
      </c>
      <c r="BL74" s="403">
        <f>2-2+2</f>
        <v>2</v>
      </c>
      <c r="BM74" s="402"/>
      <c r="BN74" s="402"/>
      <c r="BO74" s="403">
        <f>5-5+5</f>
        <v>5</v>
      </c>
      <c r="BP74" s="402"/>
      <c r="BQ74" s="402"/>
      <c r="BR74" s="403">
        <f>10-10</f>
        <v>0</v>
      </c>
      <c r="BS74" s="403">
        <f>10-10+3</f>
        <v>3</v>
      </c>
      <c r="BT74" s="405">
        <f>5-5+5</f>
        <v>5</v>
      </c>
      <c r="BU74" s="402" t="s">
        <v>850</v>
      </c>
      <c r="BV74" s="402" t="s">
        <v>850</v>
      </c>
      <c r="BW74" s="402"/>
      <c r="BX74" s="402"/>
      <c r="BY74" s="403">
        <f>5-5+2</f>
        <v>2</v>
      </c>
      <c r="BZ74" s="403">
        <f>5-5</f>
        <v>0</v>
      </c>
      <c r="CA74" s="402" t="s">
        <v>850</v>
      </c>
      <c r="CB74" s="403">
        <f>10-10+5</f>
        <v>5</v>
      </c>
      <c r="CC74" s="403">
        <f>10-10</f>
        <v>0</v>
      </c>
      <c r="CD74" s="403">
        <f>30-30</f>
        <v>0</v>
      </c>
      <c r="CE74" s="401"/>
      <c r="CF74" s="403">
        <f>20-20</f>
        <v>0</v>
      </c>
      <c r="CG74" s="402"/>
      <c r="CH74" s="403">
        <f>5-5+2</f>
        <v>2</v>
      </c>
      <c r="CI74" s="403">
        <f>10-10+3</f>
        <v>3</v>
      </c>
      <c r="CJ74" s="403">
        <f>10-10+1</f>
        <v>1</v>
      </c>
      <c r="CK74" s="403">
        <f>10-10</f>
        <v>0</v>
      </c>
      <c r="CL74" s="403">
        <f>10-10</f>
        <v>0</v>
      </c>
      <c r="CM74" s="401"/>
      <c r="CN74" s="402"/>
      <c r="CO74" s="401"/>
      <c r="CP74" s="402" t="s">
        <v>850</v>
      </c>
      <c r="CQ74" s="403">
        <f>10-10</f>
        <v>0</v>
      </c>
      <c r="CR74" s="403">
        <f>10-10</f>
        <v>0</v>
      </c>
      <c r="CS74" s="403">
        <f>10-10</f>
        <v>0</v>
      </c>
      <c r="CT74" s="402" t="s">
        <v>850</v>
      </c>
      <c r="CU74" s="403">
        <f>5-5</f>
        <v>0</v>
      </c>
      <c r="CV74" s="403">
        <f>10-10+10</f>
        <v>10</v>
      </c>
      <c r="CW74" s="403">
        <f>10-10+10</f>
        <v>10</v>
      </c>
      <c r="CX74" s="403">
        <f>10-10+10</f>
        <v>10</v>
      </c>
      <c r="CY74" s="403">
        <f t="shared" ref="CY74:DA74" si="9">10-10</f>
        <v>0</v>
      </c>
      <c r="CZ74" s="403">
        <f t="shared" si="9"/>
        <v>0</v>
      </c>
      <c r="DA74" s="403">
        <f t="shared" si="9"/>
        <v>0</v>
      </c>
      <c r="DB74" s="402" t="s">
        <v>850</v>
      </c>
      <c r="DC74" s="402" t="s">
        <v>850</v>
      </c>
      <c r="DD74" s="403">
        <f>10-10+10</f>
        <v>10</v>
      </c>
      <c r="DE74" s="402" t="s">
        <v>850</v>
      </c>
      <c r="DF74" s="403">
        <f>5-5+1</f>
        <v>1</v>
      </c>
      <c r="DG74" s="403">
        <f>10-10+2</f>
        <v>2</v>
      </c>
      <c r="DH74" s="403">
        <f>10-10</f>
        <v>0</v>
      </c>
      <c r="DI74" s="403">
        <f>10-10</f>
        <v>0</v>
      </c>
      <c r="DJ74" s="402" t="s">
        <v>850</v>
      </c>
      <c r="DK74" s="402" t="s">
        <v>850</v>
      </c>
      <c r="DL74" s="402" t="s">
        <v>850</v>
      </c>
      <c r="DM74" s="402" t="s">
        <v>850</v>
      </c>
      <c r="DN74" s="402" t="s">
        <v>850</v>
      </c>
      <c r="DO74" s="402"/>
      <c r="DP74" s="402"/>
      <c r="DQ74" s="402" t="s">
        <v>850</v>
      </c>
      <c r="DR74" s="402" t="s">
        <v>850</v>
      </c>
      <c r="DS74" s="402"/>
      <c r="DT74" s="402" t="s">
        <v>850</v>
      </c>
      <c r="DU74" s="403">
        <f>30-30</f>
        <v>0</v>
      </c>
      <c r="DV74" s="402" t="s">
        <v>850</v>
      </c>
      <c r="DW74" s="403">
        <f>20-20</f>
        <v>0</v>
      </c>
      <c r="DX74" s="402" t="s">
        <v>850</v>
      </c>
      <c r="DY74" s="403">
        <f>20-20</f>
        <v>0</v>
      </c>
      <c r="DZ74" s="402" t="s">
        <v>850</v>
      </c>
      <c r="EA74" s="402" t="s">
        <v>850</v>
      </c>
      <c r="EB74" s="402" t="s">
        <v>850</v>
      </c>
      <c r="EC74" s="403">
        <f>20-20</f>
        <v>0</v>
      </c>
      <c r="ED74" s="403">
        <f>20-20</f>
        <v>0</v>
      </c>
      <c r="EE74" s="403">
        <f>20-20</f>
        <v>0</v>
      </c>
      <c r="EF74" s="402" t="s">
        <v>850</v>
      </c>
      <c r="EG74" s="403">
        <f>20-20+5</f>
        <v>5</v>
      </c>
      <c r="EH74" s="402"/>
      <c r="EI74" s="403">
        <f>40-40</f>
        <v>0</v>
      </c>
      <c r="EJ74" s="402" t="s">
        <v>850</v>
      </c>
      <c r="EK74" s="403">
        <f>20-20</f>
        <v>0</v>
      </c>
      <c r="EL74" s="403">
        <f>20-20</f>
        <v>0</v>
      </c>
      <c r="EM74" s="402"/>
      <c r="EN74" s="402" t="s">
        <v>850</v>
      </c>
      <c r="EO74" s="402" t="s">
        <v>850</v>
      </c>
      <c r="EP74" s="403">
        <f>20-20</f>
        <v>0</v>
      </c>
      <c r="EQ74" s="402"/>
      <c r="ER74" s="403">
        <f>20-20</f>
        <v>0</v>
      </c>
      <c r="ES74" s="402" t="s">
        <v>850</v>
      </c>
      <c r="ET74" s="403">
        <f>20-20</f>
        <v>0</v>
      </c>
      <c r="EU74" s="403">
        <f>20-20+5</f>
        <v>5</v>
      </c>
      <c r="EV74" s="402"/>
      <c r="EW74" s="402"/>
      <c r="EX74" s="402"/>
      <c r="EY74" s="402" t="s">
        <v>850</v>
      </c>
      <c r="EZ74" s="402"/>
      <c r="FA74" s="402"/>
      <c r="FB74" s="403">
        <f>20-20</f>
        <v>0</v>
      </c>
      <c r="FC74" s="402"/>
      <c r="FD74" s="403">
        <f>20-20</f>
        <v>0</v>
      </c>
      <c r="FE74" s="402" t="s">
        <v>850</v>
      </c>
      <c r="FF74" s="402"/>
      <c r="FG74" s="402" t="s">
        <v>850</v>
      </c>
      <c r="FH74" s="402"/>
      <c r="FI74" s="402" t="s">
        <v>850</v>
      </c>
      <c r="FJ74" s="403">
        <f>60-60</f>
        <v>0</v>
      </c>
      <c r="FK74" s="402"/>
      <c r="FL74" s="402" t="s">
        <v>850</v>
      </c>
      <c r="FM74" s="402" t="s">
        <v>850</v>
      </c>
      <c r="FN74" s="402" t="s">
        <v>850</v>
      </c>
      <c r="FO74" s="402" t="s">
        <v>850</v>
      </c>
      <c r="FP74" s="375"/>
      <c r="FQ74" s="376" t="s">
        <v>972</v>
      </c>
      <c r="FR74" s="377" t="s">
        <v>522</v>
      </c>
      <c r="FS74" s="377" t="s">
        <v>850</v>
      </c>
      <c r="FT74" s="377" t="s">
        <v>592</v>
      </c>
      <c r="FU74" s="144">
        <f t="shared" si="8"/>
        <v>120</v>
      </c>
      <c r="FV74" s="371" t="s">
        <v>905</v>
      </c>
    </row>
    <row r="75" spans="1:178" s="371" customFormat="1">
      <c r="A75" s="368" t="s">
        <v>526</v>
      </c>
      <c r="B75" s="369" t="s">
        <v>517</v>
      </c>
      <c r="C75" s="369" t="s">
        <v>555</v>
      </c>
      <c r="D75" s="369" t="s">
        <v>3</v>
      </c>
      <c r="E75" s="370" t="s">
        <v>589</v>
      </c>
      <c r="F75" s="369" t="s">
        <v>520</v>
      </c>
      <c r="G75" s="369" t="s">
        <v>990</v>
      </c>
      <c r="H75" s="402"/>
      <c r="I75" s="402"/>
      <c r="J75" s="402"/>
      <c r="K75" s="402"/>
      <c r="L75" s="402"/>
      <c r="M75" s="402"/>
      <c r="N75" s="402"/>
      <c r="O75" s="402"/>
      <c r="P75" s="402"/>
      <c r="Q75" s="402"/>
      <c r="R75" s="402"/>
      <c r="S75" s="402"/>
      <c r="T75" s="402"/>
      <c r="U75" s="402"/>
      <c r="V75" s="402"/>
      <c r="W75" s="402"/>
      <c r="X75" s="402"/>
      <c r="Y75" s="402"/>
      <c r="Z75" s="402"/>
      <c r="AA75" s="402"/>
      <c r="AB75" s="402"/>
      <c r="AC75" s="402"/>
      <c r="AD75" s="402"/>
      <c r="AE75" s="402"/>
      <c r="AF75" s="402"/>
      <c r="AG75" s="402"/>
      <c r="AH75" s="402"/>
      <c r="AI75" s="402"/>
      <c r="AJ75" s="402"/>
      <c r="AK75" s="402"/>
      <c r="AL75" s="402"/>
      <c r="AM75" s="402"/>
      <c r="AN75" s="402"/>
      <c r="AO75" s="402"/>
      <c r="AP75" s="402"/>
      <c r="AQ75" s="402"/>
      <c r="AR75" s="402"/>
      <c r="AS75" s="402"/>
      <c r="AT75" s="402"/>
      <c r="AU75" s="402"/>
      <c r="AV75" s="402"/>
      <c r="AW75" s="402"/>
      <c r="AX75" s="402"/>
      <c r="AY75" s="402"/>
      <c r="AZ75" s="402"/>
      <c r="BA75" s="402"/>
      <c r="BB75" s="402"/>
      <c r="BC75" s="402"/>
      <c r="BD75" s="402"/>
      <c r="BE75" s="402"/>
      <c r="BF75" s="402"/>
      <c r="BG75" s="402"/>
      <c r="BH75" s="402"/>
      <c r="BI75" s="402"/>
      <c r="BJ75" s="402"/>
      <c r="BK75" s="402"/>
      <c r="BL75" s="402"/>
      <c r="BM75" s="402"/>
      <c r="BN75" s="402"/>
      <c r="BO75" s="402"/>
      <c r="BP75" s="402"/>
      <c r="BQ75" s="402"/>
      <c r="BR75" s="402"/>
      <c r="BS75" s="402"/>
      <c r="BT75" s="402"/>
      <c r="BU75" s="402"/>
      <c r="BV75" s="402"/>
      <c r="BW75" s="402"/>
      <c r="BX75" s="402"/>
      <c r="BY75" s="402"/>
      <c r="BZ75" s="402"/>
      <c r="CA75" s="402"/>
      <c r="CB75" s="402"/>
      <c r="CC75" s="402"/>
      <c r="CD75" s="402"/>
      <c r="CE75" s="401"/>
      <c r="CF75" s="402"/>
      <c r="CG75" s="402"/>
      <c r="CH75" s="402"/>
      <c r="CI75" s="402"/>
      <c r="CJ75" s="402"/>
      <c r="CK75" s="402"/>
      <c r="CL75" s="402"/>
      <c r="CM75" s="401"/>
      <c r="CN75" s="402"/>
      <c r="CO75" s="401"/>
      <c r="CP75" s="402"/>
      <c r="CQ75" s="402"/>
      <c r="CR75" s="402"/>
      <c r="CS75" s="402"/>
      <c r="CT75" s="402"/>
      <c r="CU75" s="402"/>
      <c r="CV75" s="402"/>
      <c r="CW75" s="402"/>
      <c r="CX75" s="402"/>
      <c r="CY75" s="402"/>
      <c r="CZ75" s="402"/>
      <c r="DA75" s="402"/>
      <c r="DB75" s="402"/>
      <c r="DC75" s="402"/>
      <c r="DD75" s="402"/>
      <c r="DE75" s="402"/>
      <c r="DF75" s="402"/>
      <c r="DG75" s="402"/>
      <c r="DH75" s="402"/>
      <c r="DI75" s="402"/>
      <c r="DJ75" s="402"/>
      <c r="DK75" s="402"/>
      <c r="DL75" s="402"/>
      <c r="DM75" s="402"/>
      <c r="DN75" s="402"/>
      <c r="DO75" s="402"/>
      <c r="DP75" s="402"/>
      <c r="DQ75" s="402"/>
      <c r="DR75" s="402"/>
      <c r="DS75" s="402"/>
      <c r="DT75" s="402"/>
      <c r="DU75" s="402"/>
      <c r="DV75" s="402"/>
      <c r="DW75" s="402"/>
      <c r="DX75" s="402"/>
      <c r="DY75" s="402"/>
      <c r="DZ75" s="402"/>
      <c r="EA75" s="402"/>
      <c r="EB75" s="402"/>
      <c r="EC75" s="402"/>
      <c r="ED75" s="402"/>
      <c r="EE75" s="402"/>
      <c r="EF75" s="402"/>
      <c r="EG75" s="402"/>
      <c r="EH75" s="402"/>
      <c r="EI75" s="402"/>
      <c r="EJ75" s="402"/>
      <c r="EK75" s="402"/>
      <c r="EL75" s="402"/>
      <c r="EM75" s="402"/>
      <c r="EN75" s="402"/>
      <c r="EO75" s="402"/>
      <c r="EP75" s="402"/>
      <c r="EQ75" s="402"/>
      <c r="ER75" s="402"/>
      <c r="ES75" s="402"/>
      <c r="ET75" s="402"/>
      <c r="EU75" s="402"/>
      <c r="EV75" s="402"/>
      <c r="EW75" s="402"/>
      <c r="EX75" s="402"/>
      <c r="EY75" s="402"/>
      <c r="EZ75" s="402"/>
      <c r="FA75" s="402"/>
      <c r="FB75" s="402"/>
      <c r="FC75" s="402"/>
      <c r="FD75" s="402"/>
      <c r="FE75" s="402"/>
      <c r="FF75" s="402"/>
      <c r="FG75" s="402"/>
      <c r="FH75" s="402"/>
      <c r="FI75" s="402"/>
      <c r="FJ75" s="402"/>
      <c r="FK75" s="402"/>
      <c r="FL75" s="402"/>
      <c r="FM75" s="402"/>
      <c r="FN75" s="402"/>
      <c r="FO75" s="402"/>
      <c r="FP75" s="375"/>
      <c r="FQ75" s="376" t="s">
        <v>972</v>
      </c>
      <c r="FR75" s="377" t="s">
        <v>522</v>
      </c>
      <c r="FS75" s="377" t="s">
        <v>850</v>
      </c>
      <c r="FT75" s="377" t="s">
        <v>592</v>
      </c>
      <c r="FU75" s="144">
        <f t="shared" si="8"/>
        <v>0</v>
      </c>
      <c r="FV75" s="371" t="s">
        <v>905</v>
      </c>
    </row>
    <row r="76" spans="1:178" s="371" customFormat="1">
      <c r="A76" s="368" t="s">
        <v>526</v>
      </c>
      <c r="B76" s="369" t="s">
        <v>525</v>
      </c>
      <c r="C76" s="369" t="s">
        <v>555</v>
      </c>
      <c r="D76" s="369" t="s">
        <v>8</v>
      </c>
      <c r="E76" s="379" t="s">
        <v>589</v>
      </c>
      <c r="F76" s="369" t="s">
        <v>520</v>
      </c>
      <c r="G76" s="369" t="s">
        <v>991</v>
      </c>
      <c r="H76" s="401"/>
      <c r="I76" s="401"/>
      <c r="J76" s="401"/>
      <c r="K76" s="401"/>
      <c r="L76" s="401"/>
      <c r="M76" s="401"/>
      <c r="N76" s="401"/>
      <c r="O76" s="401"/>
      <c r="P76" s="401"/>
      <c r="Q76" s="401"/>
      <c r="R76" s="401"/>
      <c r="S76" s="401"/>
      <c r="T76" s="401"/>
      <c r="U76" s="401"/>
      <c r="V76" s="401"/>
      <c r="W76" s="401"/>
      <c r="X76" s="401"/>
      <c r="Y76" s="401"/>
      <c r="Z76" s="401"/>
      <c r="AA76" s="401"/>
      <c r="AB76" s="401"/>
      <c r="AC76" s="401"/>
      <c r="AD76" s="401"/>
      <c r="AE76" s="401"/>
      <c r="AF76" s="401"/>
      <c r="AG76" s="401"/>
      <c r="AH76" s="401"/>
      <c r="AI76" s="401"/>
      <c r="AJ76" s="401"/>
      <c r="AK76" s="401"/>
      <c r="AL76" s="401"/>
      <c r="AM76" s="401"/>
      <c r="AN76" s="401"/>
      <c r="AO76" s="401"/>
      <c r="AP76" s="401"/>
      <c r="AQ76" s="401"/>
      <c r="AR76" s="401"/>
      <c r="AS76" s="401"/>
      <c r="AT76" s="401"/>
      <c r="AU76" s="401"/>
      <c r="AV76" s="401"/>
      <c r="AW76" s="401"/>
      <c r="AX76" s="401"/>
      <c r="AY76" s="401"/>
      <c r="AZ76" s="401"/>
      <c r="BA76" s="402"/>
      <c r="BB76" s="401"/>
      <c r="BC76" s="401"/>
      <c r="BD76" s="401"/>
      <c r="BE76" s="401"/>
      <c r="BF76" s="401"/>
      <c r="BG76" s="401"/>
      <c r="BH76" s="401"/>
      <c r="BI76" s="401"/>
      <c r="BJ76" s="401"/>
      <c r="BK76" s="401"/>
      <c r="BL76" s="401"/>
      <c r="BM76" s="401"/>
      <c r="BN76" s="401"/>
      <c r="BO76" s="401"/>
      <c r="BP76" s="401"/>
      <c r="BQ76" s="401"/>
      <c r="BR76" s="401"/>
      <c r="BS76" s="401"/>
      <c r="BT76" s="401"/>
      <c r="BU76" s="401"/>
      <c r="BV76" s="401"/>
      <c r="BW76" s="401"/>
      <c r="BX76" s="401"/>
      <c r="BY76" s="401"/>
      <c r="BZ76" s="401"/>
      <c r="CA76" s="401"/>
      <c r="CB76" s="401"/>
      <c r="CC76" s="401"/>
      <c r="CD76" s="401"/>
      <c r="CE76" s="401"/>
      <c r="CF76" s="401"/>
      <c r="CG76" s="401"/>
      <c r="CH76" s="401"/>
      <c r="CI76" s="401"/>
      <c r="CJ76" s="401"/>
      <c r="CK76" s="401"/>
      <c r="CL76" s="401"/>
      <c r="CM76" s="401"/>
      <c r="CN76" s="401"/>
      <c r="CO76" s="401"/>
      <c r="CP76" s="401"/>
      <c r="CQ76" s="401"/>
      <c r="CR76" s="401"/>
      <c r="CS76" s="401"/>
      <c r="CT76" s="401"/>
      <c r="CU76" s="401"/>
      <c r="CV76" s="401"/>
      <c r="CW76" s="401"/>
      <c r="CX76" s="401"/>
      <c r="CY76" s="401"/>
      <c r="CZ76" s="401"/>
      <c r="DA76" s="401"/>
      <c r="DB76" s="401"/>
      <c r="DC76" s="401"/>
      <c r="DD76" s="401"/>
      <c r="DE76" s="401"/>
      <c r="DF76" s="401"/>
      <c r="DG76" s="401"/>
      <c r="DH76" s="401"/>
      <c r="DI76" s="401"/>
      <c r="DJ76" s="401"/>
      <c r="DK76" s="401"/>
      <c r="DL76" s="401"/>
      <c r="DM76" s="401"/>
      <c r="DN76" s="401"/>
      <c r="DO76" s="402"/>
      <c r="DP76" s="401"/>
      <c r="DQ76" s="401"/>
      <c r="DR76" s="401"/>
      <c r="DS76" s="401"/>
      <c r="DT76" s="401"/>
      <c r="DU76" s="401"/>
      <c r="DV76" s="401"/>
      <c r="DW76" s="401"/>
      <c r="DX76" s="401"/>
      <c r="DY76" s="401"/>
      <c r="DZ76" s="401"/>
      <c r="EA76" s="401"/>
      <c r="EB76" s="401"/>
      <c r="EC76" s="401"/>
      <c r="ED76" s="401"/>
      <c r="EE76" s="401"/>
      <c r="EF76" s="401"/>
      <c r="EG76" s="401"/>
      <c r="EH76" s="411">
        <v>5</v>
      </c>
      <c r="EI76" s="401"/>
      <c r="EJ76" s="401"/>
      <c r="EK76" s="401"/>
      <c r="EL76" s="401"/>
      <c r="EM76" s="402"/>
      <c r="EN76" s="401"/>
      <c r="EO76" s="401"/>
      <c r="EP76" s="401"/>
      <c r="EQ76" s="401"/>
      <c r="ER76" s="401"/>
      <c r="ES76" s="401"/>
      <c r="ET76" s="401"/>
      <c r="EU76" s="401"/>
      <c r="EV76" s="411">
        <v>5</v>
      </c>
      <c r="EW76" s="411">
        <v>20</v>
      </c>
      <c r="EX76" s="401"/>
      <c r="EY76" s="401"/>
      <c r="EZ76" s="401"/>
      <c r="FA76" s="401"/>
      <c r="FB76" s="401"/>
      <c r="FC76" s="401"/>
      <c r="FD76" s="401"/>
      <c r="FE76" s="401"/>
      <c r="FF76" s="401"/>
      <c r="FG76" s="401"/>
      <c r="FH76" s="401"/>
      <c r="FI76" s="401"/>
      <c r="FJ76" s="401"/>
      <c r="FK76" s="401"/>
      <c r="FL76" s="401"/>
      <c r="FM76" s="401"/>
      <c r="FN76" s="401"/>
      <c r="FO76" s="401"/>
      <c r="FP76" s="375" t="s">
        <v>850</v>
      </c>
      <c r="FQ76" s="376" t="s">
        <v>972</v>
      </c>
      <c r="FR76" s="377" t="s">
        <v>522</v>
      </c>
      <c r="FS76" s="377" t="s">
        <v>850</v>
      </c>
      <c r="FT76" s="377" t="s">
        <v>592</v>
      </c>
      <c r="FU76" s="144">
        <f t="shared" si="8"/>
        <v>30</v>
      </c>
      <c r="FV76" s="371" t="s">
        <v>905</v>
      </c>
    </row>
    <row r="77" spans="1:178" s="371" customFormat="1">
      <c r="A77" s="368" t="s">
        <v>526</v>
      </c>
      <c r="B77" s="369" t="s">
        <v>525</v>
      </c>
      <c r="C77" s="369" t="s">
        <v>555</v>
      </c>
      <c r="D77" s="369" t="s">
        <v>4</v>
      </c>
      <c r="E77" s="379" t="s">
        <v>589</v>
      </c>
      <c r="F77" s="369" t="s">
        <v>520</v>
      </c>
      <c r="G77" s="369" t="s">
        <v>991</v>
      </c>
      <c r="H77" s="402" t="s">
        <v>850</v>
      </c>
      <c r="I77" s="402" t="s">
        <v>850</v>
      </c>
      <c r="J77" s="402" t="s">
        <v>850</v>
      </c>
      <c r="K77" s="402"/>
      <c r="L77" s="402" t="s">
        <v>850</v>
      </c>
      <c r="M77" s="402" t="s">
        <v>850</v>
      </c>
      <c r="N77" s="402"/>
      <c r="O77" s="402"/>
      <c r="P77" s="402" t="s">
        <v>850</v>
      </c>
      <c r="Q77" s="402" t="s">
        <v>850</v>
      </c>
      <c r="R77" s="402" t="s">
        <v>850</v>
      </c>
      <c r="S77" s="402" t="s">
        <v>850</v>
      </c>
      <c r="T77" s="402"/>
      <c r="U77" s="402" t="s">
        <v>850</v>
      </c>
      <c r="V77" s="402" t="s">
        <v>850</v>
      </c>
      <c r="W77" s="402" t="s">
        <v>850</v>
      </c>
      <c r="X77" s="402"/>
      <c r="Y77" s="402"/>
      <c r="Z77" s="402"/>
      <c r="AA77" s="402"/>
      <c r="AB77" s="402"/>
      <c r="AC77" s="402" t="s">
        <v>850</v>
      </c>
      <c r="AD77" s="402"/>
      <c r="AE77" s="402" t="s">
        <v>850</v>
      </c>
      <c r="AF77" s="402" t="s">
        <v>850</v>
      </c>
      <c r="AG77" s="402" t="s">
        <v>850</v>
      </c>
      <c r="AH77" s="402" t="s">
        <v>850</v>
      </c>
      <c r="AI77" s="402" t="s">
        <v>850</v>
      </c>
      <c r="AJ77" s="402" t="s">
        <v>850</v>
      </c>
      <c r="AK77" s="402" t="s">
        <v>850</v>
      </c>
      <c r="AL77" s="402" t="s">
        <v>850</v>
      </c>
      <c r="AM77" s="402" t="s">
        <v>850</v>
      </c>
      <c r="AN77" s="402" t="s">
        <v>850</v>
      </c>
      <c r="AO77" s="402" t="s">
        <v>850</v>
      </c>
      <c r="AP77" s="402" t="s">
        <v>850</v>
      </c>
      <c r="AQ77" s="402" t="s">
        <v>850</v>
      </c>
      <c r="AR77" s="402" t="s">
        <v>850</v>
      </c>
      <c r="AS77" s="402" t="s">
        <v>850</v>
      </c>
      <c r="AT77" s="402" t="s">
        <v>850</v>
      </c>
      <c r="AU77" s="402"/>
      <c r="AV77" s="402" t="s">
        <v>850</v>
      </c>
      <c r="AW77" s="402" t="s">
        <v>850</v>
      </c>
      <c r="AX77" s="402"/>
      <c r="AY77" s="402" t="s">
        <v>850</v>
      </c>
      <c r="AZ77" s="402" t="s">
        <v>850</v>
      </c>
      <c r="BA77" s="402"/>
      <c r="BB77" s="402" t="s">
        <v>850</v>
      </c>
      <c r="BC77" s="402" t="s">
        <v>850</v>
      </c>
      <c r="BD77" s="402"/>
      <c r="BE77" s="402" t="s">
        <v>850</v>
      </c>
      <c r="BF77" s="402" t="s">
        <v>850</v>
      </c>
      <c r="BG77" s="402"/>
      <c r="BH77" s="402" t="s">
        <v>850</v>
      </c>
      <c r="BI77" s="402" t="s">
        <v>850</v>
      </c>
      <c r="BJ77" s="402" t="s">
        <v>850</v>
      </c>
      <c r="BK77" s="402" t="s">
        <v>850</v>
      </c>
      <c r="BL77" s="402"/>
      <c r="BM77" s="402"/>
      <c r="BN77" s="402"/>
      <c r="BO77" s="402"/>
      <c r="BP77" s="402"/>
      <c r="BQ77" s="402"/>
      <c r="BR77" s="402" t="s">
        <v>850</v>
      </c>
      <c r="BS77" s="402"/>
      <c r="BT77" s="402"/>
      <c r="BU77" s="402" t="s">
        <v>850</v>
      </c>
      <c r="BV77" s="402" t="s">
        <v>850</v>
      </c>
      <c r="BW77" s="402"/>
      <c r="BX77" s="402"/>
      <c r="BY77" s="402"/>
      <c r="BZ77" s="402"/>
      <c r="CA77" s="402" t="s">
        <v>850</v>
      </c>
      <c r="CB77" s="402"/>
      <c r="CC77" s="402"/>
      <c r="CD77" s="402"/>
      <c r="CE77" s="401"/>
      <c r="CF77" s="402" t="s">
        <v>850</v>
      </c>
      <c r="CG77" s="402"/>
      <c r="CH77" s="402"/>
      <c r="CI77" s="402"/>
      <c r="CJ77" s="402"/>
      <c r="CK77" s="402"/>
      <c r="CL77" s="402"/>
      <c r="CM77" s="401"/>
      <c r="CN77" s="402"/>
      <c r="CO77" s="401"/>
      <c r="CP77" s="402" t="s">
        <v>850</v>
      </c>
      <c r="CQ77" s="402" t="s">
        <v>850</v>
      </c>
      <c r="CR77" s="402"/>
      <c r="CS77" s="402" t="s">
        <v>850</v>
      </c>
      <c r="CT77" s="402" t="s">
        <v>850</v>
      </c>
      <c r="CU77" s="402" t="s">
        <v>850</v>
      </c>
      <c r="CV77" s="402"/>
      <c r="CW77" s="402"/>
      <c r="CX77" s="402"/>
      <c r="CY77" s="402"/>
      <c r="CZ77" s="402"/>
      <c r="DA77" s="402"/>
      <c r="DB77" s="402" t="s">
        <v>850</v>
      </c>
      <c r="DC77" s="402" t="s">
        <v>850</v>
      </c>
      <c r="DD77" s="402"/>
      <c r="DE77" s="402" t="s">
        <v>850</v>
      </c>
      <c r="DF77" s="402"/>
      <c r="DG77" s="402"/>
      <c r="DH77" s="402" t="s">
        <v>850</v>
      </c>
      <c r="DI77" s="402" t="s">
        <v>850</v>
      </c>
      <c r="DJ77" s="402" t="s">
        <v>850</v>
      </c>
      <c r="DK77" s="402" t="s">
        <v>850</v>
      </c>
      <c r="DL77" s="402" t="s">
        <v>850</v>
      </c>
      <c r="DM77" s="402" t="s">
        <v>850</v>
      </c>
      <c r="DN77" s="402" t="s">
        <v>850</v>
      </c>
      <c r="DO77" s="402"/>
      <c r="DP77" s="402"/>
      <c r="DQ77" s="402" t="s">
        <v>850</v>
      </c>
      <c r="DR77" s="402" t="s">
        <v>850</v>
      </c>
      <c r="DS77" s="402"/>
      <c r="DT77" s="402" t="s">
        <v>850</v>
      </c>
      <c r="DU77" s="402"/>
      <c r="DV77" s="402" t="s">
        <v>850</v>
      </c>
      <c r="DW77" s="402"/>
      <c r="DX77" s="402" t="s">
        <v>850</v>
      </c>
      <c r="DY77" s="402"/>
      <c r="DZ77" s="402" t="s">
        <v>850</v>
      </c>
      <c r="EA77" s="402" t="s">
        <v>850</v>
      </c>
      <c r="EB77" s="402" t="s">
        <v>850</v>
      </c>
      <c r="EC77" s="402" t="s">
        <v>850</v>
      </c>
      <c r="ED77" s="402" t="s">
        <v>850</v>
      </c>
      <c r="EE77" s="402"/>
      <c r="EF77" s="402" t="s">
        <v>850</v>
      </c>
      <c r="EG77" s="402"/>
      <c r="EH77" s="403">
        <f>20-20</f>
        <v>0</v>
      </c>
      <c r="EI77" s="402" t="s">
        <v>850</v>
      </c>
      <c r="EJ77" s="402" t="s">
        <v>850</v>
      </c>
      <c r="EK77" s="402" t="s">
        <v>850</v>
      </c>
      <c r="EL77" s="402" t="s">
        <v>850</v>
      </c>
      <c r="EM77" s="402"/>
      <c r="EN77" s="403">
        <f>20-20</f>
        <v>0</v>
      </c>
      <c r="EO77" s="402" t="s">
        <v>850</v>
      </c>
      <c r="EP77" s="402" t="s">
        <v>850</v>
      </c>
      <c r="EQ77" s="402"/>
      <c r="ER77" s="402" t="s">
        <v>850</v>
      </c>
      <c r="ES77" s="402" t="s">
        <v>850</v>
      </c>
      <c r="ET77" s="402" t="s">
        <v>850</v>
      </c>
      <c r="EU77" s="403">
        <f>20-20</f>
        <v>0</v>
      </c>
      <c r="EV77" s="403">
        <f>20-20</f>
        <v>0</v>
      </c>
      <c r="EW77" s="403">
        <f>40-40</f>
        <v>0</v>
      </c>
      <c r="EX77" s="402"/>
      <c r="EY77" s="403">
        <f>20-20</f>
        <v>0</v>
      </c>
      <c r="EZ77" s="402"/>
      <c r="FA77" s="402"/>
      <c r="FB77" s="402"/>
      <c r="FC77" s="402"/>
      <c r="FD77" s="402"/>
      <c r="FE77" s="402" t="s">
        <v>850</v>
      </c>
      <c r="FF77" s="402"/>
      <c r="FG77" s="403">
        <f>30-30</f>
        <v>0</v>
      </c>
      <c r="FH77" s="402"/>
      <c r="FI77" s="402" t="s">
        <v>850</v>
      </c>
      <c r="FJ77" s="403">
        <f>120-120</f>
        <v>0</v>
      </c>
      <c r="FK77" s="402"/>
      <c r="FL77" s="402" t="s">
        <v>850</v>
      </c>
      <c r="FM77" s="402" t="s">
        <v>850</v>
      </c>
      <c r="FN77" s="402" t="s">
        <v>850</v>
      </c>
      <c r="FO77" s="402" t="s">
        <v>850</v>
      </c>
      <c r="FP77" s="375"/>
      <c r="FQ77" s="376" t="s">
        <v>972</v>
      </c>
      <c r="FR77" s="377" t="s">
        <v>522</v>
      </c>
      <c r="FS77" s="377" t="s">
        <v>850</v>
      </c>
      <c r="FT77" s="377" t="s">
        <v>592</v>
      </c>
      <c r="FU77" s="144">
        <f t="shared" si="8"/>
        <v>0</v>
      </c>
      <c r="FV77" s="371" t="s">
        <v>905</v>
      </c>
    </row>
    <row r="78" spans="1:178" s="371" customFormat="1">
      <c r="A78" s="368" t="s">
        <v>526</v>
      </c>
      <c r="B78" s="369" t="s">
        <v>525</v>
      </c>
      <c r="C78" s="369" t="s">
        <v>555</v>
      </c>
      <c r="D78" s="369" t="s">
        <v>3</v>
      </c>
      <c r="E78" s="379" t="s">
        <v>589</v>
      </c>
      <c r="F78" s="369" t="s">
        <v>520</v>
      </c>
      <c r="G78" s="369"/>
      <c r="H78" s="402"/>
      <c r="I78" s="402"/>
      <c r="J78" s="402"/>
      <c r="K78" s="402"/>
      <c r="L78" s="402"/>
      <c r="M78" s="402"/>
      <c r="N78" s="402"/>
      <c r="O78" s="402"/>
      <c r="P78" s="402"/>
      <c r="Q78" s="402"/>
      <c r="R78" s="402"/>
      <c r="S78" s="402"/>
      <c r="T78" s="402"/>
      <c r="U78" s="402"/>
      <c r="V78" s="402"/>
      <c r="W78" s="402"/>
      <c r="X78" s="402"/>
      <c r="Y78" s="402"/>
      <c r="Z78" s="402"/>
      <c r="AA78" s="402"/>
      <c r="AB78" s="402"/>
      <c r="AC78" s="402"/>
      <c r="AD78" s="402"/>
      <c r="AE78" s="402"/>
      <c r="AF78" s="402"/>
      <c r="AG78" s="402"/>
      <c r="AH78" s="402"/>
      <c r="AI78" s="402"/>
      <c r="AJ78" s="402"/>
      <c r="AK78" s="402"/>
      <c r="AL78" s="402"/>
      <c r="AM78" s="402"/>
      <c r="AN78" s="402"/>
      <c r="AO78" s="402"/>
      <c r="AP78" s="402"/>
      <c r="AQ78" s="402"/>
      <c r="AR78" s="402"/>
      <c r="AS78" s="402"/>
      <c r="AT78" s="402"/>
      <c r="AU78" s="402"/>
      <c r="AV78" s="402"/>
      <c r="AW78" s="402"/>
      <c r="AX78" s="402"/>
      <c r="AY78" s="402"/>
      <c r="AZ78" s="402"/>
      <c r="BA78" s="402"/>
      <c r="BB78" s="402"/>
      <c r="BC78" s="402"/>
      <c r="BD78" s="402"/>
      <c r="BE78" s="402"/>
      <c r="BF78" s="402"/>
      <c r="BG78" s="402"/>
      <c r="BH78" s="402"/>
      <c r="BI78" s="402"/>
      <c r="BJ78" s="402"/>
      <c r="BK78" s="402"/>
      <c r="BL78" s="402"/>
      <c r="BM78" s="402"/>
      <c r="BN78" s="402"/>
      <c r="BO78" s="402"/>
      <c r="BP78" s="402"/>
      <c r="BQ78" s="402"/>
      <c r="BR78" s="402"/>
      <c r="BS78" s="402"/>
      <c r="BT78" s="402"/>
      <c r="BU78" s="402"/>
      <c r="BV78" s="402"/>
      <c r="BW78" s="402"/>
      <c r="BX78" s="402"/>
      <c r="BY78" s="402"/>
      <c r="BZ78" s="402"/>
      <c r="CA78" s="402"/>
      <c r="CB78" s="402"/>
      <c r="CC78" s="402"/>
      <c r="CD78" s="402"/>
      <c r="CE78" s="401"/>
      <c r="CF78" s="402"/>
      <c r="CG78" s="402"/>
      <c r="CH78" s="402"/>
      <c r="CI78" s="402"/>
      <c r="CJ78" s="402"/>
      <c r="CK78" s="402"/>
      <c r="CL78" s="402"/>
      <c r="CM78" s="401"/>
      <c r="CN78" s="402"/>
      <c r="CO78" s="401"/>
      <c r="CP78" s="402"/>
      <c r="CQ78" s="402"/>
      <c r="CR78" s="402"/>
      <c r="CS78" s="402"/>
      <c r="CT78" s="402"/>
      <c r="CU78" s="402"/>
      <c r="CV78" s="402"/>
      <c r="CW78" s="402"/>
      <c r="CX78" s="402"/>
      <c r="CY78" s="402"/>
      <c r="CZ78" s="402"/>
      <c r="DA78" s="402"/>
      <c r="DB78" s="402"/>
      <c r="DC78" s="402"/>
      <c r="DD78" s="402"/>
      <c r="DE78" s="402"/>
      <c r="DF78" s="402"/>
      <c r="DG78" s="402"/>
      <c r="DH78" s="402"/>
      <c r="DI78" s="402"/>
      <c r="DJ78" s="402"/>
      <c r="DK78" s="402"/>
      <c r="DL78" s="402"/>
      <c r="DM78" s="402"/>
      <c r="DN78" s="402"/>
      <c r="DO78" s="402"/>
      <c r="DP78" s="402"/>
      <c r="DQ78" s="402"/>
      <c r="DR78" s="402"/>
      <c r="DS78" s="402"/>
      <c r="DT78" s="402"/>
      <c r="DU78" s="402"/>
      <c r="DV78" s="402"/>
      <c r="DW78" s="402"/>
      <c r="DX78" s="402"/>
      <c r="DY78" s="402"/>
      <c r="DZ78" s="402"/>
      <c r="EA78" s="402"/>
      <c r="EB78" s="402"/>
      <c r="EC78" s="402"/>
      <c r="ED78" s="402"/>
      <c r="EE78" s="402"/>
      <c r="EF78" s="402"/>
      <c r="EG78" s="402"/>
      <c r="EH78" s="402"/>
      <c r="EI78" s="402"/>
      <c r="EJ78" s="402"/>
      <c r="EK78" s="402"/>
      <c r="EL78" s="402"/>
      <c r="EM78" s="402"/>
      <c r="EN78" s="402"/>
      <c r="EO78" s="402"/>
      <c r="EP78" s="402"/>
      <c r="EQ78" s="402"/>
      <c r="ER78" s="402"/>
      <c r="ES78" s="402"/>
      <c r="ET78" s="402"/>
      <c r="EU78" s="402"/>
      <c r="EV78" s="402"/>
      <c r="EW78" s="402"/>
      <c r="EX78" s="402"/>
      <c r="EY78" s="402"/>
      <c r="EZ78" s="402"/>
      <c r="FA78" s="402"/>
      <c r="FB78" s="402"/>
      <c r="FC78" s="402"/>
      <c r="FD78" s="402"/>
      <c r="FE78" s="402"/>
      <c r="FF78" s="402"/>
      <c r="FG78" s="402"/>
      <c r="FH78" s="402"/>
      <c r="FI78" s="402"/>
      <c r="FJ78" s="402"/>
      <c r="FK78" s="402"/>
      <c r="FL78" s="402"/>
      <c r="FM78" s="402"/>
      <c r="FN78" s="402"/>
      <c r="FO78" s="402"/>
      <c r="FP78" s="375"/>
      <c r="FQ78" s="376" t="s">
        <v>972</v>
      </c>
      <c r="FR78" s="377" t="s">
        <v>522</v>
      </c>
      <c r="FS78" s="377" t="s">
        <v>850</v>
      </c>
      <c r="FT78" s="377" t="s">
        <v>592</v>
      </c>
      <c r="FU78" s="144">
        <f t="shared" si="8"/>
        <v>0</v>
      </c>
      <c r="FV78" s="371" t="s">
        <v>905</v>
      </c>
    </row>
    <row r="79" spans="1:178" s="371" customFormat="1">
      <c r="A79" s="368" t="s">
        <v>926</v>
      </c>
      <c r="B79" s="369" t="s">
        <v>517</v>
      </c>
      <c r="C79" s="369" t="s">
        <v>555</v>
      </c>
      <c r="D79" s="369" t="s">
        <v>8</v>
      </c>
      <c r="E79" s="370" t="s">
        <v>992</v>
      </c>
      <c r="F79" s="369" t="s">
        <v>520</v>
      </c>
      <c r="G79" s="369" t="s">
        <v>993</v>
      </c>
      <c r="H79" s="401"/>
      <c r="I79" s="401"/>
      <c r="J79" s="401"/>
      <c r="K79" s="401"/>
      <c r="L79" s="401"/>
      <c r="M79" s="401"/>
      <c r="N79" s="401"/>
      <c r="O79" s="401"/>
      <c r="P79" s="401"/>
      <c r="Q79" s="401"/>
      <c r="R79" s="401"/>
      <c r="S79" s="401"/>
      <c r="T79" s="401"/>
      <c r="U79" s="401"/>
      <c r="V79" s="401"/>
      <c r="W79" s="401"/>
      <c r="X79" s="401"/>
      <c r="Y79" s="401"/>
      <c r="Z79" s="401"/>
      <c r="AA79" s="401"/>
      <c r="AB79" s="401"/>
      <c r="AC79" s="401"/>
      <c r="AD79" s="401"/>
      <c r="AE79" s="401"/>
      <c r="AF79" s="401"/>
      <c r="AG79" s="401"/>
      <c r="AH79" s="401"/>
      <c r="AI79" s="401"/>
      <c r="AJ79" s="401"/>
      <c r="AK79" s="401"/>
      <c r="AL79" s="401"/>
      <c r="AM79" s="401"/>
      <c r="AN79" s="401"/>
      <c r="AO79" s="401"/>
      <c r="AP79" s="401"/>
      <c r="AQ79" s="401"/>
      <c r="AR79" s="401"/>
      <c r="AS79" s="401"/>
      <c r="AT79" s="401"/>
      <c r="AU79" s="401"/>
      <c r="AV79" s="401"/>
      <c r="AW79" s="401"/>
      <c r="AX79" s="401"/>
      <c r="AY79" s="401"/>
      <c r="AZ79" s="401"/>
      <c r="BA79" s="402"/>
      <c r="BB79" s="401"/>
      <c r="BC79" s="401"/>
      <c r="BD79" s="401"/>
      <c r="BE79" s="401"/>
      <c r="BF79" s="401"/>
      <c r="BG79" s="401"/>
      <c r="BH79" s="401"/>
      <c r="BI79" s="401"/>
      <c r="BJ79" s="401"/>
      <c r="BK79" s="401"/>
      <c r="BL79" s="401"/>
      <c r="BM79" s="401"/>
      <c r="BN79" s="401"/>
      <c r="BO79" s="401"/>
      <c r="BP79" s="401"/>
      <c r="BQ79" s="401"/>
      <c r="BR79" s="401"/>
      <c r="BS79" s="401"/>
      <c r="BT79" s="401"/>
      <c r="BU79" s="401"/>
      <c r="BV79" s="401"/>
      <c r="BW79" s="401"/>
      <c r="BX79" s="401"/>
      <c r="BY79" s="401"/>
      <c r="BZ79" s="401"/>
      <c r="CA79" s="401"/>
      <c r="CB79" s="401"/>
      <c r="CC79" s="401"/>
      <c r="CD79" s="401"/>
      <c r="CE79" s="401"/>
      <c r="CF79" s="401"/>
      <c r="CG79" s="401"/>
      <c r="CH79" s="401"/>
      <c r="CI79" s="401"/>
      <c r="CJ79" s="401"/>
      <c r="CK79" s="401"/>
      <c r="CL79" s="401"/>
      <c r="CM79" s="401"/>
      <c r="CN79" s="401"/>
      <c r="CO79" s="401"/>
      <c r="CP79" s="401"/>
      <c r="CQ79" s="401"/>
      <c r="CR79" s="401"/>
      <c r="CS79" s="401"/>
      <c r="CT79" s="401"/>
      <c r="CU79" s="401"/>
      <c r="CV79" s="401"/>
      <c r="CW79" s="401"/>
      <c r="CX79" s="401"/>
      <c r="CY79" s="401"/>
      <c r="CZ79" s="401"/>
      <c r="DA79" s="401"/>
      <c r="DB79" s="401"/>
      <c r="DC79" s="401"/>
      <c r="DD79" s="401"/>
      <c r="DE79" s="401"/>
      <c r="DF79" s="401"/>
      <c r="DG79" s="401"/>
      <c r="DH79" s="401"/>
      <c r="DI79" s="401"/>
      <c r="DJ79" s="401"/>
      <c r="DK79" s="401"/>
      <c r="DL79" s="401"/>
      <c r="DM79" s="401"/>
      <c r="DN79" s="401"/>
      <c r="DO79" s="402"/>
      <c r="DP79" s="401"/>
      <c r="DQ79" s="401"/>
      <c r="DR79" s="401"/>
      <c r="DS79" s="401"/>
      <c r="DT79" s="401"/>
      <c r="DU79" s="401"/>
      <c r="DV79" s="401"/>
      <c r="DW79" s="401"/>
      <c r="DX79" s="401"/>
      <c r="DY79" s="401"/>
      <c r="DZ79" s="401"/>
      <c r="EA79" s="401"/>
      <c r="EB79" s="401"/>
      <c r="EC79" s="401"/>
      <c r="ED79" s="401"/>
      <c r="EE79" s="401"/>
      <c r="EF79" s="401"/>
      <c r="EG79" s="401"/>
      <c r="EH79" s="401"/>
      <c r="EI79" s="401"/>
      <c r="EJ79" s="401"/>
      <c r="EK79" s="401"/>
      <c r="EL79" s="401"/>
      <c r="EM79" s="402"/>
      <c r="EN79" s="401"/>
      <c r="EO79" s="401"/>
      <c r="EP79" s="401"/>
      <c r="EQ79" s="401"/>
      <c r="ER79" s="401"/>
      <c r="ES79" s="401"/>
      <c r="ET79" s="401"/>
      <c r="EU79" s="401"/>
      <c r="EV79" s="401"/>
      <c r="EW79" s="401"/>
      <c r="EX79" s="401"/>
      <c r="EY79" s="401"/>
      <c r="EZ79" s="401"/>
      <c r="FA79" s="401"/>
      <c r="FB79" s="401"/>
      <c r="FC79" s="401"/>
      <c r="FD79" s="401"/>
      <c r="FE79" s="401"/>
      <c r="FF79" s="401"/>
      <c r="FG79" s="401"/>
      <c r="FH79" s="401"/>
      <c r="FI79" s="401"/>
      <c r="FJ79" s="401"/>
      <c r="FK79" s="401"/>
      <c r="FL79" s="401"/>
      <c r="FM79" s="401"/>
      <c r="FN79" s="401"/>
      <c r="FO79" s="401"/>
      <c r="FP79" s="375" t="s">
        <v>850</v>
      </c>
      <c r="FQ79" s="376" t="s">
        <v>972</v>
      </c>
      <c r="FR79" s="377" t="s">
        <v>522</v>
      </c>
      <c r="FS79" s="377" t="s">
        <v>596</v>
      </c>
      <c r="FT79" s="377" t="s">
        <v>577</v>
      </c>
      <c r="FU79" s="144">
        <f t="shared" si="8"/>
        <v>0</v>
      </c>
      <c r="FV79" s="371" t="s">
        <v>913</v>
      </c>
    </row>
    <row r="80" spans="1:178" s="371" customFormat="1">
      <c r="A80" s="368" t="s">
        <v>926</v>
      </c>
      <c r="B80" s="369" t="s">
        <v>517</v>
      </c>
      <c r="C80" s="369" t="s">
        <v>555</v>
      </c>
      <c r="D80" s="369" t="s">
        <v>4</v>
      </c>
      <c r="E80" s="370" t="s">
        <v>992</v>
      </c>
      <c r="F80" s="369" t="s">
        <v>520</v>
      </c>
      <c r="G80" s="369" t="s">
        <v>993</v>
      </c>
      <c r="H80" s="402" t="s">
        <v>850</v>
      </c>
      <c r="I80" s="402" t="s">
        <v>850</v>
      </c>
      <c r="J80" s="402" t="s">
        <v>850</v>
      </c>
      <c r="K80" s="402"/>
      <c r="L80" s="402" t="s">
        <v>850</v>
      </c>
      <c r="M80" s="402" t="s">
        <v>850</v>
      </c>
      <c r="N80" s="402"/>
      <c r="O80" s="402"/>
      <c r="P80" s="402" t="s">
        <v>850</v>
      </c>
      <c r="Q80" s="402" t="s">
        <v>850</v>
      </c>
      <c r="R80" s="402" t="s">
        <v>850</v>
      </c>
      <c r="S80" s="402" t="s">
        <v>850</v>
      </c>
      <c r="T80" s="402"/>
      <c r="U80" s="402" t="s">
        <v>850</v>
      </c>
      <c r="V80" s="402" t="s">
        <v>850</v>
      </c>
      <c r="W80" s="402" t="s">
        <v>850</v>
      </c>
      <c r="X80" s="402"/>
      <c r="Y80" s="402"/>
      <c r="Z80" s="402"/>
      <c r="AA80" s="402"/>
      <c r="AB80" s="402"/>
      <c r="AC80" s="402" t="s">
        <v>850</v>
      </c>
      <c r="AD80" s="402"/>
      <c r="AE80" s="402" t="s">
        <v>850</v>
      </c>
      <c r="AF80" s="402" t="s">
        <v>850</v>
      </c>
      <c r="AG80" s="402" t="s">
        <v>850</v>
      </c>
      <c r="AH80" s="402" t="s">
        <v>850</v>
      </c>
      <c r="AI80" s="402" t="s">
        <v>850</v>
      </c>
      <c r="AJ80" s="402" t="s">
        <v>850</v>
      </c>
      <c r="AK80" s="402" t="s">
        <v>850</v>
      </c>
      <c r="AL80" s="402" t="s">
        <v>850</v>
      </c>
      <c r="AM80" s="402" t="s">
        <v>850</v>
      </c>
      <c r="AN80" s="402" t="s">
        <v>850</v>
      </c>
      <c r="AO80" s="402" t="s">
        <v>850</v>
      </c>
      <c r="AP80" s="402" t="s">
        <v>850</v>
      </c>
      <c r="AQ80" s="402" t="s">
        <v>850</v>
      </c>
      <c r="AR80" s="402" t="s">
        <v>850</v>
      </c>
      <c r="AS80" s="402" t="s">
        <v>850</v>
      </c>
      <c r="AT80" s="402" t="s">
        <v>850</v>
      </c>
      <c r="AU80" s="402"/>
      <c r="AV80" s="402" t="s">
        <v>850</v>
      </c>
      <c r="AW80" s="402" t="s">
        <v>850</v>
      </c>
      <c r="AX80" s="402"/>
      <c r="AY80" s="402" t="s">
        <v>850</v>
      </c>
      <c r="AZ80" s="402" t="s">
        <v>850</v>
      </c>
      <c r="BA80" s="402"/>
      <c r="BB80" s="402" t="s">
        <v>850</v>
      </c>
      <c r="BC80" s="402" t="s">
        <v>850</v>
      </c>
      <c r="BD80" s="402"/>
      <c r="BE80" s="402" t="s">
        <v>850</v>
      </c>
      <c r="BF80" s="402" t="s">
        <v>850</v>
      </c>
      <c r="BG80" s="402"/>
      <c r="BH80" s="402" t="s">
        <v>850</v>
      </c>
      <c r="BI80" s="402" t="s">
        <v>850</v>
      </c>
      <c r="BJ80" s="402" t="s">
        <v>850</v>
      </c>
      <c r="BK80" s="402" t="s">
        <v>850</v>
      </c>
      <c r="BL80" s="402"/>
      <c r="BM80" s="402"/>
      <c r="BN80" s="402"/>
      <c r="BO80" s="402"/>
      <c r="BP80" s="402"/>
      <c r="BQ80" s="402"/>
      <c r="BR80" s="402" t="s">
        <v>850</v>
      </c>
      <c r="BS80" s="402"/>
      <c r="BT80" s="402"/>
      <c r="BU80" s="402" t="s">
        <v>850</v>
      </c>
      <c r="BV80" s="402" t="s">
        <v>850</v>
      </c>
      <c r="BW80" s="402"/>
      <c r="BX80" s="402"/>
      <c r="BY80" s="402"/>
      <c r="BZ80" s="402"/>
      <c r="CA80" s="402" t="s">
        <v>850</v>
      </c>
      <c r="CB80" s="402"/>
      <c r="CC80" s="402"/>
      <c r="CD80" s="402"/>
      <c r="CE80" s="401"/>
      <c r="CF80" s="402" t="s">
        <v>850</v>
      </c>
      <c r="CG80" s="402"/>
      <c r="CH80" s="402"/>
      <c r="CI80" s="402"/>
      <c r="CJ80" s="402"/>
      <c r="CK80" s="402"/>
      <c r="CL80" s="402"/>
      <c r="CM80" s="401"/>
      <c r="CN80" s="402"/>
      <c r="CO80" s="401"/>
      <c r="CP80" s="402" t="s">
        <v>850</v>
      </c>
      <c r="CQ80" s="402" t="s">
        <v>850</v>
      </c>
      <c r="CR80" s="402"/>
      <c r="CS80" s="402" t="s">
        <v>850</v>
      </c>
      <c r="CT80" s="402" t="s">
        <v>850</v>
      </c>
      <c r="CU80" s="402" t="s">
        <v>850</v>
      </c>
      <c r="CV80" s="403">
        <f>100-100+25</f>
        <v>25</v>
      </c>
      <c r="CW80" s="402"/>
      <c r="CX80" s="403">
        <f>200-200+10</f>
        <v>10</v>
      </c>
      <c r="CY80" s="402"/>
      <c r="CZ80" s="402"/>
      <c r="DA80" s="402"/>
      <c r="DB80" s="402" t="s">
        <v>850</v>
      </c>
      <c r="DC80" s="402" t="s">
        <v>850</v>
      </c>
      <c r="DD80" s="403">
        <f>200-200+10</f>
        <v>10</v>
      </c>
      <c r="DE80" s="402" t="s">
        <v>850</v>
      </c>
      <c r="DF80" s="403">
        <f>100-100+1</f>
        <v>1</v>
      </c>
      <c r="DG80" s="403">
        <f>200-200+2</f>
        <v>2</v>
      </c>
      <c r="DH80" s="402" t="s">
        <v>850</v>
      </c>
      <c r="DI80" s="402" t="s">
        <v>850</v>
      </c>
      <c r="DJ80" s="403">
        <f>200-200</f>
        <v>0</v>
      </c>
      <c r="DK80" s="402" t="s">
        <v>850</v>
      </c>
      <c r="DL80" s="402" t="s">
        <v>850</v>
      </c>
      <c r="DM80" s="402" t="s">
        <v>850</v>
      </c>
      <c r="DN80" s="402" t="s">
        <v>850</v>
      </c>
      <c r="DO80" s="402"/>
      <c r="DP80" s="402"/>
      <c r="DQ80" s="402" t="s">
        <v>850</v>
      </c>
      <c r="DR80" s="402" t="s">
        <v>850</v>
      </c>
      <c r="DS80" s="402"/>
      <c r="DT80" s="402" t="s">
        <v>850</v>
      </c>
      <c r="DU80" s="402"/>
      <c r="DV80" s="402" t="s">
        <v>850</v>
      </c>
      <c r="DW80" s="402"/>
      <c r="DX80" s="402" t="s">
        <v>850</v>
      </c>
      <c r="DY80" s="402"/>
      <c r="DZ80" s="402" t="s">
        <v>850</v>
      </c>
      <c r="EA80" s="402" t="s">
        <v>850</v>
      </c>
      <c r="EB80" s="402" t="s">
        <v>850</v>
      </c>
      <c r="EC80" s="402" t="s">
        <v>850</v>
      </c>
      <c r="ED80" s="402" t="s">
        <v>850</v>
      </c>
      <c r="EE80" s="402"/>
      <c r="EF80" s="402" t="s">
        <v>850</v>
      </c>
      <c r="EG80" s="402"/>
      <c r="EH80" s="402"/>
      <c r="EI80" s="402" t="s">
        <v>850</v>
      </c>
      <c r="EJ80" s="402" t="s">
        <v>850</v>
      </c>
      <c r="EK80" s="402" t="s">
        <v>850</v>
      </c>
      <c r="EL80" s="402" t="s">
        <v>850</v>
      </c>
      <c r="EM80" s="402"/>
      <c r="EN80" s="402" t="s">
        <v>850</v>
      </c>
      <c r="EO80" s="402" t="s">
        <v>850</v>
      </c>
      <c r="EP80" s="402" t="s">
        <v>850</v>
      </c>
      <c r="EQ80" s="402"/>
      <c r="ER80" s="402" t="s">
        <v>850</v>
      </c>
      <c r="ES80" s="402" t="s">
        <v>850</v>
      </c>
      <c r="ET80" s="402" t="s">
        <v>850</v>
      </c>
      <c r="EU80" s="402"/>
      <c r="EV80" s="402"/>
      <c r="EW80" s="402"/>
      <c r="EX80" s="402"/>
      <c r="EY80" s="402" t="s">
        <v>850</v>
      </c>
      <c r="EZ80" s="402"/>
      <c r="FA80" s="402"/>
      <c r="FB80" s="402"/>
      <c r="FC80" s="402"/>
      <c r="FD80" s="402"/>
      <c r="FE80" s="402" t="s">
        <v>850</v>
      </c>
      <c r="FF80" s="402"/>
      <c r="FG80" s="402" t="s">
        <v>850</v>
      </c>
      <c r="FH80" s="402"/>
      <c r="FI80" s="402" t="s">
        <v>850</v>
      </c>
      <c r="FJ80" s="402" t="s">
        <v>850</v>
      </c>
      <c r="FK80" s="402"/>
      <c r="FL80" s="402" t="s">
        <v>850</v>
      </c>
      <c r="FM80" s="402" t="s">
        <v>850</v>
      </c>
      <c r="FN80" s="402" t="s">
        <v>850</v>
      </c>
      <c r="FO80" s="402" t="s">
        <v>850</v>
      </c>
      <c r="FP80" s="375"/>
      <c r="FQ80" s="376" t="s">
        <v>972</v>
      </c>
      <c r="FR80" s="377" t="s">
        <v>522</v>
      </c>
      <c r="FS80" s="377" t="s">
        <v>596</v>
      </c>
      <c r="FT80" s="377" t="s">
        <v>577</v>
      </c>
      <c r="FU80" s="144">
        <f t="shared" si="8"/>
        <v>48</v>
      </c>
      <c r="FV80" s="371" t="s">
        <v>913</v>
      </c>
    </row>
    <row r="81" spans="1:178" s="371" customFormat="1">
      <c r="A81" s="368" t="s">
        <v>926</v>
      </c>
      <c r="B81" s="369" t="s">
        <v>517</v>
      </c>
      <c r="C81" s="369" t="s">
        <v>555</v>
      </c>
      <c r="D81" s="369" t="s">
        <v>3</v>
      </c>
      <c r="E81" s="370" t="s">
        <v>992</v>
      </c>
      <c r="F81" s="369" t="s">
        <v>520</v>
      </c>
      <c r="G81" s="369" t="s">
        <v>994</v>
      </c>
      <c r="H81" s="402"/>
      <c r="I81" s="402"/>
      <c r="J81" s="402"/>
      <c r="K81" s="402"/>
      <c r="L81" s="402"/>
      <c r="M81" s="402"/>
      <c r="N81" s="402"/>
      <c r="O81" s="402"/>
      <c r="P81" s="402"/>
      <c r="Q81" s="402"/>
      <c r="R81" s="402"/>
      <c r="S81" s="402"/>
      <c r="T81" s="402"/>
      <c r="U81" s="402"/>
      <c r="V81" s="402"/>
      <c r="W81" s="402"/>
      <c r="X81" s="402"/>
      <c r="Y81" s="402"/>
      <c r="Z81" s="402"/>
      <c r="AA81" s="402"/>
      <c r="AB81" s="402"/>
      <c r="AC81" s="402"/>
      <c r="AD81" s="402"/>
      <c r="AE81" s="402"/>
      <c r="AF81" s="402"/>
      <c r="AG81" s="402"/>
      <c r="AH81" s="402"/>
      <c r="AI81" s="402"/>
      <c r="AJ81" s="402"/>
      <c r="AK81" s="402"/>
      <c r="AL81" s="402"/>
      <c r="AM81" s="402"/>
      <c r="AN81" s="402"/>
      <c r="AO81" s="402"/>
      <c r="AP81" s="402"/>
      <c r="AQ81" s="402"/>
      <c r="AR81" s="402"/>
      <c r="AS81" s="402"/>
      <c r="AT81" s="402"/>
      <c r="AU81" s="402"/>
      <c r="AV81" s="402"/>
      <c r="AW81" s="402"/>
      <c r="AX81" s="402"/>
      <c r="AY81" s="402"/>
      <c r="AZ81" s="402"/>
      <c r="BA81" s="402"/>
      <c r="BB81" s="402"/>
      <c r="BC81" s="402"/>
      <c r="BD81" s="402"/>
      <c r="BE81" s="402"/>
      <c r="BF81" s="402"/>
      <c r="BG81" s="402"/>
      <c r="BH81" s="402"/>
      <c r="BI81" s="402"/>
      <c r="BJ81" s="402"/>
      <c r="BK81" s="402"/>
      <c r="BL81" s="402"/>
      <c r="BM81" s="402"/>
      <c r="BN81" s="402"/>
      <c r="BO81" s="402"/>
      <c r="BP81" s="402"/>
      <c r="BQ81" s="402"/>
      <c r="BR81" s="402"/>
      <c r="BS81" s="402"/>
      <c r="BT81" s="402"/>
      <c r="BU81" s="402"/>
      <c r="BV81" s="402"/>
      <c r="BW81" s="402"/>
      <c r="BX81" s="402"/>
      <c r="BY81" s="402"/>
      <c r="BZ81" s="402"/>
      <c r="CA81" s="402"/>
      <c r="CB81" s="402"/>
      <c r="CC81" s="402"/>
      <c r="CD81" s="402"/>
      <c r="CE81" s="401"/>
      <c r="CF81" s="402"/>
      <c r="CG81" s="402"/>
      <c r="CH81" s="402"/>
      <c r="CI81" s="402"/>
      <c r="CJ81" s="402"/>
      <c r="CK81" s="402"/>
      <c r="CL81" s="402"/>
      <c r="CM81" s="401"/>
      <c r="CN81" s="402"/>
      <c r="CO81" s="401"/>
      <c r="CP81" s="402"/>
      <c r="CQ81" s="402"/>
      <c r="CR81" s="402"/>
      <c r="CS81" s="402"/>
      <c r="CT81" s="402"/>
      <c r="CU81" s="402"/>
      <c r="CV81" s="402"/>
      <c r="CW81" s="402"/>
      <c r="CX81" s="402"/>
      <c r="CY81" s="402"/>
      <c r="CZ81" s="402"/>
      <c r="DA81" s="402"/>
      <c r="DB81" s="402"/>
      <c r="DC81" s="402"/>
      <c r="DD81" s="402"/>
      <c r="DE81" s="402"/>
      <c r="DF81" s="402"/>
      <c r="DG81" s="402"/>
      <c r="DH81" s="402"/>
      <c r="DI81" s="402"/>
      <c r="DJ81" s="402"/>
      <c r="DK81" s="402"/>
      <c r="DL81" s="402"/>
      <c r="DM81" s="402"/>
      <c r="DN81" s="402"/>
      <c r="DO81" s="402"/>
      <c r="DP81" s="402"/>
      <c r="DQ81" s="402"/>
      <c r="DR81" s="402"/>
      <c r="DS81" s="402"/>
      <c r="DT81" s="402"/>
      <c r="DU81" s="402"/>
      <c r="DV81" s="402"/>
      <c r="DW81" s="402"/>
      <c r="DX81" s="402"/>
      <c r="DY81" s="402"/>
      <c r="DZ81" s="402"/>
      <c r="EA81" s="402"/>
      <c r="EB81" s="402"/>
      <c r="EC81" s="402"/>
      <c r="ED81" s="402"/>
      <c r="EE81" s="402"/>
      <c r="EF81" s="402"/>
      <c r="EG81" s="402"/>
      <c r="EH81" s="402"/>
      <c r="EI81" s="402"/>
      <c r="EJ81" s="402"/>
      <c r="EK81" s="402"/>
      <c r="EL81" s="402"/>
      <c r="EM81" s="402"/>
      <c r="EN81" s="402"/>
      <c r="EO81" s="402"/>
      <c r="EP81" s="402"/>
      <c r="EQ81" s="402"/>
      <c r="ER81" s="402"/>
      <c r="ES81" s="402"/>
      <c r="ET81" s="402"/>
      <c r="EU81" s="402"/>
      <c r="EV81" s="402"/>
      <c r="EW81" s="402"/>
      <c r="EX81" s="402"/>
      <c r="EY81" s="402"/>
      <c r="EZ81" s="402"/>
      <c r="FA81" s="402"/>
      <c r="FB81" s="402"/>
      <c r="FC81" s="402"/>
      <c r="FD81" s="402"/>
      <c r="FE81" s="402"/>
      <c r="FF81" s="402"/>
      <c r="FG81" s="402"/>
      <c r="FH81" s="402"/>
      <c r="FI81" s="402"/>
      <c r="FJ81" s="402"/>
      <c r="FK81" s="402"/>
      <c r="FL81" s="402"/>
      <c r="FM81" s="402"/>
      <c r="FN81" s="402"/>
      <c r="FO81" s="402"/>
      <c r="FP81" s="375"/>
      <c r="FQ81" s="376" t="s">
        <v>972</v>
      </c>
      <c r="FR81" s="377" t="s">
        <v>522</v>
      </c>
      <c r="FS81" s="377" t="s">
        <v>596</v>
      </c>
      <c r="FT81" s="377" t="s">
        <v>577</v>
      </c>
      <c r="FU81" s="144">
        <f t="shared" si="8"/>
        <v>0</v>
      </c>
      <c r="FV81" s="371" t="s">
        <v>913</v>
      </c>
    </row>
    <row r="82" spans="1:178" s="371" customFormat="1">
      <c r="A82" s="368" t="s">
        <v>926</v>
      </c>
      <c r="B82" s="369" t="s">
        <v>517</v>
      </c>
      <c r="C82" s="369" t="s">
        <v>555</v>
      </c>
      <c r="D82" s="369" t="s">
        <v>8</v>
      </c>
      <c r="E82" s="375" t="s">
        <v>819</v>
      </c>
      <c r="F82" s="369" t="s">
        <v>520</v>
      </c>
      <c r="G82" s="369" t="s">
        <v>995</v>
      </c>
      <c r="H82" s="401"/>
      <c r="I82" s="401"/>
      <c r="J82" s="401"/>
      <c r="K82" s="401"/>
      <c r="L82" s="401"/>
      <c r="M82" s="401"/>
      <c r="N82" s="401"/>
      <c r="O82" s="401"/>
      <c r="P82" s="401"/>
      <c r="Q82" s="401"/>
      <c r="R82" s="401"/>
      <c r="S82" s="401"/>
      <c r="T82" s="401"/>
      <c r="U82" s="401"/>
      <c r="V82" s="401"/>
      <c r="W82" s="401"/>
      <c r="X82" s="401"/>
      <c r="Y82" s="401"/>
      <c r="Z82" s="401"/>
      <c r="AA82" s="401"/>
      <c r="AB82" s="401"/>
      <c r="AC82" s="401"/>
      <c r="AD82" s="401"/>
      <c r="AE82" s="401"/>
      <c r="AF82" s="401"/>
      <c r="AG82" s="401"/>
      <c r="AH82" s="401"/>
      <c r="AI82" s="401"/>
      <c r="AJ82" s="401"/>
      <c r="AK82" s="401"/>
      <c r="AL82" s="401"/>
      <c r="AM82" s="401"/>
      <c r="AN82" s="401"/>
      <c r="AO82" s="401"/>
      <c r="AP82" s="401"/>
      <c r="AQ82" s="401"/>
      <c r="AR82" s="401"/>
      <c r="AS82" s="401"/>
      <c r="AT82" s="401"/>
      <c r="AU82" s="401"/>
      <c r="AV82" s="401"/>
      <c r="AW82" s="401"/>
      <c r="AX82" s="401"/>
      <c r="AY82" s="401"/>
      <c r="AZ82" s="401"/>
      <c r="BA82" s="402"/>
      <c r="BB82" s="401"/>
      <c r="BC82" s="401"/>
      <c r="BD82" s="401"/>
      <c r="BE82" s="401"/>
      <c r="BF82" s="401"/>
      <c r="BG82" s="401"/>
      <c r="BH82" s="401"/>
      <c r="BI82" s="401"/>
      <c r="BJ82" s="401"/>
      <c r="BK82" s="401"/>
      <c r="BL82" s="401"/>
      <c r="BM82" s="401"/>
      <c r="BN82" s="401"/>
      <c r="BO82" s="401"/>
      <c r="BP82" s="401"/>
      <c r="BQ82" s="401"/>
      <c r="BR82" s="401"/>
      <c r="BS82" s="401"/>
      <c r="BT82" s="401"/>
      <c r="BU82" s="401"/>
      <c r="BV82" s="401"/>
      <c r="BW82" s="401"/>
      <c r="BX82" s="401"/>
      <c r="BY82" s="401"/>
      <c r="BZ82" s="401"/>
      <c r="CA82" s="401"/>
      <c r="CB82" s="401"/>
      <c r="CC82" s="401"/>
      <c r="CD82" s="401"/>
      <c r="CE82" s="401"/>
      <c r="CF82" s="401"/>
      <c r="CG82" s="401"/>
      <c r="CH82" s="401"/>
      <c r="CI82" s="401"/>
      <c r="CJ82" s="401"/>
      <c r="CK82" s="401"/>
      <c r="CL82" s="401"/>
      <c r="CM82" s="401"/>
      <c r="CN82" s="401"/>
      <c r="CO82" s="401"/>
      <c r="CP82" s="401"/>
      <c r="CQ82" s="401"/>
      <c r="CR82" s="401"/>
      <c r="CS82" s="401"/>
      <c r="CT82" s="401"/>
      <c r="CU82" s="401"/>
      <c r="CV82" s="401"/>
      <c r="CW82" s="401"/>
      <c r="CX82" s="401"/>
      <c r="CY82" s="401"/>
      <c r="CZ82" s="411">
        <v>10</v>
      </c>
      <c r="DA82" s="401"/>
      <c r="DB82" s="401"/>
      <c r="DC82" s="401"/>
      <c r="DD82" s="401"/>
      <c r="DE82" s="401"/>
      <c r="DF82" s="401"/>
      <c r="DG82" s="401"/>
      <c r="DH82" s="401"/>
      <c r="DI82" s="401"/>
      <c r="DJ82" s="401"/>
      <c r="DK82" s="401"/>
      <c r="DL82" s="401"/>
      <c r="DM82" s="401"/>
      <c r="DN82" s="401"/>
      <c r="DO82" s="402"/>
      <c r="DP82" s="401"/>
      <c r="DQ82" s="401"/>
      <c r="DR82" s="401"/>
      <c r="DS82" s="401"/>
      <c r="DT82" s="401"/>
      <c r="DU82" s="411">
        <v>20</v>
      </c>
      <c r="DV82" s="401"/>
      <c r="DW82" s="401"/>
      <c r="DX82" s="401"/>
      <c r="DY82" s="401"/>
      <c r="DZ82" s="401"/>
      <c r="EA82" s="401"/>
      <c r="EB82" s="401"/>
      <c r="EC82" s="401"/>
      <c r="ED82" s="401"/>
      <c r="EE82" s="411">
        <v>5</v>
      </c>
      <c r="EF82" s="401"/>
      <c r="EG82" s="401"/>
      <c r="EH82" s="401"/>
      <c r="EI82" s="401"/>
      <c r="EJ82" s="401"/>
      <c r="EK82" s="401"/>
      <c r="EL82" s="401"/>
      <c r="EM82" s="402"/>
      <c r="EN82" s="401"/>
      <c r="EO82" s="401"/>
      <c r="EP82" s="401"/>
      <c r="EQ82" s="401"/>
      <c r="ER82" s="401"/>
      <c r="ES82" s="401"/>
      <c r="ET82" s="401"/>
      <c r="EU82" s="401"/>
      <c r="EV82" s="401"/>
      <c r="EW82" s="401"/>
      <c r="EX82" s="401"/>
      <c r="EY82" s="401"/>
      <c r="EZ82" s="401"/>
      <c r="FA82" s="401"/>
      <c r="FB82" s="401"/>
      <c r="FC82" s="401"/>
      <c r="FD82" s="401"/>
      <c r="FE82" s="401"/>
      <c r="FF82" s="401"/>
      <c r="FG82" s="401"/>
      <c r="FH82" s="401"/>
      <c r="FI82" s="401"/>
      <c r="FJ82" s="401"/>
      <c r="FK82" s="401"/>
      <c r="FL82" s="401"/>
      <c r="FM82" s="401"/>
      <c r="FN82" s="401"/>
      <c r="FO82" s="401"/>
      <c r="FP82" s="375" t="s">
        <v>850</v>
      </c>
      <c r="FQ82" s="376" t="s">
        <v>972</v>
      </c>
      <c r="FR82" s="377" t="s">
        <v>522</v>
      </c>
      <c r="FS82" s="377" t="s">
        <v>819</v>
      </c>
      <c r="FT82" s="377" t="s">
        <v>577</v>
      </c>
      <c r="FU82" s="144">
        <f t="shared" si="8"/>
        <v>35</v>
      </c>
      <c r="FV82" s="371" t="s">
        <v>913</v>
      </c>
    </row>
    <row r="83" spans="1:178" s="371" customFormat="1">
      <c r="A83" s="368" t="s">
        <v>926</v>
      </c>
      <c r="B83" s="369" t="s">
        <v>517</v>
      </c>
      <c r="C83" s="369" t="s">
        <v>555</v>
      </c>
      <c r="D83" s="369" t="s">
        <v>4</v>
      </c>
      <c r="E83" s="375" t="s">
        <v>819</v>
      </c>
      <c r="F83" s="369" t="s">
        <v>520</v>
      </c>
      <c r="G83" s="369" t="s">
        <v>995</v>
      </c>
      <c r="H83" s="402" t="s">
        <v>850</v>
      </c>
      <c r="I83" s="402" t="s">
        <v>850</v>
      </c>
      <c r="J83" s="402" t="s">
        <v>850</v>
      </c>
      <c r="K83" s="402"/>
      <c r="L83" s="402" t="s">
        <v>850</v>
      </c>
      <c r="M83" s="402" t="s">
        <v>850</v>
      </c>
      <c r="N83" s="402"/>
      <c r="O83" s="402"/>
      <c r="P83" s="402" t="s">
        <v>850</v>
      </c>
      <c r="Q83" s="402" t="s">
        <v>850</v>
      </c>
      <c r="R83" s="402" t="s">
        <v>850</v>
      </c>
      <c r="S83" s="402" t="s">
        <v>850</v>
      </c>
      <c r="T83" s="402"/>
      <c r="U83" s="402" t="s">
        <v>850</v>
      </c>
      <c r="V83" s="402" t="s">
        <v>850</v>
      </c>
      <c r="W83" s="402" t="s">
        <v>850</v>
      </c>
      <c r="X83" s="402"/>
      <c r="Y83" s="402"/>
      <c r="Z83" s="402"/>
      <c r="AA83" s="402"/>
      <c r="AB83" s="402"/>
      <c r="AC83" s="402" t="s">
        <v>850</v>
      </c>
      <c r="AD83" s="402"/>
      <c r="AE83" s="402" t="s">
        <v>850</v>
      </c>
      <c r="AF83" s="402" t="s">
        <v>850</v>
      </c>
      <c r="AG83" s="402" t="s">
        <v>850</v>
      </c>
      <c r="AH83" s="402" t="s">
        <v>850</v>
      </c>
      <c r="AI83" s="402" t="s">
        <v>850</v>
      </c>
      <c r="AJ83" s="402" t="s">
        <v>850</v>
      </c>
      <c r="AK83" s="402" t="s">
        <v>850</v>
      </c>
      <c r="AL83" s="402" t="s">
        <v>850</v>
      </c>
      <c r="AM83" s="402" t="s">
        <v>850</v>
      </c>
      <c r="AN83" s="402" t="s">
        <v>850</v>
      </c>
      <c r="AO83" s="402" t="s">
        <v>850</v>
      </c>
      <c r="AP83" s="402" t="s">
        <v>850</v>
      </c>
      <c r="AQ83" s="402" t="s">
        <v>850</v>
      </c>
      <c r="AR83" s="402" t="s">
        <v>850</v>
      </c>
      <c r="AS83" s="402" t="s">
        <v>850</v>
      </c>
      <c r="AT83" s="402" t="s">
        <v>850</v>
      </c>
      <c r="AU83" s="402"/>
      <c r="AV83" s="402" t="s">
        <v>850</v>
      </c>
      <c r="AW83" s="402" t="s">
        <v>850</v>
      </c>
      <c r="AX83" s="402"/>
      <c r="AY83" s="402" t="s">
        <v>850</v>
      </c>
      <c r="AZ83" s="403">
        <f>10-10</f>
        <v>0</v>
      </c>
      <c r="BA83" s="409">
        <v>5</v>
      </c>
      <c r="BB83" s="403">
        <f>20-20</f>
        <v>0</v>
      </c>
      <c r="BC83" s="403">
        <f>10-10</f>
        <v>0</v>
      </c>
      <c r="BD83" s="402"/>
      <c r="BE83" s="403">
        <f>10-10</f>
        <v>0</v>
      </c>
      <c r="BF83" s="402" t="s">
        <v>850</v>
      </c>
      <c r="BG83" s="402"/>
      <c r="BH83" s="402" t="s">
        <v>850</v>
      </c>
      <c r="BI83" s="402" t="s">
        <v>850</v>
      </c>
      <c r="BJ83" s="402" t="s">
        <v>850</v>
      </c>
      <c r="BK83" s="402" t="s">
        <v>850</v>
      </c>
      <c r="BL83" s="402"/>
      <c r="BM83" s="402"/>
      <c r="BN83" s="403">
        <f>30-30+1</f>
        <v>1</v>
      </c>
      <c r="BO83" s="403">
        <f>30-30+5</f>
        <v>5</v>
      </c>
      <c r="BP83" s="403">
        <f>30-30+5</f>
        <v>5</v>
      </c>
      <c r="BQ83" s="403">
        <f>30-30</f>
        <v>0</v>
      </c>
      <c r="BR83" s="402" t="s">
        <v>850</v>
      </c>
      <c r="BS83" s="402"/>
      <c r="BT83" s="402"/>
      <c r="BU83" s="402" t="s">
        <v>850</v>
      </c>
      <c r="BV83" s="402" t="s">
        <v>850</v>
      </c>
      <c r="BW83" s="402"/>
      <c r="BX83" s="402" t="s">
        <v>850</v>
      </c>
      <c r="BY83" s="403">
        <f>30-30+4</f>
        <v>4</v>
      </c>
      <c r="BZ83" s="403">
        <f>30-30</f>
        <v>0</v>
      </c>
      <c r="CA83" s="402" t="s">
        <v>850</v>
      </c>
      <c r="CB83" s="403">
        <f>50-50+5</f>
        <v>5</v>
      </c>
      <c r="CC83" s="403">
        <f>30-30</f>
        <v>0</v>
      </c>
      <c r="CD83" s="403">
        <f>50-50</f>
        <v>0</v>
      </c>
      <c r="CE83" s="401"/>
      <c r="CF83" s="402" t="s">
        <v>850</v>
      </c>
      <c r="CG83" s="402"/>
      <c r="CH83" s="403">
        <f>30-30+2</f>
        <v>2</v>
      </c>
      <c r="CI83" s="403">
        <f>50-50+5</f>
        <v>5</v>
      </c>
      <c r="CJ83" s="403">
        <f>30-30+1</f>
        <v>1</v>
      </c>
      <c r="CK83" s="403">
        <f>30-30</f>
        <v>0</v>
      </c>
      <c r="CL83" s="402" t="s">
        <v>850</v>
      </c>
      <c r="CM83" s="411">
        <v>5</v>
      </c>
      <c r="CN83" s="403">
        <f>30-30</f>
        <v>0</v>
      </c>
      <c r="CO83" s="411">
        <v>10</v>
      </c>
      <c r="CP83" s="403">
        <f>50-50</f>
        <v>0</v>
      </c>
      <c r="CQ83" s="403">
        <f>30-30</f>
        <v>0</v>
      </c>
      <c r="CR83" s="403">
        <f>50-50</f>
        <v>0</v>
      </c>
      <c r="CS83" s="402" t="s">
        <v>850</v>
      </c>
      <c r="CT83" s="402" t="s">
        <v>850</v>
      </c>
      <c r="CU83" s="403">
        <f>30-30</f>
        <v>0</v>
      </c>
      <c r="CV83" s="402"/>
      <c r="CW83" s="403">
        <f>50-50+10</f>
        <v>10</v>
      </c>
      <c r="CX83" s="403">
        <f>50-50+10</f>
        <v>10</v>
      </c>
      <c r="CY83" s="403">
        <f>30-30</f>
        <v>0</v>
      </c>
      <c r="CZ83" s="403">
        <f>50-50</f>
        <v>0</v>
      </c>
      <c r="DA83" s="402"/>
      <c r="DB83" s="402" t="s">
        <v>850</v>
      </c>
      <c r="DC83" s="402" t="s">
        <v>850</v>
      </c>
      <c r="DD83" s="402"/>
      <c r="DE83" s="402" t="s">
        <v>850</v>
      </c>
      <c r="DF83" s="403">
        <f>50-50</f>
        <v>0</v>
      </c>
      <c r="DG83" s="403">
        <f>50-50+1</f>
        <v>1</v>
      </c>
      <c r="DH83" s="403">
        <f>50-50</f>
        <v>0</v>
      </c>
      <c r="DI83" s="403">
        <f>50-50</f>
        <v>0</v>
      </c>
      <c r="DJ83" s="402" t="s">
        <v>850</v>
      </c>
      <c r="DK83" s="402" t="s">
        <v>850</v>
      </c>
      <c r="DL83" s="402" t="s">
        <v>850</v>
      </c>
      <c r="DM83" s="402" t="s">
        <v>850</v>
      </c>
      <c r="DN83" s="402" t="s">
        <v>850</v>
      </c>
      <c r="DO83" s="402"/>
      <c r="DP83" s="402"/>
      <c r="DQ83" s="403">
        <f>50-50</f>
        <v>0</v>
      </c>
      <c r="DR83" s="402" t="s">
        <v>850</v>
      </c>
      <c r="DS83" s="402"/>
      <c r="DT83" s="402" t="s">
        <v>850</v>
      </c>
      <c r="DU83" s="403">
        <f>100-100</f>
        <v>0</v>
      </c>
      <c r="DV83" s="402" t="s">
        <v>850</v>
      </c>
      <c r="DW83" s="403">
        <f>100-100+10</f>
        <v>10</v>
      </c>
      <c r="DX83" s="402" t="s">
        <v>850</v>
      </c>
      <c r="DY83" s="402"/>
      <c r="DZ83" s="403">
        <f>100-100</f>
        <v>0</v>
      </c>
      <c r="EA83" s="402" t="s">
        <v>850</v>
      </c>
      <c r="EB83" s="403">
        <f>100-100</f>
        <v>0</v>
      </c>
      <c r="EC83" s="403">
        <f>100-100</f>
        <v>0</v>
      </c>
      <c r="ED83" s="403">
        <f>50-50</f>
        <v>0</v>
      </c>
      <c r="EE83" s="403">
        <f>50-50</f>
        <v>0</v>
      </c>
      <c r="EF83" s="402" t="s">
        <v>850</v>
      </c>
      <c r="EG83" s="403">
        <f>100-100+2</f>
        <v>2</v>
      </c>
      <c r="EH83" s="402"/>
      <c r="EI83" s="403">
        <f>50-50</f>
        <v>0</v>
      </c>
      <c r="EJ83" s="402" t="s">
        <v>850</v>
      </c>
      <c r="EK83" s="403">
        <f>100-100</f>
        <v>0</v>
      </c>
      <c r="EL83" s="403">
        <f>100-100</f>
        <v>0</v>
      </c>
      <c r="EM83" s="411">
        <v>2</v>
      </c>
      <c r="EN83" s="403">
        <f>100-100</f>
        <v>0</v>
      </c>
      <c r="EO83" s="402" t="s">
        <v>850</v>
      </c>
      <c r="EP83" s="403">
        <f>100-100</f>
        <v>0</v>
      </c>
      <c r="EQ83" s="403">
        <f>100-100+5</f>
        <v>5</v>
      </c>
      <c r="ER83" s="402" t="s">
        <v>850</v>
      </c>
      <c r="ES83" s="402" t="s">
        <v>850</v>
      </c>
      <c r="ET83" s="402" t="s">
        <v>850</v>
      </c>
      <c r="EU83" s="402"/>
      <c r="EV83" s="402"/>
      <c r="EW83" s="402"/>
      <c r="EX83" s="402"/>
      <c r="EY83" s="402" t="s">
        <v>850</v>
      </c>
      <c r="EZ83" s="402"/>
      <c r="FA83" s="402"/>
      <c r="FB83" s="402"/>
      <c r="FC83" s="402"/>
      <c r="FD83" s="402"/>
      <c r="FE83" s="402" t="s">
        <v>850</v>
      </c>
      <c r="FF83" s="402"/>
      <c r="FG83" s="402" t="s">
        <v>850</v>
      </c>
      <c r="FH83" s="402"/>
      <c r="FI83" s="402" t="s">
        <v>850</v>
      </c>
      <c r="FJ83" s="402" t="s">
        <v>850</v>
      </c>
      <c r="FK83" s="402"/>
      <c r="FL83" s="402" t="s">
        <v>850</v>
      </c>
      <c r="FM83" s="402" t="s">
        <v>850</v>
      </c>
      <c r="FN83" s="402" t="s">
        <v>850</v>
      </c>
      <c r="FO83" s="402" t="s">
        <v>850</v>
      </c>
      <c r="FP83" s="375"/>
      <c r="FQ83" s="376" t="s">
        <v>972</v>
      </c>
      <c r="FR83" s="377" t="s">
        <v>522</v>
      </c>
      <c r="FS83" s="377" t="s">
        <v>819</v>
      </c>
      <c r="FT83" s="377" t="s">
        <v>577</v>
      </c>
      <c r="FU83" s="144">
        <f t="shared" si="8"/>
        <v>88</v>
      </c>
      <c r="FV83" s="371" t="s">
        <v>913</v>
      </c>
    </row>
    <row r="84" spans="1:178" s="371" customFormat="1">
      <c r="A84" s="368" t="s">
        <v>926</v>
      </c>
      <c r="B84" s="369" t="s">
        <v>517</v>
      </c>
      <c r="C84" s="369" t="s">
        <v>555</v>
      </c>
      <c r="D84" s="369" t="s">
        <v>3</v>
      </c>
      <c r="E84" s="375" t="s">
        <v>819</v>
      </c>
      <c r="F84" s="369" t="s">
        <v>520</v>
      </c>
      <c r="G84" s="369" t="s">
        <v>996</v>
      </c>
      <c r="H84" s="402"/>
      <c r="I84" s="402"/>
      <c r="J84" s="402"/>
      <c r="K84" s="402"/>
      <c r="L84" s="402"/>
      <c r="M84" s="402"/>
      <c r="N84" s="402"/>
      <c r="O84" s="402"/>
      <c r="P84" s="402"/>
      <c r="Q84" s="402"/>
      <c r="R84" s="402"/>
      <c r="S84" s="402"/>
      <c r="T84" s="402"/>
      <c r="U84" s="402"/>
      <c r="V84" s="402"/>
      <c r="W84" s="402"/>
      <c r="X84" s="402"/>
      <c r="Y84" s="402"/>
      <c r="Z84" s="402"/>
      <c r="AA84" s="402"/>
      <c r="AB84" s="402"/>
      <c r="AC84" s="402"/>
      <c r="AD84" s="402"/>
      <c r="AE84" s="402"/>
      <c r="AF84" s="402"/>
      <c r="AG84" s="402"/>
      <c r="AH84" s="402"/>
      <c r="AI84" s="402"/>
      <c r="AJ84" s="402"/>
      <c r="AK84" s="402"/>
      <c r="AL84" s="402"/>
      <c r="AM84" s="402"/>
      <c r="AN84" s="402"/>
      <c r="AO84" s="402"/>
      <c r="AP84" s="402"/>
      <c r="AQ84" s="402"/>
      <c r="AR84" s="402"/>
      <c r="AS84" s="402"/>
      <c r="AT84" s="402"/>
      <c r="AU84" s="402"/>
      <c r="AV84" s="402"/>
      <c r="AW84" s="402"/>
      <c r="AX84" s="402"/>
      <c r="AY84" s="402"/>
      <c r="AZ84" s="402"/>
      <c r="BA84" s="402"/>
      <c r="BB84" s="402"/>
      <c r="BC84" s="402"/>
      <c r="BD84" s="402"/>
      <c r="BE84" s="402"/>
      <c r="BF84" s="402"/>
      <c r="BG84" s="402"/>
      <c r="BH84" s="402"/>
      <c r="BI84" s="402"/>
      <c r="BJ84" s="402"/>
      <c r="BK84" s="402"/>
      <c r="BL84" s="402"/>
      <c r="BM84" s="402"/>
      <c r="BN84" s="402"/>
      <c r="BO84" s="402"/>
      <c r="BP84" s="402"/>
      <c r="BQ84" s="402"/>
      <c r="BR84" s="402"/>
      <c r="BS84" s="402"/>
      <c r="BT84" s="402"/>
      <c r="BU84" s="402"/>
      <c r="BV84" s="402"/>
      <c r="BW84" s="402"/>
      <c r="BX84" s="402"/>
      <c r="BY84" s="402"/>
      <c r="BZ84" s="402"/>
      <c r="CA84" s="402"/>
      <c r="CB84" s="402"/>
      <c r="CC84" s="402"/>
      <c r="CD84" s="402"/>
      <c r="CE84" s="401"/>
      <c r="CF84" s="402"/>
      <c r="CG84" s="402"/>
      <c r="CH84" s="402"/>
      <c r="CI84" s="402"/>
      <c r="CJ84" s="402"/>
      <c r="CK84" s="402"/>
      <c r="CL84" s="402"/>
      <c r="CM84" s="401"/>
      <c r="CN84" s="402"/>
      <c r="CO84" s="401"/>
      <c r="CP84" s="402"/>
      <c r="CQ84" s="402"/>
      <c r="CR84" s="402"/>
      <c r="CS84" s="402"/>
      <c r="CT84" s="402"/>
      <c r="CU84" s="402"/>
      <c r="CV84" s="402"/>
      <c r="CW84" s="402"/>
      <c r="CX84" s="402"/>
      <c r="CY84" s="402"/>
      <c r="CZ84" s="402"/>
      <c r="DA84" s="402"/>
      <c r="DB84" s="402"/>
      <c r="DC84" s="402"/>
      <c r="DD84" s="402"/>
      <c r="DE84" s="402"/>
      <c r="DF84" s="402"/>
      <c r="DG84" s="402"/>
      <c r="DH84" s="402"/>
      <c r="DI84" s="402"/>
      <c r="DJ84" s="402"/>
      <c r="DK84" s="402"/>
      <c r="DL84" s="402"/>
      <c r="DM84" s="402"/>
      <c r="DN84" s="402"/>
      <c r="DO84" s="402"/>
      <c r="DP84" s="402"/>
      <c r="DQ84" s="402"/>
      <c r="DR84" s="402"/>
      <c r="DS84" s="402"/>
      <c r="DT84" s="402"/>
      <c r="DU84" s="402"/>
      <c r="DV84" s="402"/>
      <c r="DW84" s="402"/>
      <c r="DX84" s="402"/>
      <c r="DY84" s="402"/>
      <c r="DZ84" s="402"/>
      <c r="EA84" s="402"/>
      <c r="EB84" s="402"/>
      <c r="EC84" s="402"/>
      <c r="ED84" s="402"/>
      <c r="EE84" s="402"/>
      <c r="EF84" s="402"/>
      <c r="EG84" s="402"/>
      <c r="EH84" s="402"/>
      <c r="EI84" s="402"/>
      <c r="EJ84" s="402"/>
      <c r="EK84" s="402"/>
      <c r="EL84" s="402"/>
      <c r="EM84" s="402"/>
      <c r="EN84" s="402"/>
      <c r="EO84" s="402"/>
      <c r="EP84" s="402"/>
      <c r="EQ84" s="402"/>
      <c r="ER84" s="402"/>
      <c r="ES84" s="402"/>
      <c r="ET84" s="402"/>
      <c r="EU84" s="402"/>
      <c r="EV84" s="402"/>
      <c r="EW84" s="402"/>
      <c r="EX84" s="402"/>
      <c r="EY84" s="402"/>
      <c r="EZ84" s="402"/>
      <c r="FA84" s="402"/>
      <c r="FB84" s="402"/>
      <c r="FC84" s="402"/>
      <c r="FD84" s="402"/>
      <c r="FE84" s="402"/>
      <c r="FF84" s="402"/>
      <c r="FG84" s="402"/>
      <c r="FH84" s="402"/>
      <c r="FI84" s="402"/>
      <c r="FJ84" s="402"/>
      <c r="FK84" s="402"/>
      <c r="FL84" s="402"/>
      <c r="FM84" s="402"/>
      <c r="FN84" s="402"/>
      <c r="FO84" s="402"/>
      <c r="FP84" s="375"/>
      <c r="FQ84" s="376" t="s">
        <v>972</v>
      </c>
      <c r="FR84" s="377" t="s">
        <v>522</v>
      </c>
      <c r="FS84" s="377" t="s">
        <v>819</v>
      </c>
      <c r="FT84" s="377" t="s">
        <v>577</v>
      </c>
      <c r="FU84" s="144">
        <f t="shared" si="8"/>
        <v>0</v>
      </c>
      <c r="FV84" s="371" t="s">
        <v>913</v>
      </c>
    </row>
    <row r="85" spans="1:178" s="371" customFormat="1">
      <c r="A85" s="368" t="s">
        <v>926</v>
      </c>
      <c r="B85" s="369" t="s">
        <v>517</v>
      </c>
      <c r="C85" s="369" t="s">
        <v>555</v>
      </c>
      <c r="D85" s="369" t="s">
        <v>8</v>
      </c>
      <c r="E85" s="375" t="s">
        <v>724</v>
      </c>
      <c r="F85" s="369" t="s">
        <v>520</v>
      </c>
      <c r="G85" s="369" t="s">
        <v>997</v>
      </c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1"/>
      <c r="U85" s="401"/>
      <c r="V85" s="401"/>
      <c r="W85" s="401"/>
      <c r="X85" s="401"/>
      <c r="Y85" s="401"/>
      <c r="Z85" s="401"/>
      <c r="AA85" s="401"/>
      <c r="AB85" s="401"/>
      <c r="AC85" s="401"/>
      <c r="AD85" s="401"/>
      <c r="AE85" s="401"/>
      <c r="AF85" s="401"/>
      <c r="AG85" s="401"/>
      <c r="AH85" s="401"/>
      <c r="AI85" s="401"/>
      <c r="AJ85" s="401"/>
      <c r="AK85" s="401"/>
      <c r="AL85" s="401"/>
      <c r="AM85" s="401"/>
      <c r="AN85" s="401"/>
      <c r="AO85" s="401"/>
      <c r="AP85" s="401"/>
      <c r="AQ85" s="401"/>
      <c r="AR85" s="401"/>
      <c r="AS85" s="401"/>
      <c r="AT85" s="401"/>
      <c r="AU85" s="401"/>
      <c r="AV85" s="401"/>
      <c r="AW85" s="401"/>
      <c r="AX85" s="401"/>
      <c r="AY85" s="401"/>
      <c r="AZ85" s="401"/>
      <c r="BA85" s="402"/>
      <c r="BB85" s="401"/>
      <c r="BC85" s="401"/>
      <c r="BD85" s="401"/>
      <c r="BE85" s="401"/>
      <c r="BF85" s="401"/>
      <c r="BG85" s="401"/>
      <c r="BH85" s="401"/>
      <c r="BI85" s="401"/>
      <c r="BJ85" s="401"/>
      <c r="BK85" s="401"/>
      <c r="BL85" s="401"/>
      <c r="BM85" s="401"/>
      <c r="BN85" s="401"/>
      <c r="BO85" s="401"/>
      <c r="BP85" s="401"/>
      <c r="BQ85" s="401"/>
      <c r="BR85" s="401"/>
      <c r="BS85" s="401"/>
      <c r="BT85" s="401"/>
      <c r="BU85" s="401"/>
      <c r="BV85" s="401"/>
      <c r="BW85" s="401"/>
      <c r="BX85" s="401"/>
      <c r="BY85" s="401"/>
      <c r="BZ85" s="401"/>
      <c r="CA85" s="401"/>
      <c r="CB85" s="401"/>
      <c r="CC85" s="401"/>
      <c r="CD85" s="401"/>
      <c r="CE85" s="401"/>
      <c r="CF85" s="401"/>
      <c r="CG85" s="401"/>
      <c r="CH85" s="401"/>
      <c r="CI85" s="401"/>
      <c r="CJ85" s="401"/>
      <c r="CK85" s="401"/>
      <c r="CL85" s="401"/>
      <c r="CM85" s="401"/>
      <c r="CN85" s="401"/>
      <c r="CO85" s="401"/>
      <c r="CP85" s="401"/>
      <c r="CQ85" s="401"/>
      <c r="CR85" s="401"/>
      <c r="CS85" s="401"/>
      <c r="CT85" s="401"/>
      <c r="CU85" s="401"/>
      <c r="CV85" s="401"/>
      <c r="CW85" s="401"/>
      <c r="CX85" s="401"/>
      <c r="CY85" s="401"/>
      <c r="CZ85" s="401"/>
      <c r="DA85" s="401"/>
      <c r="DB85" s="401"/>
      <c r="DC85" s="401"/>
      <c r="DD85" s="401"/>
      <c r="DE85" s="401"/>
      <c r="DF85" s="401"/>
      <c r="DG85" s="401"/>
      <c r="DH85" s="401"/>
      <c r="DI85" s="401"/>
      <c r="DJ85" s="401"/>
      <c r="DK85" s="401"/>
      <c r="DL85" s="401"/>
      <c r="DM85" s="401"/>
      <c r="DN85" s="401"/>
      <c r="DO85" s="402"/>
      <c r="DP85" s="401"/>
      <c r="DQ85" s="401"/>
      <c r="DR85" s="401"/>
      <c r="DS85" s="401"/>
      <c r="DT85" s="401"/>
      <c r="DU85" s="401"/>
      <c r="DV85" s="401"/>
      <c r="DW85" s="401"/>
      <c r="DX85" s="401"/>
      <c r="DY85" s="401"/>
      <c r="DZ85" s="401"/>
      <c r="EA85" s="401"/>
      <c r="EB85" s="401"/>
      <c r="EC85" s="401"/>
      <c r="ED85" s="401"/>
      <c r="EE85" s="401"/>
      <c r="EF85" s="401"/>
      <c r="EG85" s="401"/>
      <c r="EH85" s="411">
        <v>2</v>
      </c>
      <c r="EI85" s="401"/>
      <c r="EJ85" s="401"/>
      <c r="EK85" s="401"/>
      <c r="EL85" s="401"/>
      <c r="EM85" s="402"/>
      <c r="EN85" s="401"/>
      <c r="EO85" s="401"/>
      <c r="EP85" s="401"/>
      <c r="EQ85" s="401"/>
      <c r="ER85" s="401"/>
      <c r="ES85" s="401"/>
      <c r="ET85" s="401"/>
      <c r="EU85" s="401"/>
      <c r="EV85" s="401"/>
      <c r="EW85" s="411">
        <v>10</v>
      </c>
      <c r="EX85" s="401"/>
      <c r="EY85" s="401"/>
      <c r="EZ85" s="401"/>
      <c r="FA85" s="401"/>
      <c r="FB85" s="401"/>
      <c r="FC85" s="401"/>
      <c r="FD85" s="401"/>
      <c r="FE85" s="401"/>
      <c r="FF85" s="401"/>
      <c r="FG85" s="401"/>
      <c r="FH85" s="404">
        <f>475</f>
        <v>475</v>
      </c>
      <c r="FI85" s="401"/>
      <c r="FJ85" s="401"/>
      <c r="FK85" s="401"/>
      <c r="FL85" s="401"/>
      <c r="FM85" s="401"/>
      <c r="FN85" s="401"/>
      <c r="FO85" s="401"/>
      <c r="FP85" s="375" t="s">
        <v>850</v>
      </c>
      <c r="FQ85" s="376" t="s">
        <v>972</v>
      </c>
      <c r="FR85" s="377" t="s">
        <v>522</v>
      </c>
      <c r="FS85" s="377" t="s">
        <v>724</v>
      </c>
      <c r="FT85" s="377" t="s">
        <v>577</v>
      </c>
      <c r="FU85" s="144">
        <f t="shared" si="8"/>
        <v>487</v>
      </c>
      <c r="FV85" s="371" t="s">
        <v>913</v>
      </c>
    </row>
    <row r="86" spans="1:178" s="371" customFormat="1">
      <c r="A86" s="368" t="s">
        <v>926</v>
      </c>
      <c r="B86" s="369" t="s">
        <v>517</v>
      </c>
      <c r="C86" s="369" t="s">
        <v>555</v>
      </c>
      <c r="D86" s="369" t="s">
        <v>4</v>
      </c>
      <c r="E86" s="375" t="s">
        <v>724</v>
      </c>
      <c r="F86" s="369" t="s">
        <v>520</v>
      </c>
      <c r="G86" s="369" t="s">
        <v>997</v>
      </c>
      <c r="H86" s="402" t="s">
        <v>850</v>
      </c>
      <c r="I86" s="402" t="s">
        <v>850</v>
      </c>
      <c r="J86" s="402" t="s">
        <v>850</v>
      </c>
      <c r="K86" s="402"/>
      <c r="L86" s="402" t="s">
        <v>850</v>
      </c>
      <c r="M86" s="402" t="s">
        <v>850</v>
      </c>
      <c r="N86" s="402"/>
      <c r="O86" s="402"/>
      <c r="P86" s="402" t="s">
        <v>850</v>
      </c>
      <c r="Q86" s="402" t="s">
        <v>850</v>
      </c>
      <c r="R86" s="402" t="s">
        <v>850</v>
      </c>
      <c r="S86" s="402" t="s">
        <v>850</v>
      </c>
      <c r="T86" s="402"/>
      <c r="U86" s="402" t="s">
        <v>850</v>
      </c>
      <c r="V86" s="402" t="s">
        <v>850</v>
      </c>
      <c r="W86" s="402" t="s">
        <v>850</v>
      </c>
      <c r="X86" s="402"/>
      <c r="Y86" s="402"/>
      <c r="Z86" s="402"/>
      <c r="AA86" s="402"/>
      <c r="AB86" s="402"/>
      <c r="AC86" s="402" t="s">
        <v>850</v>
      </c>
      <c r="AD86" s="402"/>
      <c r="AE86" s="402" t="s">
        <v>850</v>
      </c>
      <c r="AF86" s="402" t="s">
        <v>850</v>
      </c>
      <c r="AG86" s="402" t="s">
        <v>850</v>
      </c>
      <c r="AH86" s="402" t="s">
        <v>850</v>
      </c>
      <c r="AI86" s="402" t="s">
        <v>850</v>
      </c>
      <c r="AJ86" s="402" t="s">
        <v>850</v>
      </c>
      <c r="AK86" s="402" t="s">
        <v>850</v>
      </c>
      <c r="AL86" s="402" t="s">
        <v>850</v>
      </c>
      <c r="AM86" s="402" t="s">
        <v>850</v>
      </c>
      <c r="AN86" s="402" t="s">
        <v>850</v>
      </c>
      <c r="AO86" s="402" t="s">
        <v>850</v>
      </c>
      <c r="AP86" s="402" t="s">
        <v>850</v>
      </c>
      <c r="AQ86" s="402" t="s">
        <v>850</v>
      </c>
      <c r="AR86" s="402" t="s">
        <v>850</v>
      </c>
      <c r="AS86" s="402" t="s">
        <v>850</v>
      </c>
      <c r="AT86" s="402" t="s">
        <v>850</v>
      </c>
      <c r="AU86" s="402"/>
      <c r="AV86" s="402" t="s">
        <v>850</v>
      </c>
      <c r="AW86" s="402" t="s">
        <v>850</v>
      </c>
      <c r="AX86" s="402"/>
      <c r="AY86" s="402" t="s">
        <v>850</v>
      </c>
      <c r="AZ86" s="402" t="s">
        <v>850</v>
      </c>
      <c r="BA86" s="402"/>
      <c r="BB86" s="402" t="s">
        <v>850</v>
      </c>
      <c r="BC86" s="402" t="s">
        <v>850</v>
      </c>
      <c r="BD86" s="402"/>
      <c r="BE86" s="402" t="s">
        <v>850</v>
      </c>
      <c r="BF86" s="402" t="s">
        <v>850</v>
      </c>
      <c r="BG86" s="402"/>
      <c r="BH86" s="402" t="s">
        <v>850</v>
      </c>
      <c r="BI86" s="402" t="s">
        <v>850</v>
      </c>
      <c r="BJ86" s="402" t="s">
        <v>850</v>
      </c>
      <c r="BK86" s="402" t="s">
        <v>850</v>
      </c>
      <c r="BL86" s="402"/>
      <c r="BM86" s="402"/>
      <c r="BN86" s="402"/>
      <c r="BO86" s="402"/>
      <c r="BP86" s="402"/>
      <c r="BQ86" s="402" t="s">
        <v>850</v>
      </c>
      <c r="BR86" s="402" t="s">
        <v>850</v>
      </c>
      <c r="BS86" s="402"/>
      <c r="BT86" s="402"/>
      <c r="BU86" s="402" t="s">
        <v>850</v>
      </c>
      <c r="BV86" s="402" t="s">
        <v>850</v>
      </c>
      <c r="BW86" s="402"/>
      <c r="BX86" s="402"/>
      <c r="BY86" s="402"/>
      <c r="BZ86" s="402" t="s">
        <v>850</v>
      </c>
      <c r="CA86" s="402" t="s">
        <v>850</v>
      </c>
      <c r="CB86" s="402"/>
      <c r="CC86" s="402"/>
      <c r="CD86" s="402"/>
      <c r="CE86" s="401"/>
      <c r="CF86" s="402" t="s">
        <v>850</v>
      </c>
      <c r="CG86" s="402"/>
      <c r="CH86" s="402"/>
      <c r="CI86" s="402"/>
      <c r="CJ86" s="402"/>
      <c r="CK86" s="402"/>
      <c r="CL86" s="402"/>
      <c r="CM86" s="401"/>
      <c r="CN86" s="402"/>
      <c r="CO86" s="401"/>
      <c r="CP86" s="402" t="s">
        <v>850</v>
      </c>
      <c r="CQ86" s="402" t="s">
        <v>850</v>
      </c>
      <c r="CR86" s="402"/>
      <c r="CS86" s="402" t="s">
        <v>850</v>
      </c>
      <c r="CT86" s="402" t="s">
        <v>850</v>
      </c>
      <c r="CU86" s="402" t="s">
        <v>850</v>
      </c>
      <c r="CV86" s="402"/>
      <c r="CW86" s="402"/>
      <c r="CX86" s="402"/>
      <c r="CY86" s="402"/>
      <c r="CZ86" s="402"/>
      <c r="DA86" s="402"/>
      <c r="DB86" s="402" t="s">
        <v>850</v>
      </c>
      <c r="DC86" s="402" t="s">
        <v>850</v>
      </c>
      <c r="DD86" s="402"/>
      <c r="DE86" s="402" t="s">
        <v>850</v>
      </c>
      <c r="DF86" s="402"/>
      <c r="DG86" s="402"/>
      <c r="DH86" s="402" t="s">
        <v>850</v>
      </c>
      <c r="DI86" s="402" t="s">
        <v>850</v>
      </c>
      <c r="DJ86" s="402" t="s">
        <v>850</v>
      </c>
      <c r="DK86" s="402" t="s">
        <v>850</v>
      </c>
      <c r="DL86" s="402" t="s">
        <v>850</v>
      </c>
      <c r="DM86" s="402" t="s">
        <v>850</v>
      </c>
      <c r="DN86" s="402" t="s">
        <v>850</v>
      </c>
      <c r="DO86" s="402"/>
      <c r="DP86" s="402"/>
      <c r="DQ86" s="403">
        <f>500-500</f>
        <v>0</v>
      </c>
      <c r="DR86" s="402" t="s">
        <v>850</v>
      </c>
      <c r="DS86" s="402"/>
      <c r="DT86" s="402" t="s">
        <v>850</v>
      </c>
      <c r="DU86" s="402"/>
      <c r="DV86" s="402" t="s">
        <v>850</v>
      </c>
      <c r="DW86" s="402"/>
      <c r="DX86" s="402" t="s">
        <v>850</v>
      </c>
      <c r="DY86" s="402"/>
      <c r="DZ86" s="403">
        <f>500-500</f>
        <v>0</v>
      </c>
      <c r="EA86" s="402" t="s">
        <v>850</v>
      </c>
      <c r="EB86" s="402" t="s">
        <v>850</v>
      </c>
      <c r="EC86" s="402" t="s">
        <v>850</v>
      </c>
      <c r="ED86" s="402" t="s">
        <v>850</v>
      </c>
      <c r="EE86" s="402"/>
      <c r="EF86" s="402" t="s">
        <v>850</v>
      </c>
      <c r="EG86" s="403">
        <f>500-500+2</f>
        <v>2</v>
      </c>
      <c r="EH86" s="403">
        <f>500-500</f>
        <v>0</v>
      </c>
      <c r="EI86" s="402" t="s">
        <v>850</v>
      </c>
      <c r="EJ86" s="402" t="s">
        <v>850</v>
      </c>
      <c r="EK86" s="402" t="s">
        <v>850</v>
      </c>
      <c r="EL86" s="402" t="s">
        <v>850</v>
      </c>
      <c r="EM86" s="402"/>
      <c r="EN86" s="403">
        <f>500-500</f>
        <v>0</v>
      </c>
      <c r="EO86" s="402" t="s">
        <v>850</v>
      </c>
      <c r="EP86" s="403">
        <f>500-500</f>
        <v>0</v>
      </c>
      <c r="EQ86" s="402"/>
      <c r="ER86" s="402" t="s">
        <v>850</v>
      </c>
      <c r="ES86" s="402" t="s">
        <v>850</v>
      </c>
      <c r="ET86" s="402" t="s">
        <v>850</v>
      </c>
      <c r="EU86" s="402"/>
      <c r="EV86" s="402"/>
      <c r="EW86" s="403">
        <f>500-500</f>
        <v>0</v>
      </c>
      <c r="EX86" s="403">
        <f>500-500+20</f>
        <v>20</v>
      </c>
      <c r="EY86" s="402" t="s">
        <v>850</v>
      </c>
      <c r="EZ86" s="405">
        <f>500-500+500</f>
        <v>500</v>
      </c>
      <c r="FA86" s="402"/>
      <c r="FB86" s="402"/>
      <c r="FC86" s="402"/>
      <c r="FD86" s="402"/>
      <c r="FE86" s="402" t="s">
        <v>850</v>
      </c>
      <c r="FF86" s="405">
        <f>500-500+500</f>
        <v>500</v>
      </c>
      <c r="FG86" s="402" t="s">
        <v>850</v>
      </c>
      <c r="FH86" s="403">
        <f>500-500</f>
        <v>0</v>
      </c>
      <c r="FI86" s="402" t="s">
        <v>850</v>
      </c>
      <c r="FJ86" s="402" t="s">
        <v>850</v>
      </c>
      <c r="FK86" s="402"/>
      <c r="FL86" s="402" t="s">
        <v>850</v>
      </c>
      <c r="FM86" s="402" t="s">
        <v>850</v>
      </c>
      <c r="FN86" s="402" t="s">
        <v>850</v>
      </c>
      <c r="FO86" s="402" t="s">
        <v>850</v>
      </c>
      <c r="FP86" s="375"/>
      <c r="FQ86" s="376" t="s">
        <v>972</v>
      </c>
      <c r="FR86" s="377" t="s">
        <v>522</v>
      </c>
      <c r="FS86" s="377" t="s">
        <v>724</v>
      </c>
      <c r="FT86" s="377" t="s">
        <v>577</v>
      </c>
      <c r="FU86" s="144">
        <f t="shared" si="8"/>
        <v>1022</v>
      </c>
      <c r="FV86" s="371" t="s">
        <v>913</v>
      </c>
    </row>
    <row r="87" spans="1:178" s="371" customFormat="1">
      <c r="A87" s="368" t="s">
        <v>926</v>
      </c>
      <c r="B87" s="369" t="s">
        <v>517</v>
      </c>
      <c r="C87" s="369" t="s">
        <v>555</v>
      </c>
      <c r="D87" s="369" t="s">
        <v>3</v>
      </c>
      <c r="E87" s="375" t="s">
        <v>724</v>
      </c>
      <c r="F87" s="369" t="s">
        <v>520</v>
      </c>
      <c r="G87" s="369" t="s">
        <v>998</v>
      </c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02"/>
      <c r="AH87" s="402"/>
      <c r="AI87" s="402"/>
      <c r="AJ87" s="402"/>
      <c r="AK87" s="402"/>
      <c r="AL87" s="402"/>
      <c r="AM87" s="402"/>
      <c r="AN87" s="402"/>
      <c r="AO87" s="402"/>
      <c r="AP87" s="402"/>
      <c r="AQ87" s="402"/>
      <c r="AR87" s="402"/>
      <c r="AS87" s="402"/>
      <c r="AT87" s="402"/>
      <c r="AU87" s="402"/>
      <c r="AV87" s="402"/>
      <c r="AW87" s="402"/>
      <c r="AX87" s="402"/>
      <c r="AY87" s="402"/>
      <c r="AZ87" s="402"/>
      <c r="BA87" s="402"/>
      <c r="BB87" s="402"/>
      <c r="BC87" s="402"/>
      <c r="BD87" s="402"/>
      <c r="BE87" s="402"/>
      <c r="BF87" s="402"/>
      <c r="BG87" s="402"/>
      <c r="BH87" s="402"/>
      <c r="BI87" s="402"/>
      <c r="BJ87" s="402"/>
      <c r="BK87" s="402"/>
      <c r="BL87" s="402"/>
      <c r="BM87" s="402"/>
      <c r="BN87" s="402"/>
      <c r="BO87" s="402"/>
      <c r="BP87" s="402"/>
      <c r="BQ87" s="402"/>
      <c r="BR87" s="402"/>
      <c r="BS87" s="402"/>
      <c r="BT87" s="402"/>
      <c r="BU87" s="402"/>
      <c r="BV87" s="402"/>
      <c r="BW87" s="402"/>
      <c r="BX87" s="402"/>
      <c r="BY87" s="402"/>
      <c r="BZ87" s="402"/>
      <c r="CA87" s="402"/>
      <c r="CB87" s="402"/>
      <c r="CC87" s="402"/>
      <c r="CD87" s="402"/>
      <c r="CE87" s="401"/>
      <c r="CF87" s="402"/>
      <c r="CG87" s="402"/>
      <c r="CH87" s="402"/>
      <c r="CI87" s="402"/>
      <c r="CJ87" s="402"/>
      <c r="CK87" s="402"/>
      <c r="CL87" s="402"/>
      <c r="CM87" s="401"/>
      <c r="CN87" s="402"/>
      <c r="CO87" s="401"/>
      <c r="CP87" s="402"/>
      <c r="CQ87" s="402"/>
      <c r="CR87" s="402"/>
      <c r="CS87" s="402"/>
      <c r="CT87" s="402"/>
      <c r="CU87" s="402"/>
      <c r="CV87" s="402"/>
      <c r="CW87" s="402"/>
      <c r="CX87" s="402"/>
      <c r="CY87" s="402"/>
      <c r="CZ87" s="402"/>
      <c r="DA87" s="402"/>
      <c r="DB87" s="402"/>
      <c r="DC87" s="402"/>
      <c r="DD87" s="402"/>
      <c r="DE87" s="402"/>
      <c r="DF87" s="402"/>
      <c r="DG87" s="402"/>
      <c r="DH87" s="402"/>
      <c r="DI87" s="402"/>
      <c r="DJ87" s="402"/>
      <c r="DK87" s="402"/>
      <c r="DL87" s="402"/>
      <c r="DM87" s="402"/>
      <c r="DN87" s="402"/>
      <c r="DO87" s="402"/>
      <c r="DP87" s="402"/>
      <c r="DQ87" s="402"/>
      <c r="DR87" s="402"/>
      <c r="DS87" s="402"/>
      <c r="DT87" s="402"/>
      <c r="DU87" s="402"/>
      <c r="DV87" s="402"/>
      <c r="DW87" s="402"/>
      <c r="DX87" s="402"/>
      <c r="DY87" s="402"/>
      <c r="DZ87" s="402"/>
      <c r="EA87" s="402"/>
      <c r="EB87" s="402"/>
      <c r="EC87" s="402"/>
      <c r="ED87" s="402"/>
      <c r="EE87" s="402"/>
      <c r="EF87" s="402"/>
      <c r="EG87" s="402"/>
      <c r="EH87" s="402"/>
      <c r="EI87" s="402"/>
      <c r="EJ87" s="402"/>
      <c r="EK87" s="402"/>
      <c r="EL87" s="402"/>
      <c r="EM87" s="402"/>
      <c r="EN87" s="402"/>
      <c r="EO87" s="402"/>
      <c r="EP87" s="402"/>
      <c r="EQ87" s="402"/>
      <c r="ER87" s="402"/>
      <c r="ES87" s="402"/>
      <c r="ET87" s="402"/>
      <c r="EU87" s="402"/>
      <c r="EV87" s="402"/>
      <c r="EW87" s="402"/>
      <c r="EX87" s="402"/>
      <c r="EY87" s="402"/>
      <c r="EZ87" s="402"/>
      <c r="FA87" s="402"/>
      <c r="FB87" s="402"/>
      <c r="FC87" s="402"/>
      <c r="FD87" s="402"/>
      <c r="FE87" s="402"/>
      <c r="FF87" s="402"/>
      <c r="FG87" s="402"/>
      <c r="FH87" s="402"/>
      <c r="FI87" s="402"/>
      <c r="FJ87" s="402"/>
      <c r="FK87" s="402"/>
      <c r="FL87" s="402"/>
      <c r="FM87" s="402"/>
      <c r="FN87" s="402"/>
      <c r="FO87" s="402"/>
      <c r="FP87" s="375"/>
      <c r="FQ87" s="376" t="s">
        <v>972</v>
      </c>
      <c r="FR87" s="377" t="s">
        <v>522</v>
      </c>
      <c r="FS87" s="377" t="s">
        <v>724</v>
      </c>
      <c r="FT87" s="377" t="s">
        <v>577</v>
      </c>
      <c r="FU87" s="144">
        <f t="shared" si="8"/>
        <v>0</v>
      </c>
      <c r="FV87" s="371" t="s">
        <v>913</v>
      </c>
    </row>
    <row r="88" spans="1:178" s="371" customFormat="1">
      <c r="A88" s="368" t="s">
        <v>526</v>
      </c>
      <c r="B88" s="369" t="s">
        <v>517</v>
      </c>
      <c r="C88" s="369" t="s">
        <v>555</v>
      </c>
      <c r="D88" s="369" t="s">
        <v>8</v>
      </c>
      <c r="E88" s="370" t="s">
        <v>602</v>
      </c>
      <c r="F88" s="369" t="s">
        <v>520</v>
      </c>
      <c r="G88" s="369"/>
      <c r="H88" s="401"/>
      <c r="I88" s="401"/>
      <c r="J88" s="401"/>
      <c r="K88" s="401"/>
      <c r="L88" s="401"/>
      <c r="M88" s="401"/>
      <c r="N88" s="401"/>
      <c r="O88" s="401"/>
      <c r="P88" s="401"/>
      <c r="Q88" s="401"/>
      <c r="R88" s="401"/>
      <c r="S88" s="401"/>
      <c r="T88" s="401"/>
      <c r="U88" s="401"/>
      <c r="V88" s="401"/>
      <c r="W88" s="401"/>
      <c r="X88" s="401"/>
      <c r="Y88" s="401"/>
      <c r="Z88" s="401"/>
      <c r="AA88" s="401"/>
      <c r="AB88" s="401"/>
      <c r="AC88" s="401"/>
      <c r="AD88" s="401"/>
      <c r="AE88" s="401"/>
      <c r="AF88" s="401"/>
      <c r="AG88" s="401"/>
      <c r="AH88" s="401"/>
      <c r="AI88" s="401"/>
      <c r="AJ88" s="401"/>
      <c r="AK88" s="401"/>
      <c r="AL88" s="401"/>
      <c r="AM88" s="401"/>
      <c r="AN88" s="401"/>
      <c r="AO88" s="401"/>
      <c r="AP88" s="401"/>
      <c r="AQ88" s="401"/>
      <c r="AR88" s="401"/>
      <c r="AS88" s="401"/>
      <c r="AT88" s="401"/>
      <c r="AU88" s="401"/>
      <c r="AV88" s="401"/>
      <c r="AW88" s="401"/>
      <c r="AX88" s="401"/>
      <c r="AY88" s="401"/>
      <c r="AZ88" s="401"/>
      <c r="BA88" s="402"/>
      <c r="BB88" s="401"/>
      <c r="BC88" s="401"/>
      <c r="BD88" s="401"/>
      <c r="BE88" s="401"/>
      <c r="BF88" s="401"/>
      <c r="BG88" s="401"/>
      <c r="BH88" s="401"/>
      <c r="BI88" s="401"/>
      <c r="BJ88" s="401"/>
      <c r="BK88" s="401"/>
      <c r="BL88" s="401"/>
      <c r="BM88" s="401"/>
      <c r="BN88" s="401"/>
      <c r="BO88" s="401"/>
      <c r="BP88" s="401"/>
      <c r="BQ88" s="401"/>
      <c r="BR88" s="401"/>
      <c r="BS88" s="401"/>
      <c r="BT88" s="401"/>
      <c r="BU88" s="401"/>
      <c r="BV88" s="401"/>
      <c r="BW88" s="401"/>
      <c r="BX88" s="401"/>
      <c r="BY88" s="401"/>
      <c r="BZ88" s="401"/>
      <c r="CA88" s="401"/>
      <c r="CB88" s="401"/>
      <c r="CC88" s="401"/>
      <c r="CD88" s="401"/>
      <c r="CE88" s="401"/>
      <c r="CF88" s="401"/>
      <c r="CG88" s="401"/>
      <c r="CH88" s="401"/>
      <c r="CI88" s="401"/>
      <c r="CJ88" s="401"/>
      <c r="CK88" s="401"/>
      <c r="CL88" s="401"/>
      <c r="CM88" s="401"/>
      <c r="CN88" s="401"/>
      <c r="CO88" s="401"/>
      <c r="CP88" s="401"/>
      <c r="CQ88" s="401"/>
      <c r="CR88" s="401"/>
      <c r="CS88" s="401"/>
      <c r="CT88" s="401"/>
      <c r="CU88" s="401"/>
      <c r="CV88" s="401"/>
      <c r="CW88" s="401"/>
      <c r="CX88" s="401"/>
      <c r="CY88" s="401"/>
      <c r="CZ88" s="411">
        <v>40</v>
      </c>
      <c r="DA88" s="401"/>
      <c r="DB88" s="401"/>
      <c r="DC88" s="401"/>
      <c r="DD88" s="401"/>
      <c r="DE88" s="401"/>
      <c r="DF88" s="401"/>
      <c r="DG88" s="401"/>
      <c r="DH88" s="401"/>
      <c r="DI88" s="401"/>
      <c r="DJ88" s="401"/>
      <c r="DK88" s="401"/>
      <c r="DL88" s="401"/>
      <c r="DM88" s="401"/>
      <c r="DN88" s="401"/>
      <c r="DO88" s="402"/>
      <c r="DP88" s="401"/>
      <c r="DQ88" s="401"/>
      <c r="DR88" s="401"/>
      <c r="DS88" s="401"/>
      <c r="DT88" s="401"/>
      <c r="DU88" s="411">
        <v>100</v>
      </c>
      <c r="DV88" s="401"/>
      <c r="DW88" s="401"/>
      <c r="DX88" s="401"/>
      <c r="DY88" s="401"/>
      <c r="DZ88" s="401"/>
      <c r="EA88" s="401"/>
      <c r="EB88" s="401"/>
      <c r="EC88" s="401"/>
      <c r="ED88" s="401"/>
      <c r="EE88" s="401"/>
      <c r="EF88" s="401"/>
      <c r="EG88" s="401"/>
      <c r="EH88" s="411">
        <v>20</v>
      </c>
      <c r="EI88" s="401"/>
      <c r="EJ88" s="401"/>
      <c r="EK88" s="401"/>
      <c r="EL88" s="401"/>
      <c r="EM88" s="402"/>
      <c r="EN88" s="401"/>
      <c r="EO88" s="401"/>
      <c r="EP88" s="401"/>
      <c r="EQ88" s="401"/>
      <c r="ER88" s="401"/>
      <c r="ES88" s="401"/>
      <c r="ET88" s="401"/>
      <c r="EU88" s="401"/>
      <c r="EV88" s="401"/>
      <c r="EW88" s="411">
        <v>40</v>
      </c>
      <c r="EX88" s="401"/>
      <c r="EY88" s="401"/>
      <c r="EZ88" s="401"/>
      <c r="FA88" s="401"/>
      <c r="FB88" s="401"/>
      <c r="FC88" s="404">
        <f>500</f>
        <v>500</v>
      </c>
      <c r="FD88" s="401"/>
      <c r="FE88" s="402"/>
      <c r="FF88" s="401"/>
      <c r="FG88" s="401"/>
      <c r="FH88" s="401"/>
      <c r="FI88" s="401"/>
      <c r="FJ88" s="401"/>
      <c r="FK88" s="401"/>
      <c r="FL88" s="401"/>
      <c r="FM88" s="401"/>
      <c r="FN88" s="401"/>
      <c r="FO88" s="401"/>
      <c r="FP88" s="375" t="s">
        <v>850</v>
      </c>
      <c r="FQ88" s="376" t="s">
        <v>972</v>
      </c>
      <c r="FR88" s="377" t="s">
        <v>522</v>
      </c>
      <c r="FS88" s="377" t="s">
        <v>850</v>
      </c>
      <c r="FT88" s="377" t="s">
        <v>915</v>
      </c>
      <c r="FU88" s="144">
        <f t="shared" si="8"/>
        <v>700</v>
      </c>
      <c r="FV88" s="371" t="s">
        <v>911</v>
      </c>
    </row>
    <row r="89" spans="1:178" s="371" customFormat="1">
      <c r="A89" s="368" t="s">
        <v>526</v>
      </c>
      <c r="B89" s="369" t="s">
        <v>517</v>
      </c>
      <c r="C89" s="369" t="s">
        <v>555</v>
      </c>
      <c r="D89" s="369" t="s">
        <v>4</v>
      </c>
      <c r="E89" s="370" t="s">
        <v>602</v>
      </c>
      <c r="F89" s="369" t="s">
        <v>520</v>
      </c>
      <c r="G89" s="369"/>
      <c r="H89" s="403">
        <f>30-30</f>
        <v>0</v>
      </c>
      <c r="I89" s="402" t="s">
        <v>850</v>
      </c>
      <c r="J89" s="403">
        <f>20-20</f>
        <v>0</v>
      </c>
      <c r="K89" s="403">
        <f>20-20+20</f>
        <v>20</v>
      </c>
      <c r="L89" s="403">
        <f>60-60</f>
        <v>0</v>
      </c>
      <c r="M89" s="403">
        <f>40-40</f>
        <v>0</v>
      </c>
      <c r="N89" s="403">
        <f>40-40</f>
        <v>0</v>
      </c>
      <c r="O89" s="403">
        <f>30-30+10</f>
        <v>10</v>
      </c>
      <c r="P89" s="402" t="s">
        <v>850</v>
      </c>
      <c r="Q89" s="402" t="s">
        <v>850</v>
      </c>
      <c r="R89" s="403">
        <f>60-60</f>
        <v>0</v>
      </c>
      <c r="S89" s="403">
        <f>16-16</f>
        <v>0</v>
      </c>
      <c r="T89" s="403">
        <f>44-44</f>
        <v>0</v>
      </c>
      <c r="U89" s="402" t="s">
        <v>850</v>
      </c>
      <c r="V89" s="402" t="s">
        <v>850</v>
      </c>
      <c r="W89" s="403">
        <f>40-40</f>
        <v>0</v>
      </c>
      <c r="X89" s="403">
        <f>15-15+10</f>
        <v>10</v>
      </c>
      <c r="Y89" s="403">
        <f>130-130+10</f>
        <v>10</v>
      </c>
      <c r="Z89" s="402" t="s">
        <v>850</v>
      </c>
      <c r="AA89" s="403">
        <f>50-50</f>
        <v>0</v>
      </c>
      <c r="AB89" s="403">
        <f>85-85+20</f>
        <v>20</v>
      </c>
      <c r="AC89" s="403">
        <f>90-90</f>
        <v>0</v>
      </c>
      <c r="AD89" s="403">
        <f>100-100</f>
        <v>0</v>
      </c>
      <c r="AE89" s="402" t="s">
        <v>850</v>
      </c>
      <c r="AF89" s="402" t="s">
        <v>850</v>
      </c>
      <c r="AG89" s="402" t="s">
        <v>850</v>
      </c>
      <c r="AH89" s="402" t="s">
        <v>850</v>
      </c>
      <c r="AI89" s="402" t="s">
        <v>850</v>
      </c>
      <c r="AJ89" s="402" t="s">
        <v>850</v>
      </c>
      <c r="AK89" s="402" t="s">
        <v>850</v>
      </c>
      <c r="AL89" s="402" t="s">
        <v>850</v>
      </c>
      <c r="AM89" s="402" t="s">
        <v>850</v>
      </c>
      <c r="AN89" s="402" t="s">
        <v>850</v>
      </c>
      <c r="AO89" s="402" t="s">
        <v>850</v>
      </c>
      <c r="AP89" s="402" t="s">
        <v>850</v>
      </c>
      <c r="AQ89" s="402" t="s">
        <v>850</v>
      </c>
      <c r="AR89" s="402" t="s">
        <v>850</v>
      </c>
      <c r="AS89" s="403">
        <f>200-200</f>
        <v>0</v>
      </c>
      <c r="AT89" s="403">
        <f>200-200</f>
        <v>0</v>
      </c>
      <c r="AU89" s="402"/>
      <c r="AV89" s="402" t="s">
        <v>850</v>
      </c>
      <c r="AW89" s="402" t="s">
        <v>850</v>
      </c>
      <c r="AX89" s="403">
        <f>48-48+2</f>
        <v>2</v>
      </c>
      <c r="AY89" s="403">
        <f>46-46</f>
        <v>0</v>
      </c>
      <c r="AZ89" s="403">
        <f>40-40</f>
        <v>0</v>
      </c>
      <c r="BA89" s="409">
        <v>10</v>
      </c>
      <c r="BB89" s="403">
        <f>85-85</f>
        <v>0</v>
      </c>
      <c r="BC89" s="403">
        <f>20-20</f>
        <v>0</v>
      </c>
      <c r="BD89" s="403">
        <f>410-410+10</f>
        <v>10</v>
      </c>
      <c r="BE89" s="403">
        <f>70-70</f>
        <v>0</v>
      </c>
      <c r="BF89" s="403">
        <f>100-100</f>
        <v>0</v>
      </c>
      <c r="BG89" s="402"/>
      <c r="BH89" s="402" t="s">
        <v>850</v>
      </c>
      <c r="BI89" s="402" t="s">
        <v>850</v>
      </c>
      <c r="BJ89" s="402" t="s">
        <v>850</v>
      </c>
      <c r="BK89" s="402" t="s">
        <v>850</v>
      </c>
      <c r="BL89" s="403">
        <f>80-80+2</f>
        <v>2</v>
      </c>
      <c r="BM89" s="403">
        <f>85-85+8</f>
        <v>8</v>
      </c>
      <c r="BN89" s="403">
        <f>48-48+2</f>
        <v>2</v>
      </c>
      <c r="BO89" s="403">
        <f>54-54+15</f>
        <v>15</v>
      </c>
      <c r="BP89" s="403">
        <f>300-300+15</f>
        <v>15</v>
      </c>
      <c r="BQ89" s="403">
        <f>15-15</f>
        <v>0</v>
      </c>
      <c r="BR89" s="403">
        <f>100-100</f>
        <v>0</v>
      </c>
      <c r="BS89" s="403">
        <f>150-150</f>
        <v>0</v>
      </c>
      <c r="BT89" s="405">
        <f>100-100+100</f>
        <v>100</v>
      </c>
      <c r="BU89" s="402" t="s">
        <v>850</v>
      </c>
      <c r="BV89" s="402" t="s">
        <v>850</v>
      </c>
      <c r="BW89" s="403">
        <f>464-464+2</f>
        <v>2</v>
      </c>
      <c r="BX89" s="403">
        <f>10-10</f>
        <v>0</v>
      </c>
      <c r="BY89" s="403">
        <f>335-335+5</f>
        <v>5</v>
      </c>
      <c r="BZ89" s="403">
        <f>504-504</f>
        <v>0</v>
      </c>
      <c r="CA89" s="403">
        <f>430-430</f>
        <v>0</v>
      </c>
      <c r="CB89" s="403">
        <f>10-10+10</f>
        <v>10</v>
      </c>
      <c r="CC89" s="403">
        <f>383-383</f>
        <v>0</v>
      </c>
      <c r="CD89" s="403">
        <f>490-490</f>
        <v>0</v>
      </c>
      <c r="CE89" s="401"/>
      <c r="CF89" s="403">
        <f>470-470</f>
        <v>0</v>
      </c>
      <c r="CG89" s="403">
        <f>329-329+20</f>
        <v>20</v>
      </c>
      <c r="CH89" s="403">
        <f>131-131+10</f>
        <v>10</v>
      </c>
      <c r="CI89" s="403">
        <f>330-330+20</f>
        <v>20</v>
      </c>
      <c r="CJ89" s="403">
        <f>473-473+10</f>
        <v>10</v>
      </c>
      <c r="CK89" s="403">
        <f>500-500</f>
        <v>0</v>
      </c>
      <c r="CL89" s="403">
        <f>440-440</f>
        <v>0</v>
      </c>
      <c r="CM89" s="411">
        <v>20</v>
      </c>
      <c r="CN89" s="403">
        <f>80-80</f>
        <v>0</v>
      </c>
      <c r="CO89" s="411">
        <v>40</v>
      </c>
      <c r="CP89" s="403">
        <f>330-330</f>
        <v>0</v>
      </c>
      <c r="CQ89" s="403">
        <f>375-375</f>
        <v>0</v>
      </c>
      <c r="CR89" s="403">
        <f>420-420</f>
        <v>0</v>
      </c>
      <c r="CS89" s="403">
        <f>525-525</f>
        <v>0</v>
      </c>
      <c r="CT89" s="402" t="s">
        <v>850</v>
      </c>
      <c r="CU89" s="403">
        <f>491-491</f>
        <v>0</v>
      </c>
      <c r="CV89" s="403">
        <f>314-314+60</f>
        <v>60</v>
      </c>
      <c r="CW89" s="403">
        <f>207-207+60</f>
        <v>60</v>
      </c>
      <c r="CX89" s="403">
        <f>100-100+140</f>
        <v>140</v>
      </c>
      <c r="CY89" s="403">
        <f>288-288</f>
        <v>0</v>
      </c>
      <c r="CZ89" s="403">
        <f>160-160</f>
        <v>0</v>
      </c>
      <c r="DA89" s="403">
        <f>500-500</f>
        <v>0</v>
      </c>
      <c r="DB89" s="402" t="s">
        <v>850</v>
      </c>
      <c r="DC89" s="402" t="s">
        <v>850</v>
      </c>
      <c r="DD89" s="403">
        <f>538-538</f>
        <v>0</v>
      </c>
      <c r="DE89" s="402" t="s">
        <v>850</v>
      </c>
      <c r="DF89" s="403">
        <f>240-240+5</f>
        <v>5</v>
      </c>
      <c r="DG89" s="403">
        <f>600-600+10</f>
        <v>10</v>
      </c>
      <c r="DH89" s="403">
        <f>415-415</f>
        <v>0</v>
      </c>
      <c r="DI89" s="403">
        <f>90-90</f>
        <v>0</v>
      </c>
      <c r="DJ89" s="403">
        <f>480-480</f>
        <v>0</v>
      </c>
      <c r="DK89" s="402" t="s">
        <v>850</v>
      </c>
      <c r="DL89" s="402" t="s">
        <v>850</v>
      </c>
      <c r="DM89" s="403">
        <f>390-390</f>
        <v>0</v>
      </c>
      <c r="DN89" s="402" t="s">
        <v>850</v>
      </c>
      <c r="DO89" s="409">
        <v>100</v>
      </c>
      <c r="DP89" s="403">
        <f>200-200</f>
        <v>0</v>
      </c>
      <c r="DQ89" s="403">
        <f>100-100</f>
        <v>0</v>
      </c>
      <c r="DR89" s="402" t="s">
        <v>850</v>
      </c>
      <c r="DS89" s="402"/>
      <c r="DT89" s="402" t="s">
        <v>850</v>
      </c>
      <c r="DU89" s="403">
        <f>360-360</f>
        <v>0</v>
      </c>
      <c r="DV89" s="402" t="s">
        <v>850</v>
      </c>
      <c r="DW89" s="403">
        <f>430-430</f>
        <v>0</v>
      </c>
      <c r="DX89" s="402" t="s">
        <v>850</v>
      </c>
      <c r="DY89" s="403">
        <f>180-180+16</f>
        <v>16</v>
      </c>
      <c r="DZ89" s="403">
        <f>130-130</f>
        <v>0</v>
      </c>
      <c r="EA89" s="402" t="s">
        <v>850</v>
      </c>
      <c r="EB89" s="403">
        <f>480-480</f>
        <v>0</v>
      </c>
      <c r="EC89" s="403">
        <f>360-360</f>
        <v>0</v>
      </c>
      <c r="ED89" s="403">
        <f>380-380</f>
        <v>0</v>
      </c>
      <c r="EE89" s="403">
        <f>490-490</f>
        <v>0</v>
      </c>
      <c r="EF89" s="402" t="s">
        <v>850</v>
      </c>
      <c r="EG89" s="403">
        <f>50-50+20</f>
        <v>20</v>
      </c>
      <c r="EH89" s="403">
        <f>500-500</f>
        <v>0</v>
      </c>
      <c r="EI89" s="403">
        <f>320-320</f>
        <v>0</v>
      </c>
      <c r="EJ89" s="402" t="s">
        <v>850</v>
      </c>
      <c r="EK89" s="403">
        <f>500-500</f>
        <v>0</v>
      </c>
      <c r="EL89" s="403">
        <f>500-500</f>
        <v>0</v>
      </c>
      <c r="EM89" s="402"/>
      <c r="EN89" s="403">
        <f>390-390</f>
        <v>0</v>
      </c>
      <c r="EO89" s="402" t="s">
        <v>850</v>
      </c>
      <c r="EP89" s="403">
        <f>390-390</f>
        <v>0</v>
      </c>
      <c r="EQ89" s="403">
        <f>360-360+20</f>
        <v>20</v>
      </c>
      <c r="ER89" s="403">
        <f>460-460</f>
        <v>0</v>
      </c>
      <c r="ES89" s="403">
        <f>500-500</f>
        <v>0</v>
      </c>
      <c r="ET89" s="403">
        <f>500-500</f>
        <v>0</v>
      </c>
      <c r="EU89" s="403">
        <f>450-450</f>
        <v>0</v>
      </c>
      <c r="EV89" s="403">
        <f>180-180</f>
        <v>0</v>
      </c>
      <c r="EW89" s="403">
        <f>260-260</f>
        <v>0</v>
      </c>
      <c r="EX89" s="403">
        <f>360-360+20</f>
        <v>20</v>
      </c>
      <c r="EY89" s="402" t="s">
        <v>850</v>
      </c>
      <c r="EZ89" s="403">
        <f>500-500</f>
        <v>0</v>
      </c>
      <c r="FA89" s="405">
        <f>500-500+500</f>
        <v>500</v>
      </c>
      <c r="FB89" s="403">
        <f>375-375</f>
        <v>0</v>
      </c>
      <c r="FC89" s="403">
        <f>500-500</f>
        <v>0</v>
      </c>
      <c r="FD89" s="403">
        <f>185-185</f>
        <v>0</v>
      </c>
      <c r="FF89" s="402"/>
      <c r="FG89" s="403">
        <f>483-483</f>
        <v>0</v>
      </c>
      <c r="FH89" s="402"/>
      <c r="FI89" s="402" t="s">
        <v>850</v>
      </c>
      <c r="FJ89" s="403">
        <f>1000-1000</f>
        <v>0</v>
      </c>
      <c r="FK89" s="403">
        <f>8-8</f>
        <v>0</v>
      </c>
      <c r="FL89" s="402" t="s">
        <v>850</v>
      </c>
      <c r="FM89" s="402" t="s">
        <v>850</v>
      </c>
      <c r="FN89" s="402" t="s">
        <v>850</v>
      </c>
      <c r="FO89" s="402" t="s">
        <v>850</v>
      </c>
      <c r="FP89" s="375"/>
      <c r="FQ89" s="376" t="s">
        <v>972</v>
      </c>
      <c r="FR89" s="377" t="s">
        <v>522</v>
      </c>
      <c r="FS89" s="377" t="s">
        <v>850</v>
      </c>
      <c r="FT89" s="377" t="s">
        <v>915</v>
      </c>
      <c r="FU89" s="144">
        <f t="shared" si="8"/>
        <v>1322</v>
      </c>
      <c r="FV89" s="371" t="s">
        <v>911</v>
      </c>
    </row>
    <row r="90" spans="1:178" s="371" customFormat="1">
      <c r="A90" s="368" t="s">
        <v>526</v>
      </c>
      <c r="B90" s="369" t="s">
        <v>517</v>
      </c>
      <c r="C90" s="369" t="s">
        <v>555</v>
      </c>
      <c r="D90" s="369" t="s">
        <v>3</v>
      </c>
      <c r="E90" s="370" t="s">
        <v>602</v>
      </c>
      <c r="F90" s="369" t="s">
        <v>520</v>
      </c>
      <c r="G90" s="369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02"/>
      <c r="AH90" s="402"/>
      <c r="AI90" s="402"/>
      <c r="AJ90" s="402"/>
      <c r="AK90" s="402"/>
      <c r="AL90" s="402"/>
      <c r="AM90" s="402"/>
      <c r="AN90" s="402"/>
      <c r="AO90" s="402"/>
      <c r="AP90" s="402"/>
      <c r="AQ90" s="402"/>
      <c r="AR90" s="402"/>
      <c r="AS90" s="402"/>
      <c r="AT90" s="402"/>
      <c r="AU90" s="402"/>
      <c r="AV90" s="402"/>
      <c r="AW90" s="402"/>
      <c r="AX90" s="402"/>
      <c r="AY90" s="402"/>
      <c r="AZ90" s="402"/>
      <c r="BA90" s="402"/>
      <c r="BB90" s="402"/>
      <c r="BC90" s="402"/>
      <c r="BD90" s="402"/>
      <c r="BE90" s="402"/>
      <c r="BF90" s="402"/>
      <c r="BG90" s="402"/>
      <c r="BH90" s="402"/>
      <c r="BI90" s="402"/>
      <c r="BJ90" s="402"/>
      <c r="BK90" s="402"/>
      <c r="BL90" s="402"/>
      <c r="BM90" s="402"/>
      <c r="BN90" s="402"/>
      <c r="BO90" s="402"/>
      <c r="BP90" s="402"/>
      <c r="BQ90" s="402"/>
      <c r="BR90" s="402"/>
      <c r="BS90" s="402"/>
      <c r="BT90" s="402"/>
      <c r="BU90" s="402"/>
      <c r="BV90" s="402"/>
      <c r="BW90" s="402"/>
      <c r="BX90" s="402"/>
      <c r="BY90" s="402"/>
      <c r="BZ90" s="402"/>
      <c r="CA90" s="402"/>
      <c r="CB90" s="402"/>
      <c r="CC90" s="402"/>
      <c r="CD90" s="402"/>
      <c r="CE90" s="401"/>
      <c r="CF90" s="402"/>
      <c r="CG90" s="402"/>
      <c r="CH90" s="402"/>
      <c r="CI90" s="402"/>
      <c r="CJ90" s="402"/>
      <c r="CK90" s="402"/>
      <c r="CL90" s="402"/>
      <c r="CM90" s="401"/>
      <c r="CN90" s="402"/>
      <c r="CO90" s="401"/>
      <c r="CP90" s="402"/>
      <c r="CQ90" s="402"/>
      <c r="CR90" s="402"/>
      <c r="CS90" s="402"/>
      <c r="CT90" s="402"/>
      <c r="CU90" s="402"/>
      <c r="CV90" s="402"/>
      <c r="CW90" s="402"/>
      <c r="CX90" s="402"/>
      <c r="CY90" s="402"/>
      <c r="CZ90" s="402"/>
      <c r="DA90" s="402"/>
      <c r="DB90" s="402"/>
      <c r="DC90" s="402"/>
      <c r="DD90" s="402"/>
      <c r="DE90" s="402"/>
      <c r="DF90" s="402"/>
      <c r="DG90" s="402"/>
      <c r="DH90" s="402"/>
      <c r="DI90" s="402"/>
      <c r="DJ90" s="402"/>
      <c r="DK90" s="402"/>
      <c r="DL90" s="402"/>
      <c r="DM90" s="402"/>
      <c r="DN90" s="402"/>
      <c r="DO90" s="402"/>
      <c r="DP90" s="402"/>
      <c r="DQ90" s="402"/>
      <c r="DR90" s="402"/>
      <c r="DS90" s="402"/>
      <c r="DT90" s="402"/>
      <c r="DU90" s="402"/>
      <c r="DV90" s="402"/>
      <c r="DW90" s="402"/>
      <c r="DX90" s="402"/>
      <c r="DY90" s="402"/>
      <c r="DZ90" s="402"/>
      <c r="EA90" s="402"/>
      <c r="EB90" s="402"/>
      <c r="EC90" s="402"/>
      <c r="ED90" s="402"/>
      <c r="EE90" s="402"/>
      <c r="EF90" s="402"/>
      <c r="EG90" s="402"/>
      <c r="EH90" s="402"/>
      <c r="EI90" s="402"/>
      <c r="EJ90" s="402"/>
      <c r="EK90" s="402"/>
      <c r="EL90" s="402"/>
      <c r="EM90" s="402"/>
      <c r="EN90" s="402"/>
      <c r="EO90" s="402"/>
      <c r="EP90" s="402"/>
      <c r="EQ90" s="402"/>
      <c r="ER90" s="402"/>
      <c r="ES90" s="402"/>
      <c r="ET90" s="402"/>
      <c r="EU90" s="402"/>
      <c r="EV90" s="402"/>
      <c r="EW90" s="402"/>
      <c r="EX90" s="402"/>
      <c r="EY90" s="402"/>
      <c r="EZ90" s="402"/>
      <c r="FA90" s="402"/>
      <c r="FB90" s="402"/>
      <c r="FC90" s="402"/>
      <c r="FD90" s="402"/>
      <c r="FE90" s="402"/>
      <c r="FF90" s="402"/>
      <c r="FG90" s="402"/>
      <c r="FH90" s="402"/>
      <c r="FI90" s="402"/>
      <c r="FJ90" s="402"/>
      <c r="FK90" s="402"/>
      <c r="FL90" s="402"/>
      <c r="FM90" s="402"/>
      <c r="FN90" s="402"/>
      <c r="FO90" s="402"/>
      <c r="FP90" s="375"/>
      <c r="FQ90" s="376" t="s">
        <v>972</v>
      </c>
      <c r="FR90" s="377" t="s">
        <v>522</v>
      </c>
      <c r="FS90" s="377" t="s">
        <v>850</v>
      </c>
      <c r="FT90" s="377" t="s">
        <v>915</v>
      </c>
      <c r="FU90" s="144">
        <f t="shared" si="8"/>
        <v>0</v>
      </c>
      <c r="FV90" s="371" t="s">
        <v>911</v>
      </c>
    </row>
    <row r="91" spans="1:178" s="371" customFormat="1">
      <c r="A91" s="368" t="s">
        <v>526</v>
      </c>
      <c r="B91" s="369" t="s">
        <v>517</v>
      </c>
      <c r="C91" s="369" t="s">
        <v>555</v>
      </c>
      <c r="D91" s="369" t="s">
        <v>8</v>
      </c>
      <c r="E91" s="370" t="s">
        <v>603</v>
      </c>
      <c r="F91" s="369" t="s">
        <v>520</v>
      </c>
      <c r="G91" s="369"/>
      <c r="H91" s="401"/>
      <c r="I91" s="401"/>
      <c r="J91" s="401"/>
      <c r="K91" s="401"/>
      <c r="L91" s="401"/>
      <c r="M91" s="401"/>
      <c r="N91" s="401"/>
      <c r="O91" s="401"/>
      <c r="P91" s="401"/>
      <c r="Q91" s="401"/>
      <c r="R91" s="401"/>
      <c r="S91" s="401"/>
      <c r="T91" s="401"/>
      <c r="U91" s="401"/>
      <c r="V91" s="401"/>
      <c r="W91" s="401"/>
      <c r="X91" s="401"/>
      <c r="Y91" s="401"/>
      <c r="Z91" s="401"/>
      <c r="AA91" s="401"/>
      <c r="AB91" s="401"/>
      <c r="AC91" s="401"/>
      <c r="AD91" s="401"/>
      <c r="AE91" s="401"/>
      <c r="AF91" s="401"/>
      <c r="AG91" s="401"/>
      <c r="AH91" s="401"/>
      <c r="AI91" s="401"/>
      <c r="AJ91" s="401"/>
      <c r="AK91" s="401"/>
      <c r="AL91" s="401"/>
      <c r="AM91" s="401"/>
      <c r="AN91" s="401"/>
      <c r="AO91" s="401"/>
      <c r="AP91" s="401"/>
      <c r="AQ91" s="401"/>
      <c r="AR91" s="401"/>
      <c r="AS91" s="401"/>
      <c r="AT91" s="401"/>
      <c r="AU91" s="401"/>
      <c r="AV91" s="401"/>
      <c r="AW91" s="401"/>
      <c r="AX91" s="401"/>
      <c r="AY91" s="401"/>
      <c r="AZ91" s="401"/>
      <c r="BA91" s="402"/>
      <c r="BB91" s="401"/>
      <c r="BC91" s="401"/>
      <c r="BD91" s="401"/>
      <c r="BE91" s="401"/>
      <c r="BF91" s="401"/>
      <c r="BG91" s="401"/>
      <c r="BH91" s="401"/>
      <c r="BI91" s="401"/>
      <c r="BJ91" s="401"/>
      <c r="BK91" s="401"/>
      <c r="BL91" s="401"/>
      <c r="BM91" s="401"/>
      <c r="BN91" s="401"/>
      <c r="BO91" s="401"/>
      <c r="BP91" s="401"/>
      <c r="BQ91" s="401"/>
      <c r="BR91" s="401"/>
      <c r="BS91" s="401"/>
      <c r="BT91" s="401"/>
      <c r="BU91" s="401"/>
      <c r="BV91" s="401"/>
      <c r="BW91" s="401"/>
      <c r="BX91" s="401"/>
      <c r="BY91" s="401"/>
      <c r="BZ91" s="401"/>
      <c r="CA91" s="401"/>
      <c r="CB91" s="401"/>
      <c r="CC91" s="401"/>
      <c r="CD91" s="401"/>
      <c r="CE91" s="401"/>
      <c r="CF91" s="401"/>
      <c r="CG91" s="401"/>
      <c r="CH91" s="401"/>
      <c r="CI91" s="401"/>
      <c r="CJ91" s="401"/>
      <c r="CK91" s="401"/>
      <c r="CL91" s="401"/>
      <c r="CM91" s="401"/>
      <c r="CN91" s="401"/>
      <c r="CO91" s="401"/>
      <c r="CP91" s="401"/>
      <c r="CQ91" s="401"/>
      <c r="CR91" s="401"/>
      <c r="CS91" s="401"/>
      <c r="CT91" s="401"/>
      <c r="CU91" s="401"/>
      <c r="CV91" s="401"/>
      <c r="CW91" s="401"/>
      <c r="CX91" s="401"/>
      <c r="CY91" s="401"/>
      <c r="CZ91" s="411">
        <v>10</v>
      </c>
      <c r="DA91" s="401"/>
      <c r="DB91" s="401"/>
      <c r="DC91" s="401"/>
      <c r="DD91" s="401"/>
      <c r="DE91" s="401"/>
      <c r="DF91" s="401"/>
      <c r="DG91" s="401"/>
      <c r="DH91" s="401"/>
      <c r="DI91" s="401"/>
      <c r="DJ91" s="401"/>
      <c r="DK91" s="401"/>
      <c r="DL91" s="401"/>
      <c r="DM91" s="401"/>
      <c r="DN91" s="401"/>
      <c r="DO91" s="402"/>
      <c r="DP91" s="401"/>
      <c r="DQ91" s="401"/>
      <c r="DR91" s="401"/>
      <c r="DS91" s="401"/>
      <c r="DT91" s="401"/>
      <c r="DU91" s="411">
        <v>20</v>
      </c>
      <c r="DV91" s="401"/>
      <c r="DW91" s="401"/>
      <c r="DX91" s="401"/>
      <c r="DY91" s="401"/>
      <c r="DZ91" s="401"/>
      <c r="EA91" s="401"/>
      <c r="EB91" s="401"/>
      <c r="EC91" s="401"/>
      <c r="ED91" s="401"/>
      <c r="EE91" s="401"/>
      <c r="EF91" s="401"/>
      <c r="EG91" s="401"/>
      <c r="EH91" s="401"/>
      <c r="EI91" s="401"/>
      <c r="EJ91" s="401"/>
      <c r="EK91" s="401"/>
      <c r="EL91" s="401"/>
      <c r="EM91" s="402"/>
      <c r="EN91" s="401"/>
      <c r="EO91" s="401"/>
      <c r="EP91" s="401"/>
      <c r="EQ91" s="401"/>
      <c r="ER91" s="401"/>
      <c r="ES91" s="401"/>
      <c r="ET91" s="401"/>
      <c r="EU91" s="401"/>
      <c r="EV91" s="401"/>
      <c r="EW91" s="411">
        <v>20</v>
      </c>
      <c r="EX91" s="401"/>
      <c r="EY91" s="401"/>
      <c r="EZ91" s="401"/>
      <c r="FA91" s="401"/>
      <c r="FB91" s="401"/>
      <c r="FC91" s="401"/>
      <c r="FD91" s="401"/>
      <c r="FE91" s="401"/>
      <c r="FF91" s="401"/>
      <c r="FG91" s="401"/>
      <c r="FH91" s="401"/>
      <c r="FI91" s="401"/>
      <c r="FJ91" s="401"/>
      <c r="FK91" s="401"/>
      <c r="FL91" s="401"/>
      <c r="FM91" s="401"/>
      <c r="FN91" s="401"/>
      <c r="FO91" s="401"/>
      <c r="FP91" s="375" t="s">
        <v>850</v>
      </c>
      <c r="FQ91" s="376" t="s">
        <v>972</v>
      </c>
      <c r="FR91" s="377" t="s">
        <v>522</v>
      </c>
      <c r="FS91" s="377" t="s">
        <v>850</v>
      </c>
      <c r="FT91" s="377" t="s">
        <v>915</v>
      </c>
      <c r="FU91" s="144">
        <f t="shared" si="8"/>
        <v>50</v>
      </c>
      <c r="FV91" s="371" t="s">
        <v>911</v>
      </c>
    </row>
    <row r="92" spans="1:178" s="371" customFormat="1">
      <c r="A92" s="368" t="s">
        <v>526</v>
      </c>
      <c r="B92" s="369" t="s">
        <v>517</v>
      </c>
      <c r="C92" s="369" t="s">
        <v>555</v>
      </c>
      <c r="D92" s="369" t="s">
        <v>4</v>
      </c>
      <c r="E92" s="370" t="s">
        <v>603</v>
      </c>
      <c r="F92" s="369" t="s">
        <v>520</v>
      </c>
      <c r="G92" s="369"/>
      <c r="H92" s="403">
        <f>5-5</f>
        <v>0</v>
      </c>
      <c r="I92" s="402" t="s">
        <v>850</v>
      </c>
      <c r="J92" s="403">
        <f t="shared" ref="J92:N92" si="10">5-5</f>
        <v>0</v>
      </c>
      <c r="K92" s="403">
        <f>5-5+5</f>
        <v>5</v>
      </c>
      <c r="L92" s="403">
        <f t="shared" si="10"/>
        <v>0</v>
      </c>
      <c r="M92" s="403">
        <f t="shared" si="10"/>
        <v>0</v>
      </c>
      <c r="N92" s="403">
        <f t="shared" si="10"/>
        <v>0</v>
      </c>
      <c r="O92" s="403">
        <f>5-5+5</f>
        <v>5</v>
      </c>
      <c r="P92" s="402" t="s">
        <v>850</v>
      </c>
      <c r="Q92" s="403">
        <f>5-5</f>
        <v>0</v>
      </c>
      <c r="R92" s="402" t="s">
        <v>850</v>
      </c>
      <c r="S92" s="403">
        <f>5-5</f>
        <v>0</v>
      </c>
      <c r="T92" s="403">
        <f>5-5</f>
        <v>0</v>
      </c>
      <c r="U92" s="402" t="s">
        <v>850</v>
      </c>
      <c r="V92" s="402" t="s">
        <v>850</v>
      </c>
      <c r="W92" s="403">
        <f>5-5</f>
        <v>0</v>
      </c>
      <c r="X92" s="403">
        <f>5-5+5</f>
        <v>5</v>
      </c>
      <c r="Y92" s="403">
        <f>5-5+5</f>
        <v>5</v>
      </c>
      <c r="Z92" s="402" t="s">
        <v>850</v>
      </c>
      <c r="AA92" s="403">
        <f>5-5</f>
        <v>0</v>
      </c>
      <c r="AB92" s="402"/>
      <c r="AC92" s="402" t="s">
        <v>850</v>
      </c>
      <c r="AD92" s="402"/>
      <c r="AE92" s="402" t="s">
        <v>850</v>
      </c>
      <c r="AF92" s="402" t="s">
        <v>850</v>
      </c>
      <c r="AG92" s="402" t="s">
        <v>850</v>
      </c>
      <c r="AH92" s="402" t="s">
        <v>850</v>
      </c>
      <c r="AI92" s="402" t="s">
        <v>850</v>
      </c>
      <c r="AJ92" s="402" t="s">
        <v>850</v>
      </c>
      <c r="AK92" s="402" t="s">
        <v>850</v>
      </c>
      <c r="AL92" s="402" t="s">
        <v>850</v>
      </c>
      <c r="AM92" s="402" t="s">
        <v>850</v>
      </c>
      <c r="AN92" s="402" t="s">
        <v>850</v>
      </c>
      <c r="AO92" s="402" t="s">
        <v>850</v>
      </c>
      <c r="AP92" s="402" t="s">
        <v>850</v>
      </c>
      <c r="AQ92" s="402" t="s">
        <v>850</v>
      </c>
      <c r="AR92" s="402" t="s">
        <v>850</v>
      </c>
      <c r="AS92" s="402" t="s">
        <v>850</v>
      </c>
      <c r="AT92" s="402" t="s">
        <v>850</v>
      </c>
      <c r="AU92" s="402"/>
      <c r="AV92" s="402" t="s">
        <v>850</v>
      </c>
      <c r="AW92" s="402" t="s">
        <v>850</v>
      </c>
      <c r="AX92" s="402"/>
      <c r="AY92" s="402" t="s">
        <v>850</v>
      </c>
      <c r="AZ92" s="402" t="s">
        <v>850</v>
      </c>
      <c r="BA92" s="409">
        <v>5</v>
      </c>
      <c r="BB92" s="403">
        <f>40-40</f>
        <v>0</v>
      </c>
      <c r="BC92" s="403">
        <f>5-5</f>
        <v>0</v>
      </c>
      <c r="BD92" s="403">
        <f>10-10+3</f>
        <v>3</v>
      </c>
      <c r="BE92" s="403">
        <f>20-20</f>
        <v>0</v>
      </c>
      <c r="BF92" s="403">
        <f>20-20</f>
        <v>0</v>
      </c>
      <c r="BG92" s="402"/>
      <c r="BH92" s="402" t="s">
        <v>850</v>
      </c>
      <c r="BI92" s="402" t="s">
        <v>850</v>
      </c>
      <c r="BJ92" s="402" t="s">
        <v>850</v>
      </c>
      <c r="BK92" s="402" t="s">
        <v>850</v>
      </c>
      <c r="BL92" s="402"/>
      <c r="BM92" s="402"/>
      <c r="BN92" s="402"/>
      <c r="BO92" s="402"/>
      <c r="BP92" s="402"/>
      <c r="BQ92" s="402" t="s">
        <v>850</v>
      </c>
      <c r="BR92" s="402" t="s">
        <v>850</v>
      </c>
      <c r="BS92" s="402"/>
      <c r="BT92" s="402"/>
      <c r="BU92" s="402" t="s">
        <v>850</v>
      </c>
      <c r="BV92" s="402" t="s">
        <v>850</v>
      </c>
      <c r="BW92" s="402"/>
      <c r="BX92" s="402" t="s">
        <v>850</v>
      </c>
      <c r="BY92" s="403">
        <f>10-10+2</f>
        <v>2</v>
      </c>
      <c r="BZ92" s="403">
        <f>10-10</f>
        <v>0</v>
      </c>
      <c r="CA92" s="402" t="s">
        <v>850</v>
      </c>
      <c r="CB92" s="403">
        <f>10-10+5</f>
        <v>5</v>
      </c>
      <c r="CC92" s="403">
        <f>10-10</f>
        <v>0</v>
      </c>
      <c r="CD92" s="403">
        <f>20-20</f>
        <v>0</v>
      </c>
      <c r="CE92" s="401"/>
      <c r="CF92" s="403">
        <f>20-20</f>
        <v>0</v>
      </c>
      <c r="CG92" s="402"/>
      <c r="CH92" s="402"/>
      <c r="CI92" s="402"/>
      <c r="CJ92" s="402"/>
      <c r="CK92" s="402"/>
      <c r="CL92" s="402"/>
      <c r="CM92" s="411">
        <v>5</v>
      </c>
      <c r="CN92" s="403">
        <f>20-20</f>
        <v>0</v>
      </c>
      <c r="CO92" s="411">
        <v>10</v>
      </c>
      <c r="CP92" s="403">
        <f>20-20</f>
        <v>0</v>
      </c>
      <c r="CQ92" s="403">
        <f>20-20</f>
        <v>0</v>
      </c>
      <c r="CR92" s="403">
        <f>20-20</f>
        <v>0</v>
      </c>
      <c r="CS92" s="403">
        <f>20-20</f>
        <v>0</v>
      </c>
      <c r="CT92" s="402" t="s">
        <v>850</v>
      </c>
      <c r="CU92" s="403">
        <f>30-30</f>
        <v>0</v>
      </c>
      <c r="CV92" s="402"/>
      <c r="CW92" s="403">
        <f>30-30+10</f>
        <v>10</v>
      </c>
      <c r="CX92" s="403">
        <f>30-30+10</f>
        <v>10</v>
      </c>
      <c r="CY92" s="403">
        <f>30-30</f>
        <v>0</v>
      </c>
      <c r="CZ92" s="403">
        <f>20-20</f>
        <v>0</v>
      </c>
      <c r="DA92" s="402"/>
      <c r="DB92" s="402" t="s">
        <v>850</v>
      </c>
      <c r="DC92" s="402" t="s">
        <v>850</v>
      </c>
      <c r="DD92" s="403">
        <f>20-20</f>
        <v>0</v>
      </c>
      <c r="DE92" s="402" t="s">
        <v>850</v>
      </c>
      <c r="DF92" s="402"/>
      <c r="DG92" s="403">
        <f>30-30+10</f>
        <v>10</v>
      </c>
      <c r="DH92" s="403">
        <f>30-30</f>
        <v>0</v>
      </c>
      <c r="DI92" s="403">
        <f>30-30</f>
        <v>0</v>
      </c>
      <c r="DJ92" s="403">
        <f>30-30</f>
        <v>0</v>
      </c>
      <c r="DK92" s="402" t="s">
        <v>850</v>
      </c>
      <c r="DL92" s="402" t="s">
        <v>850</v>
      </c>
      <c r="DM92" s="402" t="s">
        <v>850</v>
      </c>
      <c r="DN92" s="402" t="s">
        <v>850</v>
      </c>
      <c r="DO92" s="402"/>
      <c r="DP92" s="402"/>
      <c r="DQ92" s="402" t="s">
        <v>850</v>
      </c>
      <c r="DR92" s="402" t="s">
        <v>850</v>
      </c>
      <c r="DS92" s="402"/>
      <c r="DT92" s="402" t="s">
        <v>850</v>
      </c>
      <c r="DU92" s="403">
        <f>50-50</f>
        <v>0</v>
      </c>
      <c r="DV92" s="402" t="s">
        <v>850</v>
      </c>
      <c r="DW92" s="403">
        <f>50-50</f>
        <v>0</v>
      </c>
      <c r="DX92" s="402" t="s">
        <v>850</v>
      </c>
      <c r="DY92" s="402"/>
      <c r="DZ92" s="402" t="s">
        <v>850</v>
      </c>
      <c r="EA92" s="402" t="s">
        <v>850</v>
      </c>
      <c r="EB92" s="403">
        <f t="shared" ref="EB92:EI92" si="11">50-50</f>
        <v>0</v>
      </c>
      <c r="EC92" s="403">
        <f t="shared" si="11"/>
        <v>0</v>
      </c>
      <c r="ED92" s="403">
        <f t="shared" si="11"/>
        <v>0</v>
      </c>
      <c r="EE92" s="403">
        <f t="shared" si="11"/>
        <v>0</v>
      </c>
      <c r="EF92" s="403">
        <f t="shared" si="11"/>
        <v>0</v>
      </c>
      <c r="EG92" s="403">
        <f t="shared" si="11"/>
        <v>0</v>
      </c>
      <c r="EH92" s="403">
        <f t="shared" si="11"/>
        <v>0</v>
      </c>
      <c r="EI92" s="403">
        <f t="shared" si="11"/>
        <v>0</v>
      </c>
      <c r="EJ92" s="402" t="s">
        <v>850</v>
      </c>
      <c r="EK92" s="403">
        <f>50-50</f>
        <v>0</v>
      </c>
      <c r="EL92" s="403">
        <f>50-50</f>
        <v>0</v>
      </c>
      <c r="EM92" s="402"/>
      <c r="EN92" s="403">
        <f>50-50</f>
        <v>0</v>
      </c>
      <c r="EO92" s="402" t="s">
        <v>850</v>
      </c>
      <c r="EP92" s="403">
        <f>50-50</f>
        <v>0</v>
      </c>
      <c r="EQ92" s="403">
        <f>50-50</f>
        <v>0</v>
      </c>
      <c r="ER92" s="403">
        <f>20-20</f>
        <v>0</v>
      </c>
      <c r="ES92" s="402" t="s">
        <v>850</v>
      </c>
      <c r="ET92" s="403">
        <f>50-50</f>
        <v>0</v>
      </c>
      <c r="EU92" s="403">
        <f>20-20</f>
        <v>0</v>
      </c>
      <c r="EV92" s="402"/>
      <c r="EW92" s="403">
        <f>30-30</f>
        <v>0</v>
      </c>
      <c r="EX92" s="402"/>
      <c r="EY92" s="402" t="s">
        <v>850</v>
      </c>
      <c r="EZ92" s="402"/>
      <c r="FA92" s="402"/>
      <c r="FB92" s="402"/>
      <c r="FC92" s="402"/>
      <c r="FD92" s="402"/>
      <c r="FE92" s="402"/>
      <c r="FF92" s="402"/>
      <c r="FG92" s="402" t="s">
        <v>850</v>
      </c>
      <c r="FH92" s="402"/>
      <c r="FI92" s="402" t="s">
        <v>850</v>
      </c>
      <c r="FJ92" s="402" t="s">
        <v>850</v>
      </c>
      <c r="FK92" s="402"/>
      <c r="FL92" s="402" t="s">
        <v>850</v>
      </c>
      <c r="FM92" s="402" t="s">
        <v>850</v>
      </c>
      <c r="FN92" s="402" t="s">
        <v>850</v>
      </c>
      <c r="FO92" s="402" t="s">
        <v>850</v>
      </c>
      <c r="FP92" s="375"/>
      <c r="FQ92" s="376" t="s">
        <v>972</v>
      </c>
      <c r="FR92" s="377" t="s">
        <v>522</v>
      </c>
      <c r="FS92" s="377" t="s">
        <v>850</v>
      </c>
      <c r="FT92" s="377" t="s">
        <v>915</v>
      </c>
      <c r="FU92" s="144">
        <f t="shared" si="8"/>
        <v>80</v>
      </c>
      <c r="FV92" s="371" t="s">
        <v>911</v>
      </c>
    </row>
    <row r="93" spans="1:178" s="371" customFormat="1">
      <c r="A93" s="368" t="s">
        <v>526</v>
      </c>
      <c r="B93" s="369" t="s">
        <v>517</v>
      </c>
      <c r="C93" s="369" t="s">
        <v>555</v>
      </c>
      <c r="D93" s="369" t="s">
        <v>3</v>
      </c>
      <c r="E93" s="370" t="s">
        <v>603</v>
      </c>
      <c r="F93" s="369" t="s">
        <v>520</v>
      </c>
      <c r="G93" s="369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02"/>
      <c r="AH93" s="402"/>
      <c r="AI93" s="402"/>
      <c r="AJ93" s="402"/>
      <c r="AK93" s="402"/>
      <c r="AL93" s="402"/>
      <c r="AM93" s="402"/>
      <c r="AN93" s="402"/>
      <c r="AO93" s="402"/>
      <c r="AP93" s="402"/>
      <c r="AQ93" s="402"/>
      <c r="AR93" s="402"/>
      <c r="AS93" s="402"/>
      <c r="AT93" s="402"/>
      <c r="AU93" s="402"/>
      <c r="AV93" s="402"/>
      <c r="AW93" s="402"/>
      <c r="AX93" s="402"/>
      <c r="AY93" s="402"/>
      <c r="AZ93" s="402"/>
      <c r="BA93" s="402"/>
      <c r="BB93" s="402"/>
      <c r="BC93" s="402"/>
      <c r="BD93" s="402"/>
      <c r="BE93" s="402"/>
      <c r="BF93" s="402"/>
      <c r="BG93" s="402"/>
      <c r="BH93" s="402"/>
      <c r="BI93" s="402"/>
      <c r="BJ93" s="402"/>
      <c r="BK93" s="402"/>
      <c r="BL93" s="402"/>
      <c r="BM93" s="402"/>
      <c r="BN93" s="402"/>
      <c r="BO93" s="402"/>
      <c r="BP93" s="402"/>
      <c r="BQ93" s="402"/>
      <c r="BR93" s="402"/>
      <c r="BS93" s="402"/>
      <c r="BT93" s="402"/>
      <c r="BU93" s="402"/>
      <c r="BV93" s="402"/>
      <c r="BW93" s="402"/>
      <c r="BX93" s="402"/>
      <c r="BY93" s="402"/>
      <c r="BZ93" s="402"/>
      <c r="CA93" s="402"/>
      <c r="CB93" s="402"/>
      <c r="CC93" s="402"/>
      <c r="CD93" s="402"/>
      <c r="CE93" s="401"/>
      <c r="CF93" s="402"/>
      <c r="CG93" s="402"/>
      <c r="CH93" s="402"/>
      <c r="CI93" s="402"/>
      <c r="CJ93" s="402"/>
      <c r="CK93" s="402"/>
      <c r="CL93" s="402"/>
      <c r="CM93" s="401"/>
      <c r="CN93" s="402"/>
      <c r="CO93" s="401"/>
      <c r="CP93" s="402"/>
      <c r="CQ93" s="402"/>
      <c r="CR93" s="402"/>
      <c r="CS93" s="402"/>
      <c r="CT93" s="402"/>
      <c r="CU93" s="402"/>
      <c r="CV93" s="402"/>
      <c r="CW93" s="402"/>
      <c r="CX93" s="402"/>
      <c r="CY93" s="402"/>
      <c r="CZ93" s="402"/>
      <c r="DA93" s="402"/>
      <c r="DB93" s="402"/>
      <c r="DC93" s="402"/>
      <c r="DD93" s="402"/>
      <c r="DE93" s="402"/>
      <c r="DF93" s="402"/>
      <c r="DG93" s="402"/>
      <c r="DH93" s="402"/>
      <c r="DI93" s="402"/>
      <c r="DJ93" s="402"/>
      <c r="DK93" s="402"/>
      <c r="DL93" s="402"/>
      <c r="DM93" s="402"/>
      <c r="DN93" s="402"/>
      <c r="DO93" s="402"/>
      <c r="DP93" s="402"/>
      <c r="DQ93" s="402"/>
      <c r="DR93" s="402"/>
      <c r="DS93" s="402"/>
      <c r="DT93" s="402"/>
      <c r="DU93" s="402"/>
      <c r="DV93" s="402"/>
      <c r="DW93" s="402"/>
      <c r="DX93" s="402"/>
      <c r="DY93" s="402"/>
      <c r="DZ93" s="402"/>
      <c r="EA93" s="402"/>
      <c r="EB93" s="402"/>
      <c r="EC93" s="402"/>
      <c r="ED93" s="402"/>
      <c r="EE93" s="402"/>
      <c r="EF93" s="402"/>
      <c r="EG93" s="402"/>
      <c r="EH93" s="402"/>
      <c r="EI93" s="402"/>
      <c r="EJ93" s="402"/>
      <c r="EK93" s="402"/>
      <c r="EL93" s="402"/>
      <c r="EM93" s="402"/>
      <c r="EN93" s="402"/>
      <c r="EO93" s="402"/>
      <c r="EP93" s="402"/>
      <c r="EQ93" s="402"/>
      <c r="ER93" s="402"/>
      <c r="ES93" s="402"/>
      <c r="ET93" s="402"/>
      <c r="EU93" s="402"/>
      <c r="EV93" s="402"/>
      <c r="EW93" s="402"/>
      <c r="EX93" s="402"/>
      <c r="EY93" s="402"/>
      <c r="EZ93" s="402"/>
      <c r="FA93" s="402"/>
      <c r="FB93" s="402"/>
      <c r="FC93" s="402"/>
      <c r="FD93" s="402"/>
      <c r="FE93" s="402"/>
      <c r="FF93" s="402"/>
      <c r="FG93" s="402"/>
      <c r="FH93" s="402"/>
      <c r="FI93" s="402"/>
      <c r="FJ93" s="402"/>
      <c r="FK93" s="402"/>
      <c r="FL93" s="402"/>
      <c r="FM93" s="402"/>
      <c r="FN93" s="402"/>
      <c r="FO93" s="402"/>
      <c r="FP93" s="375"/>
      <c r="FQ93" s="376" t="s">
        <v>972</v>
      </c>
      <c r="FR93" s="377" t="s">
        <v>522</v>
      </c>
      <c r="FS93" s="377" t="s">
        <v>850</v>
      </c>
      <c r="FT93" s="377" t="s">
        <v>915</v>
      </c>
      <c r="FU93" s="144">
        <f t="shared" si="8"/>
        <v>0</v>
      </c>
      <c r="FV93" s="371" t="s">
        <v>911</v>
      </c>
    </row>
    <row r="94" spans="1:178" s="371" customFormat="1">
      <c r="A94" s="368" t="s">
        <v>999</v>
      </c>
      <c r="B94" s="369" t="s">
        <v>525</v>
      </c>
      <c r="C94" s="369" t="s">
        <v>555</v>
      </c>
      <c r="D94" s="369" t="s">
        <v>8</v>
      </c>
      <c r="E94" s="370" t="s">
        <v>1000</v>
      </c>
      <c r="F94" s="369" t="s">
        <v>520</v>
      </c>
      <c r="G94" s="369" t="s">
        <v>1001</v>
      </c>
      <c r="H94" s="401"/>
      <c r="I94" s="401"/>
      <c r="J94" s="401"/>
      <c r="K94" s="401"/>
      <c r="L94" s="401"/>
      <c r="M94" s="401"/>
      <c r="N94" s="401"/>
      <c r="O94" s="401"/>
      <c r="P94" s="401"/>
      <c r="Q94" s="401"/>
      <c r="R94" s="401"/>
      <c r="S94" s="401"/>
      <c r="T94" s="401"/>
      <c r="U94" s="401"/>
      <c r="V94" s="401"/>
      <c r="W94" s="401"/>
      <c r="X94" s="401"/>
      <c r="Y94" s="401"/>
      <c r="Z94" s="401"/>
      <c r="AA94" s="401"/>
      <c r="AB94" s="401"/>
      <c r="AC94" s="401"/>
      <c r="AD94" s="401"/>
      <c r="AE94" s="401"/>
      <c r="AF94" s="401"/>
      <c r="AG94" s="401"/>
      <c r="AH94" s="401"/>
      <c r="AI94" s="401"/>
      <c r="AJ94" s="401"/>
      <c r="AK94" s="401"/>
      <c r="AL94" s="401"/>
      <c r="AM94" s="401"/>
      <c r="AN94" s="401"/>
      <c r="AO94" s="401"/>
      <c r="AP94" s="401"/>
      <c r="AQ94" s="401"/>
      <c r="AR94" s="401"/>
      <c r="AS94" s="401"/>
      <c r="AT94" s="401"/>
      <c r="AU94" s="401"/>
      <c r="AV94" s="401"/>
      <c r="AW94" s="401"/>
      <c r="AX94" s="401"/>
      <c r="AY94" s="401"/>
      <c r="AZ94" s="401"/>
      <c r="BA94" s="402"/>
      <c r="BB94" s="401"/>
      <c r="BC94" s="401"/>
      <c r="BD94" s="401"/>
      <c r="BE94" s="401"/>
      <c r="BF94" s="401"/>
      <c r="BG94" s="401"/>
      <c r="BH94" s="401"/>
      <c r="BI94" s="401"/>
      <c r="BJ94" s="401"/>
      <c r="BK94" s="401"/>
      <c r="BL94" s="401"/>
      <c r="BM94" s="401"/>
      <c r="BN94" s="401"/>
      <c r="BO94" s="401"/>
      <c r="BP94" s="401"/>
      <c r="BQ94" s="401"/>
      <c r="BR94" s="401"/>
      <c r="BS94" s="401"/>
      <c r="BT94" s="401"/>
      <c r="BU94" s="401"/>
      <c r="BV94" s="401"/>
      <c r="BW94" s="401"/>
      <c r="BX94" s="401"/>
      <c r="BY94" s="401"/>
      <c r="BZ94" s="401"/>
      <c r="CA94" s="401"/>
      <c r="CB94" s="401"/>
      <c r="CC94" s="401"/>
      <c r="CD94" s="401"/>
      <c r="CE94" s="401"/>
      <c r="CF94" s="401"/>
      <c r="CG94" s="401"/>
      <c r="CH94" s="401"/>
      <c r="CI94" s="401"/>
      <c r="CJ94" s="401"/>
      <c r="CK94" s="401"/>
      <c r="CL94" s="401"/>
      <c r="CM94" s="401"/>
      <c r="CN94" s="401"/>
      <c r="CO94" s="401"/>
      <c r="CP94" s="401"/>
      <c r="CQ94" s="401"/>
      <c r="CR94" s="401"/>
      <c r="CS94" s="401"/>
      <c r="CT94" s="401"/>
      <c r="CU94" s="401"/>
      <c r="CV94" s="401"/>
      <c r="CW94" s="401"/>
      <c r="CX94" s="401"/>
      <c r="CY94" s="401"/>
      <c r="CZ94" s="411">
        <v>10</v>
      </c>
      <c r="DA94" s="401"/>
      <c r="DB94" s="401"/>
      <c r="DC94" s="401"/>
      <c r="DD94" s="401"/>
      <c r="DE94" s="401"/>
      <c r="DF94" s="401"/>
      <c r="DG94" s="401"/>
      <c r="DH94" s="401"/>
      <c r="DI94" s="401"/>
      <c r="DJ94" s="401"/>
      <c r="DK94" s="401"/>
      <c r="DL94" s="401"/>
      <c r="DM94" s="401"/>
      <c r="DN94" s="401"/>
      <c r="DO94" s="402"/>
      <c r="DP94" s="401"/>
      <c r="DQ94" s="401"/>
      <c r="DR94" s="401"/>
      <c r="DS94" s="401"/>
      <c r="DT94" s="401"/>
      <c r="DU94" s="401"/>
      <c r="DV94" s="401"/>
      <c r="DW94" s="401"/>
      <c r="DX94" s="401"/>
      <c r="DY94" s="401"/>
      <c r="DZ94" s="401"/>
      <c r="EA94" s="401"/>
      <c r="EB94" s="401"/>
      <c r="EC94" s="401"/>
      <c r="ED94" s="401"/>
      <c r="EE94" s="411">
        <v>5</v>
      </c>
      <c r="EF94" s="401"/>
      <c r="EG94" s="401"/>
      <c r="EH94" s="411">
        <v>2</v>
      </c>
      <c r="EI94" s="401"/>
      <c r="EJ94" s="401"/>
      <c r="EK94" s="401"/>
      <c r="EL94" s="401"/>
      <c r="EM94" s="402"/>
      <c r="EN94" s="401"/>
      <c r="EO94" s="401"/>
      <c r="EP94" s="401"/>
      <c r="EQ94" s="401"/>
      <c r="ER94" s="401"/>
      <c r="ES94" s="401"/>
      <c r="ET94" s="401"/>
      <c r="EU94" s="401"/>
      <c r="EV94" s="401"/>
      <c r="EW94" s="411">
        <v>10</v>
      </c>
      <c r="EX94" s="401"/>
      <c r="EY94" s="401"/>
      <c r="EZ94" s="401"/>
      <c r="FA94" s="401"/>
      <c r="FB94" s="401"/>
      <c r="FC94" s="401"/>
      <c r="FD94" s="401"/>
      <c r="FE94" s="401"/>
      <c r="FF94" s="401"/>
      <c r="FG94" s="401"/>
      <c r="FH94" s="401"/>
      <c r="FI94" s="401"/>
      <c r="FJ94" s="401"/>
      <c r="FK94" s="401"/>
      <c r="FL94" s="401"/>
      <c r="FM94" s="401"/>
      <c r="FN94" s="401"/>
      <c r="FO94" s="401"/>
      <c r="FP94" s="375" t="s">
        <v>850</v>
      </c>
      <c r="FQ94" s="376" t="s">
        <v>972</v>
      </c>
      <c r="FR94" s="377" t="s">
        <v>522</v>
      </c>
      <c r="FS94" s="377" t="s">
        <v>1002</v>
      </c>
      <c r="FT94" s="377" t="s">
        <v>600</v>
      </c>
      <c r="FU94" s="144">
        <f t="shared" si="8"/>
        <v>27</v>
      </c>
      <c r="FV94" s="371" t="s">
        <v>913</v>
      </c>
    </row>
    <row r="95" spans="1:178" s="371" customFormat="1">
      <c r="A95" s="368" t="s">
        <v>999</v>
      </c>
      <c r="B95" s="369" t="s">
        <v>525</v>
      </c>
      <c r="C95" s="369" t="s">
        <v>555</v>
      </c>
      <c r="D95" s="369" t="s">
        <v>4</v>
      </c>
      <c r="E95" s="370" t="s">
        <v>1000</v>
      </c>
      <c r="F95" s="369" t="s">
        <v>520</v>
      </c>
      <c r="G95" s="369" t="s">
        <v>1001</v>
      </c>
      <c r="H95" s="402" t="s">
        <v>850</v>
      </c>
      <c r="I95" s="402" t="s">
        <v>850</v>
      </c>
      <c r="J95" s="402" t="s">
        <v>850</v>
      </c>
      <c r="K95" s="402"/>
      <c r="L95" s="402" t="s">
        <v>850</v>
      </c>
      <c r="M95" s="402" t="s">
        <v>850</v>
      </c>
      <c r="N95" s="402"/>
      <c r="O95" s="402"/>
      <c r="P95" s="402" t="s">
        <v>850</v>
      </c>
      <c r="Q95" s="402" t="s">
        <v>850</v>
      </c>
      <c r="R95" s="402" t="s">
        <v>850</v>
      </c>
      <c r="S95" s="402" t="s">
        <v>850</v>
      </c>
      <c r="T95" s="402"/>
      <c r="U95" s="402" t="s">
        <v>850</v>
      </c>
      <c r="V95" s="402" t="s">
        <v>850</v>
      </c>
      <c r="W95" s="402" t="s">
        <v>850</v>
      </c>
      <c r="X95" s="402"/>
      <c r="Y95" s="402"/>
      <c r="Z95" s="402"/>
      <c r="AA95" s="402"/>
      <c r="AB95" s="402"/>
      <c r="AC95" s="402" t="s">
        <v>850</v>
      </c>
      <c r="AD95" s="402"/>
      <c r="AE95" s="402" t="s">
        <v>850</v>
      </c>
      <c r="AF95" s="402" t="s">
        <v>850</v>
      </c>
      <c r="AG95" s="402" t="s">
        <v>850</v>
      </c>
      <c r="AH95" s="402" t="s">
        <v>850</v>
      </c>
      <c r="AI95" s="402" t="s">
        <v>850</v>
      </c>
      <c r="AJ95" s="402" t="s">
        <v>850</v>
      </c>
      <c r="AK95" s="402" t="s">
        <v>850</v>
      </c>
      <c r="AL95" s="402" t="s">
        <v>850</v>
      </c>
      <c r="AM95" s="402" t="s">
        <v>850</v>
      </c>
      <c r="AN95" s="402" t="s">
        <v>850</v>
      </c>
      <c r="AO95" s="402" t="s">
        <v>850</v>
      </c>
      <c r="AP95" s="402" t="s">
        <v>850</v>
      </c>
      <c r="AQ95" s="402" t="s">
        <v>850</v>
      </c>
      <c r="AR95" s="402" t="s">
        <v>850</v>
      </c>
      <c r="AS95" s="402" t="s">
        <v>850</v>
      </c>
      <c r="AT95" s="402" t="s">
        <v>850</v>
      </c>
      <c r="AU95" s="402"/>
      <c r="AV95" s="402" t="s">
        <v>850</v>
      </c>
      <c r="AW95" s="402" t="s">
        <v>850</v>
      </c>
      <c r="AX95" s="402"/>
      <c r="AY95" s="402" t="s">
        <v>850</v>
      </c>
      <c r="AZ95" s="402" t="s">
        <v>850</v>
      </c>
      <c r="BA95" s="402"/>
      <c r="BB95" s="402" t="s">
        <v>850</v>
      </c>
      <c r="BC95" s="402" t="s">
        <v>850</v>
      </c>
      <c r="BD95" s="402"/>
      <c r="BE95" s="402" t="s">
        <v>850</v>
      </c>
      <c r="BF95" s="402" t="s">
        <v>850</v>
      </c>
      <c r="BG95" s="402"/>
      <c r="BH95" s="402" t="s">
        <v>850</v>
      </c>
      <c r="BI95" s="402" t="s">
        <v>850</v>
      </c>
      <c r="BJ95" s="402" t="s">
        <v>850</v>
      </c>
      <c r="BK95" s="402" t="s">
        <v>850</v>
      </c>
      <c r="BL95" s="402"/>
      <c r="BM95" s="402"/>
      <c r="BN95" s="402"/>
      <c r="BO95" s="403">
        <f>5-5+2</f>
        <v>2</v>
      </c>
      <c r="BP95" s="403">
        <f>10-10+2</f>
        <v>2</v>
      </c>
      <c r="BQ95" s="402" t="s">
        <v>850</v>
      </c>
      <c r="BR95" s="402" t="s">
        <v>850</v>
      </c>
      <c r="BS95" s="403">
        <f>20-20+2</f>
        <v>2</v>
      </c>
      <c r="BT95" s="402"/>
      <c r="BU95" s="402" t="s">
        <v>850</v>
      </c>
      <c r="BV95" s="402" t="s">
        <v>850</v>
      </c>
      <c r="BW95" s="402"/>
      <c r="BX95" s="402"/>
      <c r="BY95" s="402"/>
      <c r="BZ95" s="402" t="s">
        <v>850</v>
      </c>
      <c r="CA95" s="402" t="s">
        <v>850</v>
      </c>
      <c r="CB95" s="403">
        <f>30-30+5</f>
        <v>5</v>
      </c>
      <c r="CC95" s="402" t="s">
        <v>850</v>
      </c>
      <c r="CD95" s="402"/>
      <c r="CE95" s="401"/>
      <c r="CF95" s="402" t="s">
        <v>850</v>
      </c>
      <c r="CG95" s="402"/>
      <c r="CH95" s="402"/>
      <c r="CI95" s="403">
        <f>30-30+5</f>
        <v>5</v>
      </c>
      <c r="CJ95" s="403">
        <f>30-30+2</f>
        <v>2</v>
      </c>
      <c r="CK95" s="403">
        <f>30-30</f>
        <v>0</v>
      </c>
      <c r="CL95" s="403">
        <f>50-50</f>
        <v>0</v>
      </c>
      <c r="CM95" s="401"/>
      <c r="CN95" s="402"/>
      <c r="CO95" s="411">
        <v>10</v>
      </c>
      <c r="CP95" s="403">
        <f>30-30</f>
        <v>0</v>
      </c>
      <c r="CQ95" s="403">
        <f>30-30</f>
        <v>0</v>
      </c>
      <c r="CR95" s="403">
        <f>50-50</f>
        <v>0</v>
      </c>
      <c r="CS95" s="403">
        <f>40-40</f>
        <v>0</v>
      </c>
      <c r="CT95" s="402" t="s">
        <v>850</v>
      </c>
      <c r="CU95" s="402" t="s">
        <v>850</v>
      </c>
      <c r="CV95" s="402"/>
      <c r="CW95" s="402"/>
      <c r="CX95" s="403">
        <f>100-100+20</f>
        <v>20</v>
      </c>
      <c r="CY95" s="403">
        <f>50-50</f>
        <v>0</v>
      </c>
      <c r="CZ95" s="403">
        <f>50-50</f>
        <v>0</v>
      </c>
      <c r="DA95" s="402"/>
      <c r="DB95" s="402" t="s">
        <v>850</v>
      </c>
      <c r="DC95" s="402" t="s">
        <v>850</v>
      </c>
      <c r="DD95" s="402"/>
      <c r="DE95" s="402" t="s">
        <v>850</v>
      </c>
      <c r="DF95" s="402"/>
      <c r="DG95" s="403">
        <f>100-100+2</f>
        <v>2</v>
      </c>
      <c r="DH95" s="402" t="s">
        <v>850</v>
      </c>
      <c r="DI95" s="403">
        <f>50-50</f>
        <v>0</v>
      </c>
      <c r="DJ95" s="403">
        <f>50-50</f>
        <v>0</v>
      </c>
      <c r="DK95" s="402" t="s">
        <v>850</v>
      </c>
      <c r="DL95" s="402" t="s">
        <v>850</v>
      </c>
      <c r="DM95" s="402" t="s">
        <v>850</v>
      </c>
      <c r="DN95" s="402" t="s">
        <v>850</v>
      </c>
      <c r="DO95" s="402"/>
      <c r="DP95" s="402"/>
      <c r="DQ95" s="402" t="s">
        <v>850</v>
      </c>
      <c r="DR95" s="402" t="s">
        <v>850</v>
      </c>
      <c r="DS95" s="402"/>
      <c r="DT95" s="402" t="s">
        <v>850</v>
      </c>
      <c r="DU95" s="402"/>
      <c r="DV95" s="402" t="s">
        <v>850</v>
      </c>
      <c r="DW95" s="402"/>
      <c r="DX95" s="402" t="s">
        <v>850</v>
      </c>
      <c r="DY95" s="402"/>
      <c r="DZ95" s="402" t="s">
        <v>850</v>
      </c>
      <c r="EA95" s="402" t="s">
        <v>850</v>
      </c>
      <c r="EB95" s="402" t="s">
        <v>850</v>
      </c>
      <c r="EC95" s="403">
        <f>200-200</f>
        <v>0</v>
      </c>
      <c r="ED95" s="403">
        <f>200-200</f>
        <v>0</v>
      </c>
      <c r="EE95" s="403">
        <f>250-250</f>
        <v>0</v>
      </c>
      <c r="EF95" s="402" t="s">
        <v>850</v>
      </c>
      <c r="EG95" s="403">
        <f>100-100+2</f>
        <v>2</v>
      </c>
      <c r="EH95" s="403">
        <f>100-100</f>
        <v>0</v>
      </c>
      <c r="EI95" s="402" t="s">
        <v>850</v>
      </c>
      <c r="EJ95" s="402" t="s">
        <v>850</v>
      </c>
      <c r="EK95" s="402" t="s">
        <v>850</v>
      </c>
      <c r="EL95" s="402" t="s">
        <v>850</v>
      </c>
      <c r="EM95" s="411">
        <v>2</v>
      </c>
      <c r="EN95" s="403">
        <f>50-50</f>
        <v>0</v>
      </c>
      <c r="EO95" s="402" t="s">
        <v>850</v>
      </c>
      <c r="EP95" s="403">
        <f>150-150</f>
        <v>0</v>
      </c>
      <c r="EQ95" s="403">
        <f>150-150+5</f>
        <v>5</v>
      </c>
      <c r="ER95" s="402" t="s">
        <v>850</v>
      </c>
      <c r="ES95" s="402" t="s">
        <v>850</v>
      </c>
      <c r="ET95" s="403">
        <f>100-100</f>
        <v>0</v>
      </c>
      <c r="EU95" s="402"/>
      <c r="EV95" s="402"/>
      <c r="EW95" s="403">
        <f>200-200</f>
        <v>0</v>
      </c>
      <c r="EX95" s="402"/>
      <c r="EY95" s="402" t="s">
        <v>850</v>
      </c>
      <c r="EZ95" s="402"/>
      <c r="FA95" s="402"/>
      <c r="FB95" s="402"/>
      <c r="FC95" s="402"/>
      <c r="FD95" s="402"/>
      <c r="FE95" s="402"/>
      <c r="FF95" s="402"/>
      <c r="FG95" s="402" t="s">
        <v>850</v>
      </c>
      <c r="FH95" s="402"/>
      <c r="FI95" s="402" t="s">
        <v>850</v>
      </c>
      <c r="FJ95" s="402" t="s">
        <v>850</v>
      </c>
      <c r="FK95" s="402"/>
      <c r="FL95" s="402" t="s">
        <v>850</v>
      </c>
      <c r="FM95" s="402" t="s">
        <v>850</v>
      </c>
      <c r="FN95" s="402" t="s">
        <v>850</v>
      </c>
      <c r="FO95" s="402" t="s">
        <v>850</v>
      </c>
      <c r="FP95" s="375"/>
      <c r="FQ95" s="376" t="s">
        <v>972</v>
      </c>
      <c r="FR95" s="377" t="s">
        <v>522</v>
      </c>
      <c r="FS95" s="377" t="s">
        <v>1002</v>
      </c>
      <c r="FT95" s="377" t="s">
        <v>600</v>
      </c>
      <c r="FU95" s="144">
        <f t="shared" si="8"/>
        <v>59</v>
      </c>
      <c r="FV95" s="371" t="s">
        <v>913</v>
      </c>
    </row>
    <row r="96" spans="1:178" s="371" customFormat="1">
      <c r="A96" s="368" t="s">
        <v>999</v>
      </c>
      <c r="B96" s="369" t="s">
        <v>525</v>
      </c>
      <c r="C96" s="369" t="s">
        <v>555</v>
      </c>
      <c r="D96" s="369" t="s">
        <v>3</v>
      </c>
      <c r="E96" s="370" t="s">
        <v>1000</v>
      </c>
      <c r="F96" s="369" t="s">
        <v>520</v>
      </c>
      <c r="G96" s="369" t="s">
        <v>1003</v>
      </c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02"/>
      <c r="AH96" s="402"/>
      <c r="AI96" s="402"/>
      <c r="AJ96" s="402"/>
      <c r="AK96" s="402"/>
      <c r="AL96" s="402"/>
      <c r="AM96" s="402"/>
      <c r="AN96" s="402"/>
      <c r="AO96" s="402"/>
      <c r="AP96" s="402"/>
      <c r="AQ96" s="402"/>
      <c r="AR96" s="402"/>
      <c r="AS96" s="402"/>
      <c r="AT96" s="402"/>
      <c r="AU96" s="402"/>
      <c r="AV96" s="402"/>
      <c r="AW96" s="402"/>
      <c r="AX96" s="402"/>
      <c r="AY96" s="402"/>
      <c r="AZ96" s="402"/>
      <c r="BA96" s="402"/>
      <c r="BB96" s="402"/>
      <c r="BC96" s="402"/>
      <c r="BD96" s="402"/>
      <c r="BE96" s="402"/>
      <c r="BF96" s="402"/>
      <c r="BG96" s="402"/>
      <c r="BH96" s="402"/>
      <c r="BI96" s="402"/>
      <c r="BJ96" s="402"/>
      <c r="BK96" s="402"/>
      <c r="BL96" s="402"/>
      <c r="BM96" s="402"/>
      <c r="BN96" s="402"/>
      <c r="BO96" s="402"/>
      <c r="BP96" s="402"/>
      <c r="BQ96" s="402"/>
      <c r="BR96" s="402"/>
      <c r="BS96" s="402"/>
      <c r="BT96" s="402"/>
      <c r="BU96" s="402"/>
      <c r="BV96" s="402"/>
      <c r="BW96" s="402"/>
      <c r="BX96" s="402"/>
      <c r="BY96" s="402"/>
      <c r="BZ96" s="402"/>
      <c r="CA96" s="402"/>
      <c r="CB96" s="402"/>
      <c r="CC96" s="402"/>
      <c r="CD96" s="402"/>
      <c r="CE96" s="401"/>
      <c r="CF96" s="402"/>
      <c r="CG96" s="402"/>
      <c r="CH96" s="402"/>
      <c r="CI96" s="402"/>
      <c r="CJ96" s="402"/>
      <c r="CK96" s="402"/>
      <c r="CL96" s="402"/>
      <c r="CM96" s="401"/>
      <c r="CN96" s="402"/>
      <c r="CO96" s="401"/>
      <c r="CP96" s="402"/>
      <c r="CQ96" s="402"/>
      <c r="CR96" s="402"/>
      <c r="CS96" s="402"/>
      <c r="CT96" s="402"/>
      <c r="CU96" s="402"/>
      <c r="CV96" s="402"/>
      <c r="CW96" s="402"/>
      <c r="CX96" s="402"/>
      <c r="CY96" s="402"/>
      <c r="CZ96" s="402"/>
      <c r="DA96" s="402"/>
      <c r="DB96" s="402"/>
      <c r="DC96" s="402"/>
      <c r="DD96" s="402"/>
      <c r="DE96" s="402"/>
      <c r="DF96" s="402"/>
      <c r="DG96" s="402"/>
      <c r="DH96" s="402"/>
      <c r="DI96" s="402"/>
      <c r="DJ96" s="402"/>
      <c r="DK96" s="402"/>
      <c r="DL96" s="402"/>
      <c r="DM96" s="402"/>
      <c r="DN96" s="402"/>
      <c r="DO96" s="402"/>
      <c r="DP96" s="402"/>
      <c r="DQ96" s="402"/>
      <c r="DR96" s="402"/>
      <c r="DS96" s="402"/>
      <c r="DT96" s="402"/>
      <c r="DU96" s="402"/>
      <c r="DV96" s="402"/>
      <c r="DW96" s="402"/>
      <c r="DX96" s="402"/>
      <c r="DY96" s="402"/>
      <c r="DZ96" s="402"/>
      <c r="EA96" s="402"/>
      <c r="EB96" s="402"/>
      <c r="EC96" s="402"/>
      <c r="ED96" s="402"/>
      <c r="EE96" s="402"/>
      <c r="EF96" s="402"/>
      <c r="EG96" s="402"/>
      <c r="EH96" s="402"/>
      <c r="EI96" s="402"/>
      <c r="EJ96" s="402"/>
      <c r="EK96" s="402"/>
      <c r="EL96" s="402"/>
      <c r="EM96" s="402"/>
      <c r="EN96" s="402"/>
      <c r="EO96" s="402"/>
      <c r="EP96" s="402"/>
      <c r="EQ96" s="402"/>
      <c r="ER96" s="402"/>
      <c r="ES96" s="402"/>
      <c r="ET96" s="402"/>
      <c r="EU96" s="402"/>
      <c r="EV96" s="402"/>
      <c r="EW96" s="402"/>
      <c r="EX96" s="402"/>
      <c r="EY96" s="402"/>
      <c r="EZ96" s="402"/>
      <c r="FA96" s="402"/>
      <c r="FB96" s="402"/>
      <c r="FC96" s="402"/>
      <c r="FD96" s="402"/>
      <c r="FE96" s="402"/>
      <c r="FF96" s="402"/>
      <c r="FG96" s="402"/>
      <c r="FH96" s="402"/>
      <c r="FI96" s="402"/>
      <c r="FJ96" s="402"/>
      <c r="FK96" s="402"/>
      <c r="FL96" s="402"/>
      <c r="FM96" s="402"/>
      <c r="FN96" s="402"/>
      <c r="FO96" s="402"/>
      <c r="FP96" s="375"/>
      <c r="FQ96" s="376" t="s">
        <v>972</v>
      </c>
      <c r="FR96" s="377" t="s">
        <v>522</v>
      </c>
      <c r="FS96" s="377" t="s">
        <v>1002</v>
      </c>
      <c r="FT96" s="377" t="s">
        <v>600</v>
      </c>
      <c r="FU96" s="144">
        <f t="shared" si="8"/>
        <v>0</v>
      </c>
      <c r="FV96" s="371" t="s">
        <v>913</v>
      </c>
    </row>
    <row r="97" spans="1:178" s="371" customFormat="1">
      <c r="A97" s="368" t="s">
        <v>540</v>
      </c>
      <c r="B97" s="369" t="s">
        <v>517</v>
      </c>
      <c r="C97" s="369" t="s">
        <v>555</v>
      </c>
      <c r="D97" s="369" t="s">
        <v>8</v>
      </c>
      <c r="E97" s="370" t="s">
        <v>825</v>
      </c>
      <c r="F97" s="369" t="s">
        <v>520</v>
      </c>
      <c r="G97" s="369" t="s">
        <v>1004</v>
      </c>
      <c r="H97" s="401"/>
      <c r="I97" s="401"/>
      <c r="J97" s="401"/>
      <c r="K97" s="401"/>
      <c r="L97" s="401"/>
      <c r="M97" s="401"/>
      <c r="N97" s="401"/>
      <c r="O97" s="401"/>
      <c r="P97" s="401"/>
      <c r="Q97" s="401"/>
      <c r="R97" s="401"/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1"/>
      <c r="AF97" s="401"/>
      <c r="AG97" s="401"/>
      <c r="AH97" s="401"/>
      <c r="AI97" s="401"/>
      <c r="AJ97" s="401"/>
      <c r="AK97" s="401"/>
      <c r="AL97" s="401"/>
      <c r="AM97" s="401"/>
      <c r="AN97" s="401"/>
      <c r="AO97" s="401"/>
      <c r="AP97" s="401"/>
      <c r="AQ97" s="401"/>
      <c r="AR97" s="401"/>
      <c r="AS97" s="401"/>
      <c r="AT97" s="401"/>
      <c r="AU97" s="401"/>
      <c r="AV97" s="401"/>
      <c r="AW97" s="401"/>
      <c r="AX97" s="401"/>
      <c r="AY97" s="401"/>
      <c r="AZ97" s="401"/>
      <c r="BA97" s="402"/>
      <c r="BB97" s="401"/>
      <c r="BC97" s="401"/>
      <c r="BD97" s="401"/>
      <c r="BE97" s="401"/>
      <c r="BF97" s="401"/>
      <c r="BG97" s="401"/>
      <c r="BH97" s="401"/>
      <c r="BI97" s="401"/>
      <c r="BJ97" s="401"/>
      <c r="BK97" s="401"/>
      <c r="BL97" s="401"/>
      <c r="BM97" s="401"/>
      <c r="BN97" s="401"/>
      <c r="BO97" s="401"/>
      <c r="BP97" s="401"/>
      <c r="BQ97" s="401"/>
      <c r="BR97" s="401"/>
      <c r="BS97" s="401"/>
      <c r="BT97" s="401"/>
      <c r="BU97" s="401"/>
      <c r="BV97" s="401"/>
      <c r="BW97" s="401"/>
      <c r="BX97" s="401"/>
      <c r="BY97" s="401"/>
      <c r="BZ97" s="401"/>
      <c r="CA97" s="401"/>
      <c r="CB97" s="401"/>
      <c r="CC97" s="401"/>
      <c r="CD97" s="401"/>
      <c r="CE97" s="401"/>
      <c r="CF97" s="401"/>
      <c r="CG97" s="401"/>
      <c r="CH97" s="401"/>
      <c r="CI97" s="401"/>
      <c r="CJ97" s="401"/>
      <c r="CK97" s="401"/>
      <c r="CL97" s="401"/>
      <c r="CM97" s="401"/>
      <c r="CN97" s="401"/>
      <c r="CO97" s="401"/>
      <c r="CP97" s="401"/>
      <c r="CQ97" s="401"/>
      <c r="CR97" s="401"/>
      <c r="CS97" s="401"/>
      <c r="CT97" s="401"/>
      <c r="CU97" s="401"/>
      <c r="CV97" s="401"/>
      <c r="CW97" s="401"/>
      <c r="CX97" s="401"/>
      <c r="CY97" s="401"/>
      <c r="CZ97" s="401"/>
      <c r="DA97" s="401"/>
      <c r="DB97" s="401"/>
      <c r="DC97" s="401"/>
      <c r="DD97" s="401"/>
      <c r="DE97" s="401"/>
      <c r="DF97" s="401"/>
      <c r="DG97" s="401"/>
      <c r="DH97" s="401"/>
      <c r="DI97" s="401"/>
      <c r="DJ97" s="401"/>
      <c r="DK97" s="401"/>
      <c r="DL97" s="401"/>
      <c r="DM97" s="401"/>
      <c r="DN97" s="401"/>
      <c r="DO97" s="402"/>
      <c r="DP97" s="401"/>
      <c r="DQ97" s="401"/>
      <c r="DR97" s="401"/>
      <c r="DS97" s="401"/>
      <c r="DT97" s="401"/>
      <c r="DU97" s="401"/>
      <c r="DV97" s="401"/>
      <c r="DW97" s="401"/>
      <c r="DX97" s="401"/>
      <c r="DY97" s="401"/>
      <c r="DZ97" s="401"/>
      <c r="EA97" s="401"/>
      <c r="EB97" s="401"/>
      <c r="EC97" s="401"/>
      <c r="ED97" s="401"/>
      <c r="EE97" s="401"/>
      <c r="EF97" s="401"/>
      <c r="EG97" s="401"/>
      <c r="EH97" s="401"/>
      <c r="EI97" s="401"/>
      <c r="EJ97" s="401"/>
      <c r="EK97" s="401"/>
      <c r="EL97" s="401"/>
      <c r="EM97" s="402"/>
      <c r="EN97" s="401"/>
      <c r="EO97" s="401"/>
      <c r="EP97" s="401"/>
      <c r="EQ97" s="401"/>
      <c r="ER97" s="401"/>
      <c r="ES97" s="401"/>
      <c r="ET97" s="401"/>
      <c r="EU97" s="401"/>
      <c r="EV97" s="401"/>
      <c r="EW97" s="401"/>
      <c r="EX97" s="401"/>
      <c r="EY97" s="401"/>
      <c r="EZ97" s="401"/>
      <c r="FA97" s="401"/>
      <c r="FB97" s="401"/>
      <c r="FC97" s="401"/>
      <c r="FD97" s="401"/>
      <c r="FE97" s="401"/>
      <c r="FF97" s="401"/>
      <c r="FG97" s="401"/>
      <c r="FH97" s="401"/>
      <c r="FI97" s="401"/>
      <c r="FJ97" s="401"/>
      <c r="FK97" s="401"/>
      <c r="FL97" s="401"/>
      <c r="FM97" s="401"/>
      <c r="FN97" s="401"/>
      <c r="FO97" s="401"/>
      <c r="FP97" s="375" t="s">
        <v>850</v>
      </c>
      <c r="FQ97" s="376" t="s">
        <v>972</v>
      </c>
      <c r="FR97" s="377" t="s">
        <v>522</v>
      </c>
      <c r="FS97" s="377" t="s">
        <v>850</v>
      </c>
      <c r="FT97" s="377" t="s">
        <v>828</v>
      </c>
      <c r="FU97" s="144">
        <f t="shared" si="8"/>
        <v>0</v>
      </c>
      <c r="FV97" s="371" t="s">
        <v>905</v>
      </c>
    </row>
    <row r="98" spans="1:178" s="371" customFormat="1">
      <c r="A98" s="368" t="s">
        <v>540</v>
      </c>
      <c r="B98" s="369" t="s">
        <v>517</v>
      </c>
      <c r="C98" s="369" t="s">
        <v>555</v>
      </c>
      <c r="D98" s="369" t="s">
        <v>4</v>
      </c>
      <c r="E98" s="370" t="s">
        <v>825</v>
      </c>
      <c r="F98" s="369" t="s">
        <v>520</v>
      </c>
      <c r="G98" s="369" t="s">
        <v>1004</v>
      </c>
      <c r="H98" s="402" t="s">
        <v>850</v>
      </c>
      <c r="I98" s="402" t="s">
        <v>850</v>
      </c>
      <c r="J98" s="402" t="s">
        <v>850</v>
      </c>
      <c r="K98" s="402"/>
      <c r="L98" s="402" t="s">
        <v>850</v>
      </c>
      <c r="M98" s="402" t="s">
        <v>850</v>
      </c>
      <c r="N98" s="402"/>
      <c r="O98" s="402"/>
      <c r="P98" s="402" t="s">
        <v>850</v>
      </c>
      <c r="Q98" s="402" t="s">
        <v>850</v>
      </c>
      <c r="R98" s="402" t="s">
        <v>850</v>
      </c>
      <c r="S98" s="402" t="s">
        <v>850</v>
      </c>
      <c r="T98" s="402"/>
      <c r="U98" s="402" t="s">
        <v>850</v>
      </c>
      <c r="V98" s="402" t="s">
        <v>850</v>
      </c>
      <c r="W98" s="402" t="s">
        <v>850</v>
      </c>
      <c r="X98" s="402"/>
      <c r="Y98" s="402"/>
      <c r="Z98" s="402"/>
      <c r="AA98" s="402"/>
      <c r="AB98" s="402"/>
      <c r="AC98" s="402" t="s">
        <v>850</v>
      </c>
      <c r="AD98" s="402"/>
      <c r="AE98" s="402" t="s">
        <v>850</v>
      </c>
      <c r="AF98" s="402" t="s">
        <v>850</v>
      </c>
      <c r="AG98" s="402" t="s">
        <v>850</v>
      </c>
      <c r="AH98" s="402" t="s">
        <v>850</v>
      </c>
      <c r="AI98" s="402" t="s">
        <v>850</v>
      </c>
      <c r="AJ98" s="402" t="s">
        <v>850</v>
      </c>
      <c r="AK98" s="402" t="s">
        <v>850</v>
      </c>
      <c r="AL98" s="402" t="s">
        <v>850</v>
      </c>
      <c r="AM98" s="402" t="s">
        <v>850</v>
      </c>
      <c r="AN98" s="402" t="s">
        <v>850</v>
      </c>
      <c r="AO98" s="402" t="s">
        <v>850</v>
      </c>
      <c r="AP98" s="402" t="s">
        <v>850</v>
      </c>
      <c r="AQ98" s="402" t="s">
        <v>850</v>
      </c>
      <c r="AR98" s="402" t="s">
        <v>850</v>
      </c>
      <c r="AS98" s="402" t="s">
        <v>850</v>
      </c>
      <c r="AT98" s="402" t="s">
        <v>850</v>
      </c>
      <c r="AU98" s="402"/>
      <c r="AV98" s="402" t="s">
        <v>850</v>
      </c>
      <c r="AW98" s="402" t="s">
        <v>850</v>
      </c>
      <c r="AX98" s="402"/>
      <c r="AY98" s="402" t="s">
        <v>850</v>
      </c>
      <c r="AZ98" s="403">
        <f>50-50</f>
        <v>0</v>
      </c>
      <c r="BA98" s="402"/>
      <c r="BB98" s="402" t="s">
        <v>850</v>
      </c>
      <c r="BC98" s="402" t="s">
        <v>850</v>
      </c>
      <c r="BD98" s="402"/>
      <c r="BE98" s="402" t="s">
        <v>850</v>
      </c>
      <c r="BF98" s="402" t="s">
        <v>850</v>
      </c>
      <c r="BG98" s="402"/>
      <c r="BH98" s="402" t="s">
        <v>850</v>
      </c>
      <c r="BI98" s="402" t="s">
        <v>850</v>
      </c>
      <c r="BJ98" s="402" t="s">
        <v>850</v>
      </c>
      <c r="BK98" s="402" t="s">
        <v>850</v>
      </c>
      <c r="BL98" s="402"/>
      <c r="BM98" s="402"/>
      <c r="BN98" s="402"/>
      <c r="BO98" s="402"/>
      <c r="BP98" s="402"/>
      <c r="BQ98" s="402" t="s">
        <v>850</v>
      </c>
      <c r="BR98" s="402" t="s">
        <v>850</v>
      </c>
      <c r="BS98" s="402"/>
      <c r="BT98" s="402"/>
      <c r="BU98" s="402" t="s">
        <v>850</v>
      </c>
      <c r="BV98" s="402" t="s">
        <v>850</v>
      </c>
      <c r="BW98" s="402"/>
      <c r="BX98" s="402"/>
      <c r="BY98" s="402"/>
      <c r="BZ98" s="402" t="s">
        <v>850</v>
      </c>
      <c r="CA98" s="402" t="s">
        <v>850</v>
      </c>
      <c r="CB98" s="402"/>
      <c r="CC98" s="402"/>
      <c r="CD98" s="402"/>
      <c r="CE98" s="401"/>
      <c r="CF98" s="402" t="s">
        <v>850</v>
      </c>
      <c r="CG98" s="402"/>
      <c r="CH98" s="403">
        <f>50-50+1</f>
        <v>1</v>
      </c>
      <c r="CI98" s="403">
        <f>50-50+2</f>
        <v>2</v>
      </c>
      <c r="CJ98" s="402"/>
      <c r="CK98" s="402"/>
      <c r="CL98" s="402"/>
      <c r="CM98" s="401"/>
      <c r="CN98" s="402"/>
      <c r="CO98" s="401"/>
      <c r="CP98" s="402" t="s">
        <v>850</v>
      </c>
      <c r="CQ98" s="402" t="s">
        <v>850</v>
      </c>
      <c r="CR98" s="402"/>
      <c r="CS98" s="402" t="s">
        <v>850</v>
      </c>
      <c r="CT98" s="402" t="s">
        <v>850</v>
      </c>
      <c r="CU98" s="402" t="s">
        <v>850</v>
      </c>
      <c r="CV98" s="402"/>
      <c r="CW98" s="403">
        <f>50-50+10</f>
        <v>10</v>
      </c>
      <c r="CX98" s="402"/>
      <c r="CY98" s="402"/>
      <c r="CZ98" s="402"/>
      <c r="DA98" s="402"/>
      <c r="DB98" s="402" t="s">
        <v>850</v>
      </c>
      <c r="DC98" s="402" t="s">
        <v>850</v>
      </c>
      <c r="DD98" s="402"/>
      <c r="DE98" s="402" t="s">
        <v>850</v>
      </c>
      <c r="DF98" s="402"/>
      <c r="DG98" s="402"/>
      <c r="DH98" s="402" t="s">
        <v>850</v>
      </c>
      <c r="DI98" s="403">
        <f>50-50</f>
        <v>0</v>
      </c>
      <c r="DJ98" s="402" t="s">
        <v>850</v>
      </c>
      <c r="DK98" s="402" t="s">
        <v>850</v>
      </c>
      <c r="DL98" s="402" t="s">
        <v>850</v>
      </c>
      <c r="DM98" s="402" t="s">
        <v>850</v>
      </c>
      <c r="DN98" s="402" t="s">
        <v>850</v>
      </c>
      <c r="DO98" s="402"/>
      <c r="DP98" s="402"/>
      <c r="DQ98" s="402" t="s">
        <v>850</v>
      </c>
      <c r="DR98" s="402" t="s">
        <v>850</v>
      </c>
      <c r="DS98" s="402"/>
      <c r="DT98" s="402" t="s">
        <v>850</v>
      </c>
      <c r="DU98" s="402"/>
      <c r="DV98" s="402" t="s">
        <v>850</v>
      </c>
      <c r="DW98" s="402"/>
      <c r="DX98" s="402" t="s">
        <v>850</v>
      </c>
      <c r="DY98" s="402"/>
      <c r="DZ98" s="402" t="s">
        <v>850</v>
      </c>
      <c r="EA98" s="402" t="s">
        <v>850</v>
      </c>
      <c r="EB98" s="402" t="s">
        <v>850</v>
      </c>
      <c r="EC98" s="402" t="s">
        <v>850</v>
      </c>
      <c r="ED98" s="402" t="s">
        <v>850</v>
      </c>
      <c r="EE98" s="402"/>
      <c r="EF98" s="402" t="s">
        <v>850</v>
      </c>
      <c r="EG98" s="402"/>
      <c r="EH98" s="402"/>
      <c r="EI98" s="402" t="s">
        <v>850</v>
      </c>
      <c r="EJ98" s="402" t="s">
        <v>850</v>
      </c>
      <c r="EK98" s="402" t="s">
        <v>850</v>
      </c>
      <c r="EL98" s="402" t="s">
        <v>850</v>
      </c>
      <c r="EM98" s="402"/>
      <c r="EN98" s="402" t="s">
        <v>850</v>
      </c>
      <c r="EO98" s="402" t="s">
        <v>850</v>
      </c>
      <c r="EP98" s="402" t="s">
        <v>850</v>
      </c>
      <c r="EQ98" s="402"/>
      <c r="ER98" s="402" t="s">
        <v>850</v>
      </c>
      <c r="ES98" s="402" t="s">
        <v>850</v>
      </c>
      <c r="ET98" s="402" t="s">
        <v>850</v>
      </c>
      <c r="EU98" s="402"/>
      <c r="EV98" s="402"/>
      <c r="EW98" s="402"/>
      <c r="EX98" s="402"/>
      <c r="EY98" s="402" t="s">
        <v>850</v>
      </c>
      <c r="EZ98" s="402"/>
      <c r="FA98" s="402"/>
      <c r="FB98" s="402"/>
      <c r="FC98" s="402"/>
      <c r="FD98" s="402"/>
      <c r="FE98" s="402"/>
      <c r="FF98" s="402"/>
      <c r="FG98" s="402" t="s">
        <v>850</v>
      </c>
      <c r="FH98" s="402"/>
      <c r="FI98" s="402" t="s">
        <v>850</v>
      </c>
      <c r="FJ98" s="402" t="s">
        <v>850</v>
      </c>
      <c r="FK98" s="402"/>
      <c r="FL98" s="402" t="s">
        <v>850</v>
      </c>
      <c r="FM98" s="402" t="s">
        <v>850</v>
      </c>
      <c r="FN98" s="402" t="s">
        <v>850</v>
      </c>
      <c r="FO98" s="402" t="s">
        <v>850</v>
      </c>
      <c r="FP98" s="375"/>
      <c r="FQ98" s="376" t="s">
        <v>972</v>
      </c>
      <c r="FR98" s="377" t="s">
        <v>522</v>
      </c>
      <c r="FS98" s="377" t="s">
        <v>850</v>
      </c>
      <c r="FT98" s="377" t="s">
        <v>828</v>
      </c>
      <c r="FU98" s="144">
        <f t="shared" si="8"/>
        <v>13</v>
      </c>
      <c r="FV98" s="371" t="s">
        <v>905</v>
      </c>
    </row>
    <row r="99" spans="1:178" s="371" customFormat="1">
      <c r="A99" s="368" t="s">
        <v>540</v>
      </c>
      <c r="B99" s="369" t="s">
        <v>517</v>
      </c>
      <c r="C99" s="369" t="s">
        <v>555</v>
      </c>
      <c r="D99" s="369" t="s">
        <v>3</v>
      </c>
      <c r="E99" s="370" t="s">
        <v>825</v>
      </c>
      <c r="F99" s="369" t="s">
        <v>520</v>
      </c>
      <c r="G99" s="369" t="s">
        <v>1005</v>
      </c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02"/>
      <c r="AH99" s="402"/>
      <c r="AI99" s="402"/>
      <c r="AJ99" s="402"/>
      <c r="AK99" s="402"/>
      <c r="AL99" s="402"/>
      <c r="AM99" s="402"/>
      <c r="AN99" s="402"/>
      <c r="AO99" s="402"/>
      <c r="AP99" s="402"/>
      <c r="AQ99" s="402"/>
      <c r="AR99" s="402"/>
      <c r="AS99" s="402"/>
      <c r="AT99" s="402"/>
      <c r="AU99" s="402"/>
      <c r="AV99" s="402"/>
      <c r="AW99" s="402"/>
      <c r="AX99" s="402"/>
      <c r="AY99" s="402"/>
      <c r="AZ99" s="402"/>
      <c r="BA99" s="402"/>
      <c r="BB99" s="402"/>
      <c r="BC99" s="402"/>
      <c r="BD99" s="402"/>
      <c r="BE99" s="402"/>
      <c r="BF99" s="402"/>
      <c r="BG99" s="402"/>
      <c r="BH99" s="402"/>
      <c r="BI99" s="402"/>
      <c r="BJ99" s="402"/>
      <c r="BK99" s="402"/>
      <c r="BL99" s="402"/>
      <c r="BM99" s="402"/>
      <c r="BN99" s="402"/>
      <c r="BO99" s="402"/>
      <c r="BP99" s="402"/>
      <c r="BQ99" s="402"/>
      <c r="BR99" s="402"/>
      <c r="BS99" s="402"/>
      <c r="BT99" s="402"/>
      <c r="BU99" s="402"/>
      <c r="BV99" s="402"/>
      <c r="BW99" s="402"/>
      <c r="BX99" s="402"/>
      <c r="BY99" s="402"/>
      <c r="BZ99" s="402"/>
      <c r="CA99" s="402"/>
      <c r="CB99" s="402"/>
      <c r="CC99" s="402"/>
      <c r="CD99" s="402"/>
      <c r="CE99" s="401"/>
      <c r="CF99" s="402"/>
      <c r="CG99" s="402"/>
      <c r="CH99" s="402"/>
      <c r="CI99" s="402"/>
      <c r="CJ99" s="402"/>
      <c r="CK99" s="402"/>
      <c r="CL99" s="402"/>
      <c r="CM99" s="401"/>
      <c r="CN99" s="402"/>
      <c r="CO99" s="401"/>
      <c r="CP99" s="402"/>
      <c r="CQ99" s="402"/>
      <c r="CR99" s="402"/>
      <c r="CS99" s="402"/>
      <c r="CT99" s="402"/>
      <c r="CU99" s="402"/>
      <c r="CV99" s="402"/>
      <c r="CW99" s="402"/>
      <c r="CX99" s="402"/>
      <c r="CY99" s="402"/>
      <c r="CZ99" s="402"/>
      <c r="DA99" s="402"/>
      <c r="DB99" s="402"/>
      <c r="DC99" s="402"/>
      <c r="DD99" s="402"/>
      <c r="DE99" s="402"/>
      <c r="DF99" s="402"/>
      <c r="DG99" s="402"/>
      <c r="DH99" s="402"/>
      <c r="DI99" s="402"/>
      <c r="DJ99" s="402"/>
      <c r="DK99" s="402"/>
      <c r="DL99" s="402"/>
      <c r="DM99" s="402"/>
      <c r="DN99" s="402"/>
      <c r="DO99" s="402"/>
      <c r="DP99" s="402"/>
      <c r="DQ99" s="402"/>
      <c r="DR99" s="402"/>
      <c r="DS99" s="402"/>
      <c r="DT99" s="402"/>
      <c r="DU99" s="402"/>
      <c r="DV99" s="402"/>
      <c r="DW99" s="402"/>
      <c r="DX99" s="402"/>
      <c r="DY99" s="402"/>
      <c r="DZ99" s="402"/>
      <c r="EA99" s="402"/>
      <c r="EB99" s="402"/>
      <c r="EC99" s="402"/>
      <c r="ED99" s="402"/>
      <c r="EE99" s="402"/>
      <c r="EF99" s="402"/>
      <c r="EG99" s="402"/>
      <c r="EH99" s="402"/>
      <c r="EI99" s="402"/>
      <c r="EJ99" s="402"/>
      <c r="EK99" s="402"/>
      <c r="EL99" s="402"/>
      <c r="EM99" s="402"/>
      <c r="EN99" s="402"/>
      <c r="EO99" s="402"/>
      <c r="EP99" s="402"/>
      <c r="EQ99" s="402"/>
      <c r="ER99" s="402"/>
      <c r="ES99" s="402"/>
      <c r="ET99" s="402"/>
      <c r="EU99" s="402"/>
      <c r="EV99" s="402"/>
      <c r="EW99" s="402"/>
      <c r="EX99" s="402"/>
      <c r="EY99" s="402"/>
      <c r="EZ99" s="402"/>
      <c r="FA99" s="402"/>
      <c r="FB99" s="402"/>
      <c r="FC99" s="402"/>
      <c r="FD99" s="402"/>
      <c r="FE99" s="402"/>
      <c r="FF99" s="402"/>
      <c r="FG99" s="402"/>
      <c r="FH99" s="402"/>
      <c r="FI99" s="402"/>
      <c r="FJ99" s="402"/>
      <c r="FK99" s="402"/>
      <c r="FL99" s="402"/>
      <c r="FM99" s="402"/>
      <c r="FN99" s="402"/>
      <c r="FO99" s="402"/>
      <c r="FP99" s="375"/>
      <c r="FQ99" s="376" t="s">
        <v>972</v>
      </c>
      <c r="FR99" s="377" t="s">
        <v>522</v>
      </c>
      <c r="FS99" s="377" t="s">
        <v>850</v>
      </c>
      <c r="FT99" s="377" t="s">
        <v>828</v>
      </c>
      <c r="FU99" s="144">
        <f t="shared" si="8"/>
        <v>0</v>
      </c>
      <c r="FV99" s="371" t="s">
        <v>905</v>
      </c>
    </row>
    <row r="100" spans="1:178" s="371" customFormat="1">
      <c r="A100" s="368" t="s">
        <v>526</v>
      </c>
      <c r="B100" s="369" t="s">
        <v>517</v>
      </c>
      <c r="C100" s="369" t="s">
        <v>555</v>
      </c>
      <c r="D100" s="369" t="s">
        <v>8</v>
      </c>
      <c r="E100" s="370" t="s">
        <v>604</v>
      </c>
      <c r="F100" s="369" t="s">
        <v>520</v>
      </c>
      <c r="G100" s="369" t="s">
        <v>1006</v>
      </c>
      <c r="H100" s="401"/>
      <c r="I100" s="401"/>
      <c r="J100" s="401"/>
      <c r="K100" s="401"/>
      <c r="L100" s="401"/>
      <c r="M100" s="401"/>
      <c r="N100" s="401"/>
      <c r="O100" s="401"/>
      <c r="P100" s="401"/>
      <c r="Q100" s="401"/>
      <c r="R100" s="401"/>
      <c r="S100" s="401"/>
      <c r="T100" s="401"/>
      <c r="U100" s="401"/>
      <c r="V100" s="401"/>
      <c r="W100" s="401"/>
      <c r="X100" s="401"/>
      <c r="Y100" s="401"/>
      <c r="Z100" s="401"/>
      <c r="AA100" s="401"/>
      <c r="AB100" s="401"/>
      <c r="AC100" s="401"/>
      <c r="AD100" s="401"/>
      <c r="AE100" s="401"/>
      <c r="AF100" s="401"/>
      <c r="AG100" s="401"/>
      <c r="AH100" s="401"/>
      <c r="AI100" s="401"/>
      <c r="AJ100" s="401"/>
      <c r="AK100" s="401"/>
      <c r="AL100" s="401"/>
      <c r="AM100" s="401"/>
      <c r="AN100" s="401"/>
      <c r="AO100" s="401"/>
      <c r="AP100" s="401"/>
      <c r="AQ100" s="401"/>
      <c r="AR100" s="401"/>
      <c r="AS100" s="401"/>
      <c r="AT100" s="401"/>
      <c r="AU100" s="401"/>
      <c r="AV100" s="401"/>
      <c r="AW100" s="401"/>
      <c r="AX100" s="401"/>
      <c r="AY100" s="401"/>
      <c r="AZ100" s="401"/>
      <c r="BA100" s="402"/>
      <c r="BB100" s="401"/>
      <c r="BC100" s="401"/>
      <c r="BD100" s="401"/>
      <c r="BE100" s="401"/>
      <c r="BF100" s="401"/>
      <c r="BG100" s="401"/>
      <c r="BH100" s="401"/>
      <c r="BI100" s="401"/>
      <c r="BJ100" s="401"/>
      <c r="BK100" s="401"/>
      <c r="BL100" s="401"/>
      <c r="BM100" s="401"/>
      <c r="BN100" s="401"/>
      <c r="BO100" s="401"/>
      <c r="BP100" s="401"/>
      <c r="BQ100" s="401"/>
      <c r="BR100" s="401"/>
      <c r="BS100" s="401"/>
      <c r="BT100" s="401"/>
      <c r="BU100" s="401"/>
      <c r="BV100" s="401"/>
      <c r="BW100" s="401"/>
      <c r="BX100" s="401"/>
      <c r="BY100" s="401"/>
      <c r="BZ100" s="401"/>
      <c r="CA100" s="401"/>
      <c r="CB100" s="401"/>
      <c r="CC100" s="401"/>
      <c r="CD100" s="401"/>
      <c r="CE100" s="401"/>
      <c r="CF100" s="401"/>
      <c r="CG100" s="401"/>
      <c r="CH100" s="401"/>
      <c r="CI100" s="401"/>
      <c r="CJ100" s="401"/>
      <c r="CK100" s="401"/>
      <c r="CL100" s="401"/>
      <c r="CM100" s="401"/>
      <c r="CN100" s="401"/>
      <c r="CO100" s="401"/>
      <c r="CP100" s="401"/>
      <c r="CQ100" s="401"/>
      <c r="CR100" s="401"/>
      <c r="CS100" s="401"/>
      <c r="CT100" s="401"/>
      <c r="CU100" s="401"/>
      <c r="CV100" s="401"/>
      <c r="CW100" s="401"/>
      <c r="CX100" s="401"/>
      <c r="CY100" s="401"/>
      <c r="CZ100" s="411">
        <v>5</v>
      </c>
      <c r="DA100" s="401"/>
      <c r="DB100" s="401"/>
      <c r="DC100" s="401"/>
      <c r="DD100" s="401"/>
      <c r="DE100" s="401"/>
      <c r="DF100" s="401"/>
      <c r="DG100" s="401"/>
      <c r="DH100" s="401"/>
      <c r="DI100" s="401"/>
      <c r="DJ100" s="401"/>
      <c r="DK100" s="401"/>
      <c r="DL100" s="401"/>
      <c r="DM100" s="401"/>
      <c r="DN100" s="401"/>
      <c r="DO100" s="402"/>
      <c r="DP100" s="401"/>
      <c r="DQ100" s="401"/>
      <c r="DR100" s="401"/>
      <c r="DS100" s="401"/>
      <c r="DT100" s="401"/>
      <c r="DU100" s="411">
        <v>10</v>
      </c>
      <c r="DV100" s="401"/>
      <c r="DW100" s="401"/>
      <c r="DX100" s="401"/>
      <c r="DY100" s="401"/>
      <c r="DZ100" s="401"/>
      <c r="EA100" s="401"/>
      <c r="EB100" s="401"/>
      <c r="EC100" s="401"/>
      <c r="ED100" s="401"/>
      <c r="EE100" s="401"/>
      <c r="EF100" s="401"/>
      <c r="EG100" s="401"/>
      <c r="EH100" s="411">
        <v>2</v>
      </c>
      <c r="EI100" s="401"/>
      <c r="EJ100" s="401"/>
      <c r="EK100" s="401"/>
      <c r="EL100" s="401"/>
      <c r="EM100" s="402"/>
      <c r="EN100" s="401"/>
      <c r="EO100" s="401"/>
      <c r="EP100" s="401"/>
      <c r="EQ100" s="401"/>
      <c r="ER100" s="401"/>
      <c r="ES100" s="401"/>
      <c r="ET100" s="401"/>
      <c r="EU100" s="401"/>
      <c r="EV100" s="411">
        <v>5</v>
      </c>
      <c r="EW100" s="401"/>
      <c r="EX100" s="401"/>
      <c r="EY100" s="401"/>
      <c r="EZ100" s="401"/>
      <c r="FA100" s="401"/>
      <c r="FB100" s="401"/>
      <c r="FC100" s="401"/>
      <c r="FD100" s="401"/>
      <c r="FE100" s="401"/>
      <c r="FF100" s="401"/>
      <c r="FG100" s="401"/>
      <c r="FH100" s="401"/>
      <c r="FI100" s="401"/>
      <c r="FJ100" s="401"/>
      <c r="FK100" s="401"/>
      <c r="FL100" s="401"/>
      <c r="FM100" s="401"/>
      <c r="FN100" s="401"/>
      <c r="FO100" s="401"/>
      <c r="FP100" s="375" t="s">
        <v>850</v>
      </c>
      <c r="FQ100" s="376" t="s">
        <v>972</v>
      </c>
      <c r="FR100" s="377" t="s">
        <v>522</v>
      </c>
      <c r="FS100" s="377" t="s">
        <v>850</v>
      </c>
      <c r="FT100" s="377" t="s">
        <v>607</v>
      </c>
      <c r="FU100" s="144">
        <f t="shared" si="8"/>
        <v>22</v>
      </c>
      <c r="FV100" s="371" t="s">
        <v>905</v>
      </c>
    </row>
    <row r="101" spans="1:178" s="371" customFormat="1">
      <c r="A101" s="368" t="s">
        <v>526</v>
      </c>
      <c r="B101" s="369" t="s">
        <v>517</v>
      </c>
      <c r="C101" s="369" t="s">
        <v>555</v>
      </c>
      <c r="D101" s="369" t="s">
        <v>4</v>
      </c>
      <c r="E101" s="370" t="s">
        <v>604</v>
      </c>
      <c r="F101" s="369" t="s">
        <v>520</v>
      </c>
      <c r="G101" s="369" t="s">
        <v>1006</v>
      </c>
      <c r="H101" s="402" t="s">
        <v>850</v>
      </c>
      <c r="I101" s="402" t="s">
        <v>850</v>
      </c>
      <c r="J101" s="402" t="s">
        <v>850</v>
      </c>
      <c r="K101" s="402"/>
      <c r="L101" s="402" t="s">
        <v>850</v>
      </c>
      <c r="M101" s="402" t="s">
        <v>850</v>
      </c>
      <c r="N101" s="402"/>
      <c r="O101" s="402"/>
      <c r="P101" s="402" t="s">
        <v>850</v>
      </c>
      <c r="Q101" s="402" t="s">
        <v>850</v>
      </c>
      <c r="R101" s="402" t="s">
        <v>850</v>
      </c>
      <c r="S101" s="402" t="s">
        <v>850</v>
      </c>
      <c r="T101" s="402"/>
      <c r="U101" s="402" t="s">
        <v>850</v>
      </c>
      <c r="V101" s="402" t="s">
        <v>850</v>
      </c>
      <c r="W101" s="402" t="s">
        <v>850</v>
      </c>
      <c r="X101" s="402"/>
      <c r="Y101" s="402"/>
      <c r="Z101" s="402"/>
      <c r="AA101" s="402"/>
      <c r="AB101" s="402"/>
      <c r="AC101" s="402" t="s">
        <v>850</v>
      </c>
      <c r="AD101" s="402"/>
      <c r="AE101" s="402" t="s">
        <v>850</v>
      </c>
      <c r="AF101" s="402" t="s">
        <v>850</v>
      </c>
      <c r="AG101" s="402" t="s">
        <v>850</v>
      </c>
      <c r="AH101" s="402" t="s">
        <v>850</v>
      </c>
      <c r="AI101" s="402" t="s">
        <v>850</v>
      </c>
      <c r="AJ101" s="402" t="s">
        <v>850</v>
      </c>
      <c r="AK101" s="402" t="s">
        <v>850</v>
      </c>
      <c r="AL101" s="402" t="s">
        <v>850</v>
      </c>
      <c r="AM101" s="402" t="s">
        <v>850</v>
      </c>
      <c r="AN101" s="402" t="s">
        <v>850</v>
      </c>
      <c r="AO101" s="402" t="s">
        <v>850</v>
      </c>
      <c r="AP101" s="402" t="s">
        <v>850</v>
      </c>
      <c r="AQ101" s="402" t="s">
        <v>850</v>
      </c>
      <c r="AR101" s="402" t="s">
        <v>850</v>
      </c>
      <c r="AS101" s="402" t="s">
        <v>850</v>
      </c>
      <c r="AT101" s="402" t="s">
        <v>850</v>
      </c>
      <c r="AU101" s="402"/>
      <c r="AV101" s="402" t="s">
        <v>850</v>
      </c>
      <c r="AW101" s="402" t="s">
        <v>850</v>
      </c>
      <c r="AX101" s="402"/>
      <c r="AY101" s="402" t="s">
        <v>850</v>
      </c>
      <c r="AZ101" s="402" t="s">
        <v>850</v>
      </c>
      <c r="BA101" s="402"/>
      <c r="BB101" s="402" t="s">
        <v>850</v>
      </c>
      <c r="BC101" s="403">
        <f>10-10</f>
        <v>0</v>
      </c>
      <c r="BD101" s="402"/>
      <c r="BE101" s="402" t="s">
        <v>850</v>
      </c>
      <c r="BF101" s="402" t="s">
        <v>850</v>
      </c>
      <c r="BG101" s="402"/>
      <c r="BH101" s="402" t="s">
        <v>850</v>
      </c>
      <c r="BI101" s="402" t="s">
        <v>850</v>
      </c>
      <c r="BJ101" s="402" t="s">
        <v>850</v>
      </c>
      <c r="BK101" s="402" t="s">
        <v>850</v>
      </c>
      <c r="BL101" s="402"/>
      <c r="BM101" s="402"/>
      <c r="BN101" s="402"/>
      <c r="BO101" s="402"/>
      <c r="BP101" s="403">
        <f>10-10+2</f>
        <v>2</v>
      </c>
      <c r="BQ101" s="402" t="s">
        <v>850</v>
      </c>
      <c r="BR101" s="403">
        <f>10-10</f>
        <v>0</v>
      </c>
      <c r="BS101" s="402"/>
      <c r="BT101" s="402"/>
      <c r="BU101" s="402" t="s">
        <v>850</v>
      </c>
      <c r="BV101" s="402" t="s">
        <v>850</v>
      </c>
      <c r="BW101" s="402"/>
      <c r="BX101" s="402"/>
      <c r="BY101" s="402"/>
      <c r="BZ101" s="402" t="s">
        <v>850</v>
      </c>
      <c r="CA101" s="402" t="s">
        <v>850</v>
      </c>
      <c r="CB101" s="403">
        <f>20-20+5</f>
        <v>5</v>
      </c>
      <c r="CC101" s="403">
        <f>20-20</f>
        <v>0</v>
      </c>
      <c r="CD101" s="403">
        <f>20-20</f>
        <v>0</v>
      </c>
      <c r="CE101" s="401"/>
      <c r="CF101" s="402" t="s">
        <v>850</v>
      </c>
      <c r="CG101" s="402"/>
      <c r="CH101" s="402"/>
      <c r="CI101" s="403">
        <f>50-50+2</f>
        <v>2</v>
      </c>
      <c r="CJ101" s="403">
        <f>50-50+1</f>
        <v>1</v>
      </c>
      <c r="CK101" s="403">
        <f>30-30</f>
        <v>0</v>
      </c>
      <c r="CL101" s="403">
        <f>50-50</f>
        <v>0</v>
      </c>
      <c r="CM101" s="401"/>
      <c r="CN101" s="402"/>
      <c r="CO101" s="411">
        <v>5</v>
      </c>
      <c r="CP101" s="403">
        <f>50-50</f>
        <v>0</v>
      </c>
      <c r="CQ101" s="403">
        <f>30-30</f>
        <v>0</v>
      </c>
      <c r="CR101" s="403">
        <f>50-50</f>
        <v>0</v>
      </c>
      <c r="CS101" s="402" t="s">
        <v>850</v>
      </c>
      <c r="CT101" s="402" t="s">
        <v>850</v>
      </c>
      <c r="CU101" s="402" t="s">
        <v>850</v>
      </c>
      <c r="CV101" s="402"/>
      <c r="CW101" s="402"/>
      <c r="CX101" s="403">
        <f>50-50+10</f>
        <v>10</v>
      </c>
      <c r="CY101" s="403">
        <f>50-50</f>
        <v>0</v>
      </c>
      <c r="CZ101" s="403">
        <f>50-50</f>
        <v>0</v>
      </c>
      <c r="DA101" s="402"/>
      <c r="DB101" s="402" t="s">
        <v>850</v>
      </c>
      <c r="DC101" s="402" t="s">
        <v>850</v>
      </c>
      <c r="DD101" s="402"/>
      <c r="DE101" s="402" t="s">
        <v>850</v>
      </c>
      <c r="DF101" s="402"/>
      <c r="DG101" s="403">
        <f>50-50+1</f>
        <v>1</v>
      </c>
      <c r="DH101" s="403">
        <f>50-50</f>
        <v>0</v>
      </c>
      <c r="DI101" s="403">
        <f>50-50</f>
        <v>0</v>
      </c>
      <c r="DJ101" s="402" t="s">
        <v>850</v>
      </c>
      <c r="DK101" s="402" t="s">
        <v>850</v>
      </c>
      <c r="DL101" s="402" t="s">
        <v>850</v>
      </c>
      <c r="DM101" s="403">
        <f>50-50</f>
        <v>0</v>
      </c>
      <c r="DN101" s="402" t="s">
        <v>850</v>
      </c>
      <c r="DO101" s="409">
        <v>40</v>
      </c>
      <c r="DP101" s="403">
        <f>50-50</f>
        <v>0</v>
      </c>
      <c r="DQ101" s="402" t="s">
        <v>850</v>
      </c>
      <c r="DR101" s="402" t="s">
        <v>850</v>
      </c>
      <c r="DS101" s="402"/>
      <c r="DT101" s="402" t="s">
        <v>850</v>
      </c>
      <c r="DU101" s="403">
        <f>100-100</f>
        <v>0</v>
      </c>
      <c r="DV101" s="402" t="s">
        <v>850</v>
      </c>
      <c r="DW101" s="403">
        <f>100-100</f>
        <v>0</v>
      </c>
      <c r="DX101" s="402" t="s">
        <v>850</v>
      </c>
      <c r="DY101" s="402"/>
      <c r="DZ101" s="402" t="s">
        <v>850</v>
      </c>
      <c r="EA101" s="402" t="s">
        <v>850</v>
      </c>
      <c r="EB101" s="402" t="s">
        <v>850</v>
      </c>
      <c r="EC101" s="403">
        <f>100-100</f>
        <v>0</v>
      </c>
      <c r="ED101" s="402" t="s">
        <v>850</v>
      </c>
      <c r="EE101" s="402"/>
      <c r="EF101" s="402" t="s">
        <v>850</v>
      </c>
      <c r="EG101" s="403">
        <f>50-50+2</f>
        <v>2</v>
      </c>
      <c r="EH101" s="403">
        <f>50-50</f>
        <v>0</v>
      </c>
      <c r="EI101" s="402" t="s">
        <v>850</v>
      </c>
      <c r="EJ101" s="402" t="s">
        <v>850</v>
      </c>
      <c r="EK101" s="402" t="s">
        <v>850</v>
      </c>
      <c r="EL101" s="402" t="s">
        <v>850</v>
      </c>
      <c r="EM101" s="402"/>
      <c r="EN101" s="402" t="s">
        <v>850</v>
      </c>
      <c r="EO101" s="402" t="s">
        <v>850</v>
      </c>
      <c r="EP101" s="402" t="s">
        <v>850</v>
      </c>
      <c r="EQ101" s="402"/>
      <c r="ER101" s="402" t="s">
        <v>850</v>
      </c>
      <c r="ES101" s="402" t="s">
        <v>850</v>
      </c>
      <c r="ET101" s="402" t="s">
        <v>850</v>
      </c>
      <c r="EU101" s="402"/>
      <c r="EV101" s="403">
        <f>50-50</f>
        <v>0</v>
      </c>
      <c r="EW101" s="402"/>
      <c r="EX101" s="402"/>
      <c r="EY101" s="402" t="s">
        <v>850</v>
      </c>
      <c r="EZ101" s="402"/>
      <c r="FA101" s="402"/>
      <c r="FB101" s="402"/>
      <c r="FC101" s="402"/>
      <c r="FD101" s="402"/>
      <c r="FE101" s="402"/>
      <c r="FF101" s="402"/>
      <c r="FG101" s="402" t="s">
        <v>850</v>
      </c>
      <c r="FH101" s="402"/>
      <c r="FI101" s="402" t="s">
        <v>850</v>
      </c>
      <c r="FJ101" s="402" t="s">
        <v>850</v>
      </c>
      <c r="FK101" s="402"/>
      <c r="FL101" s="402" t="s">
        <v>850</v>
      </c>
      <c r="FM101" s="402" t="s">
        <v>850</v>
      </c>
      <c r="FN101" s="402" t="s">
        <v>850</v>
      </c>
      <c r="FO101" s="402" t="s">
        <v>850</v>
      </c>
      <c r="FP101" s="375"/>
      <c r="FQ101" s="376" t="s">
        <v>972</v>
      </c>
      <c r="FR101" s="377" t="s">
        <v>522</v>
      </c>
      <c r="FS101" s="377" t="s">
        <v>850</v>
      </c>
      <c r="FT101" s="377" t="s">
        <v>607</v>
      </c>
      <c r="FU101" s="144">
        <f t="shared" si="8"/>
        <v>68</v>
      </c>
      <c r="FV101" s="371" t="s">
        <v>905</v>
      </c>
    </row>
    <row r="102" spans="1:178" s="371" customFormat="1">
      <c r="A102" s="368" t="s">
        <v>526</v>
      </c>
      <c r="B102" s="369" t="s">
        <v>517</v>
      </c>
      <c r="C102" s="369" t="s">
        <v>555</v>
      </c>
      <c r="D102" s="369" t="s">
        <v>3</v>
      </c>
      <c r="E102" s="370" t="s">
        <v>604</v>
      </c>
      <c r="F102" s="369" t="s">
        <v>520</v>
      </c>
      <c r="G102" s="369" t="s">
        <v>1007</v>
      </c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402"/>
      <c r="AI102" s="402"/>
      <c r="AJ102" s="402"/>
      <c r="AK102" s="402"/>
      <c r="AL102" s="402"/>
      <c r="AM102" s="402"/>
      <c r="AN102" s="402"/>
      <c r="AO102" s="402"/>
      <c r="AP102" s="402"/>
      <c r="AQ102" s="402"/>
      <c r="AR102" s="402"/>
      <c r="AS102" s="402"/>
      <c r="AT102" s="402"/>
      <c r="AU102" s="402"/>
      <c r="AV102" s="402"/>
      <c r="AW102" s="402"/>
      <c r="AX102" s="402"/>
      <c r="AY102" s="402"/>
      <c r="AZ102" s="402"/>
      <c r="BA102" s="402"/>
      <c r="BB102" s="402"/>
      <c r="BC102" s="402"/>
      <c r="BD102" s="402"/>
      <c r="BE102" s="402"/>
      <c r="BF102" s="402"/>
      <c r="BG102" s="402"/>
      <c r="BH102" s="402"/>
      <c r="BI102" s="402"/>
      <c r="BJ102" s="402"/>
      <c r="BK102" s="402"/>
      <c r="BL102" s="402"/>
      <c r="BM102" s="402"/>
      <c r="BN102" s="402"/>
      <c r="BO102" s="402"/>
      <c r="BP102" s="402"/>
      <c r="BQ102" s="402"/>
      <c r="BR102" s="402"/>
      <c r="BS102" s="402"/>
      <c r="BT102" s="402"/>
      <c r="BU102" s="402"/>
      <c r="BV102" s="402"/>
      <c r="BW102" s="402"/>
      <c r="BX102" s="402"/>
      <c r="BY102" s="402"/>
      <c r="BZ102" s="402"/>
      <c r="CA102" s="402"/>
      <c r="CB102" s="402"/>
      <c r="CC102" s="402"/>
      <c r="CD102" s="402"/>
      <c r="CE102" s="401"/>
      <c r="CF102" s="402"/>
      <c r="CG102" s="402"/>
      <c r="CH102" s="402"/>
      <c r="CI102" s="402"/>
      <c r="CJ102" s="402"/>
      <c r="CK102" s="402"/>
      <c r="CL102" s="402"/>
      <c r="CM102" s="401"/>
      <c r="CN102" s="402"/>
      <c r="CO102" s="401"/>
      <c r="CP102" s="402"/>
      <c r="CQ102" s="402"/>
      <c r="CR102" s="402"/>
      <c r="CS102" s="402"/>
      <c r="CT102" s="402"/>
      <c r="CU102" s="402"/>
      <c r="CV102" s="402"/>
      <c r="CW102" s="402"/>
      <c r="CX102" s="402"/>
      <c r="CY102" s="402"/>
      <c r="CZ102" s="402"/>
      <c r="DA102" s="402"/>
      <c r="DB102" s="402"/>
      <c r="DC102" s="402"/>
      <c r="DD102" s="402"/>
      <c r="DE102" s="402"/>
      <c r="DF102" s="402"/>
      <c r="DG102" s="402"/>
      <c r="DH102" s="402"/>
      <c r="DI102" s="402"/>
      <c r="DJ102" s="402"/>
      <c r="DK102" s="402"/>
      <c r="DL102" s="402"/>
      <c r="DM102" s="402"/>
      <c r="DN102" s="402"/>
      <c r="DO102" s="402"/>
      <c r="DP102" s="402"/>
      <c r="DQ102" s="402"/>
      <c r="DR102" s="402"/>
      <c r="DS102" s="402"/>
      <c r="DT102" s="402"/>
      <c r="DU102" s="402"/>
      <c r="DV102" s="402"/>
      <c r="DW102" s="402"/>
      <c r="DX102" s="402"/>
      <c r="DY102" s="402"/>
      <c r="DZ102" s="402"/>
      <c r="EA102" s="402"/>
      <c r="EB102" s="402"/>
      <c r="EC102" s="402"/>
      <c r="ED102" s="402"/>
      <c r="EE102" s="402"/>
      <c r="EF102" s="402"/>
      <c r="EG102" s="402"/>
      <c r="EH102" s="402"/>
      <c r="EI102" s="402"/>
      <c r="EJ102" s="402"/>
      <c r="EK102" s="402"/>
      <c r="EL102" s="402"/>
      <c r="EM102" s="402"/>
      <c r="EN102" s="402"/>
      <c r="EO102" s="402"/>
      <c r="EP102" s="402"/>
      <c r="EQ102" s="402"/>
      <c r="ER102" s="402"/>
      <c r="ES102" s="402"/>
      <c r="ET102" s="402"/>
      <c r="EU102" s="402"/>
      <c r="EV102" s="402"/>
      <c r="EW102" s="402"/>
      <c r="EX102" s="402"/>
      <c r="EY102" s="402"/>
      <c r="EZ102" s="402"/>
      <c r="FA102" s="402"/>
      <c r="FB102" s="402"/>
      <c r="FC102" s="402"/>
      <c r="FD102" s="402"/>
      <c r="FE102" s="402"/>
      <c r="FF102" s="402"/>
      <c r="FG102" s="402"/>
      <c r="FH102" s="402"/>
      <c r="FI102" s="402"/>
      <c r="FJ102" s="402"/>
      <c r="FK102" s="402"/>
      <c r="FL102" s="402"/>
      <c r="FM102" s="402"/>
      <c r="FN102" s="402"/>
      <c r="FO102" s="402"/>
      <c r="FP102" s="375"/>
      <c r="FQ102" s="376" t="s">
        <v>972</v>
      </c>
      <c r="FR102" s="377" t="s">
        <v>522</v>
      </c>
      <c r="FS102" s="377" t="s">
        <v>850</v>
      </c>
      <c r="FT102" s="377" t="s">
        <v>607</v>
      </c>
      <c r="FU102" s="144">
        <f t="shared" si="8"/>
        <v>0</v>
      </c>
      <c r="FV102" s="371" t="s">
        <v>905</v>
      </c>
    </row>
    <row r="103" spans="1:178" s="371" customFormat="1">
      <c r="A103" s="368" t="s">
        <v>526</v>
      </c>
      <c r="B103" s="369" t="s">
        <v>517</v>
      </c>
      <c r="C103" s="369" t="s">
        <v>555</v>
      </c>
      <c r="D103" s="369" t="s">
        <v>8</v>
      </c>
      <c r="E103" s="370" t="s">
        <v>609</v>
      </c>
      <c r="F103" s="369" t="s">
        <v>520</v>
      </c>
      <c r="G103" s="369" t="s">
        <v>1008</v>
      </c>
      <c r="H103" s="401"/>
      <c r="I103" s="401"/>
      <c r="J103" s="401"/>
      <c r="K103" s="401"/>
      <c r="L103" s="401"/>
      <c r="M103" s="401"/>
      <c r="N103" s="401"/>
      <c r="O103" s="401"/>
      <c r="P103" s="401"/>
      <c r="Q103" s="401"/>
      <c r="R103" s="401"/>
      <c r="S103" s="401"/>
      <c r="T103" s="401"/>
      <c r="U103" s="401"/>
      <c r="V103" s="401"/>
      <c r="W103" s="401"/>
      <c r="X103" s="401"/>
      <c r="Y103" s="401"/>
      <c r="Z103" s="401"/>
      <c r="AA103" s="401"/>
      <c r="AB103" s="401"/>
      <c r="AC103" s="401"/>
      <c r="AD103" s="401"/>
      <c r="AE103" s="401"/>
      <c r="AF103" s="401"/>
      <c r="AG103" s="401"/>
      <c r="AH103" s="401"/>
      <c r="AI103" s="401"/>
      <c r="AJ103" s="401"/>
      <c r="AK103" s="401"/>
      <c r="AL103" s="401"/>
      <c r="AM103" s="401"/>
      <c r="AN103" s="401"/>
      <c r="AO103" s="401"/>
      <c r="AP103" s="401"/>
      <c r="AQ103" s="401"/>
      <c r="AR103" s="401"/>
      <c r="AS103" s="401"/>
      <c r="AT103" s="401"/>
      <c r="AU103" s="401"/>
      <c r="AV103" s="401"/>
      <c r="AW103" s="401"/>
      <c r="AX103" s="401"/>
      <c r="AY103" s="401"/>
      <c r="AZ103" s="401"/>
      <c r="BA103" s="402"/>
      <c r="BB103" s="401"/>
      <c r="BC103" s="401"/>
      <c r="BD103" s="401"/>
      <c r="BE103" s="401"/>
      <c r="BF103" s="401"/>
      <c r="BG103" s="401"/>
      <c r="BH103" s="401"/>
      <c r="BI103" s="401"/>
      <c r="BJ103" s="401"/>
      <c r="BK103" s="401"/>
      <c r="BL103" s="401"/>
      <c r="BM103" s="401"/>
      <c r="BN103" s="401"/>
      <c r="BO103" s="401"/>
      <c r="BP103" s="401"/>
      <c r="BQ103" s="401"/>
      <c r="BR103" s="401"/>
      <c r="BS103" s="401"/>
      <c r="BT103" s="401"/>
      <c r="BU103" s="401"/>
      <c r="BV103" s="401"/>
      <c r="BW103" s="401"/>
      <c r="BX103" s="401"/>
      <c r="BY103" s="401"/>
      <c r="BZ103" s="401"/>
      <c r="CA103" s="401"/>
      <c r="CB103" s="401"/>
      <c r="CC103" s="401"/>
      <c r="CD103" s="401"/>
      <c r="CE103" s="401"/>
      <c r="CF103" s="401"/>
      <c r="CG103" s="401"/>
      <c r="CH103" s="401"/>
      <c r="CI103" s="401"/>
      <c r="CJ103" s="401"/>
      <c r="CK103" s="401"/>
      <c r="CL103" s="401"/>
      <c r="CM103" s="401"/>
      <c r="CN103" s="401"/>
      <c r="CO103" s="401"/>
      <c r="CP103" s="401"/>
      <c r="CQ103" s="401"/>
      <c r="CR103" s="401"/>
      <c r="CS103" s="401"/>
      <c r="CT103" s="401"/>
      <c r="CU103" s="401"/>
      <c r="CV103" s="401"/>
      <c r="CW103" s="401"/>
      <c r="CX103" s="401"/>
      <c r="CY103" s="401"/>
      <c r="CZ103" s="411">
        <v>40</v>
      </c>
      <c r="DA103" s="401"/>
      <c r="DB103" s="401"/>
      <c r="DC103" s="401"/>
      <c r="DD103" s="401"/>
      <c r="DE103" s="401"/>
      <c r="DF103" s="401"/>
      <c r="DG103" s="401"/>
      <c r="DH103" s="401"/>
      <c r="DI103" s="401"/>
      <c r="DJ103" s="401"/>
      <c r="DK103" s="401"/>
      <c r="DL103" s="401"/>
      <c r="DM103" s="401"/>
      <c r="DN103" s="401"/>
      <c r="DO103" s="402"/>
      <c r="DP103" s="409">
        <v>5</v>
      </c>
      <c r="DQ103" s="401"/>
      <c r="DR103" s="401"/>
      <c r="DS103" s="401"/>
      <c r="DT103" s="401"/>
      <c r="DU103" s="411">
        <v>100</v>
      </c>
      <c r="DV103" s="401"/>
      <c r="DW103" s="401"/>
      <c r="DX103" s="401"/>
      <c r="DY103" s="401"/>
      <c r="DZ103" s="401"/>
      <c r="EA103" s="401"/>
      <c r="EB103" s="401"/>
      <c r="EC103" s="401"/>
      <c r="ED103" s="401"/>
      <c r="EE103" s="401"/>
      <c r="EF103" s="401"/>
      <c r="EG103" s="401"/>
      <c r="EH103" s="411">
        <v>20</v>
      </c>
      <c r="EI103" s="401"/>
      <c r="EJ103" s="401"/>
      <c r="EK103" s="401"/>
      <c r="EL103" s="401"/>
      <c r="EM103" s="402"/>
      <c r="EN103" s="401"/>
      <c r="EO103" s="401"/>
      <c r="EP103" s="401"/>
      <c r="EQ103" s="401"/>
      <c r="ER103" s="401"/>
      <c r="ES103" s="401"/>
      <c r="ET103" s="401"/>
      <c r="EU103" s="401"/>
      <c r="EV103" s="411">
        <v>20</v>
      </c>
      <c r="EW103" s="411">
        <v>40</v>
      </c>
      <c r="EX103" s="401"/>
      <c r="EY103" s="401"/>
      <c r="EZ103" s="401"/>
      <c r="FA103" s="401"/>
      <c r="FB103" s="401"/>
      <c r="FC103" s="401"/>
      <c r="FD103" s="401"/>
      <c r="FE103" s="401"/>
      <c r="FF103" s="401"/>
      <c r="FG103" s="401"/>
      <c r="FH103" s="401"/>
      <c r="FI103" s="401"/>
      <c r="FJ103" s="401"/>
      <c r="FK103" s="401"/>
      <c r="FL103" s="401"/>
      <c r="FM103" s="401"/>
      <c r="FN103" s="401"/>
      <c r="FO103" s="401"/>
      <c r="FP103" s="375" t="s">
        <v>850</v>
      </c>
      <c r="FQ103" s="376" t="s">
        <v>972</v>
      </c>
      <c r="FR103" s="377" t="s">
        <v>522</v>
      </c>
      <c r="FS103" s="377" t="s">
        <v>850</v>
      </c>
      <c r="FT103" s="377" t="s">
        <v>579</v>
      </c>
      <c r="FU103" s="144">
        <f t="shared" si="8"/>
        <v>225</v>
      </c>
      <c r="FV103" s="371" t="s">
        <v>920</v>
      </c>
    </row>
    <row r="104" spans="1:178" s="371" customFormat="1">
      <c r="A104" s="368" t="s">
        <v>526</v>
      </c>
      <c r="B104" s="369" t="s">
        <v>517</v>
      </c>
      <c r="C104" s="369" t="s">
        <v>555</v>
      </c>
      <c r="D104" s="369" t="s">
        <v>4</v>
      </c>
      <c r="E104" s="370" t="s">
        <v>609</v>
      </c>
      <c r="F104" s="369" t="s">
        <v>520</v>
      </c>
      <c r="G104" s="369" t="s">
        <v>1008</v>
      </c>
      <c r="H104" s="402" t="s">
        <v>850</v>
      </c>
      <c r="I104" s="402" t="s">
        <v>850</v>
      </c>
      <c r="J104" s="402" t="s">
        <v>850</v>
      </c>
      <c r="K104" s="409">
        <v>5</v>
      </c>
      <c r="L104" s="402" t="s">
        <v>850</v>
      </c>
      <c r="M104" s="403">
        <f>200-200</f>
        <v>0</v>
      </c>
      <c r="N104" s="403">
        <f>200-200</f>
        <v>0</v>
      </c>
      <c r="O104" s="403">
        <f>200-200+10</f>
        <v>10</v>
      </c>
      <c r="P104" s="402" t="s">
        <v>850</v>
      </c>
      <c r="Q104" s="402" t="s">
        <v>850</v>
      </c>
      <c r="R104" s="402" t="s">
        <v>850</v>
      </c>
      <c r="S104" s="403">
        <f>200-200</f>
        <v>0</v>
      </c>
      <c r="T104" s="403">
        <f>200-200</f>
        <v>0</v>
      </c>
      <c r="U104" s="402" t="s">
        <v>850</v>
      </c>
      <c r="V104" s="402" t="s">
        <v>850</v>
      </c>
      <c r="W104" s="402" t="s">
        <v>850</v>
      </c>
      <c r="X104" s="402"/>
      <c r="Y104" s="403">
        <f>500-500+20</f>
        <v>20</v>
      </c>
      <c r="Z104" s="402"/>
      <c r="AA104" s="403">
        <f>500-500</f>
        <v>0</v>
      </c>
      <c r="AB104" s="403">
        <f>200-200+20</f>
        <v>20</v>
      </c>
      <c r="AC104" s="403">
        <f>200-200</f>
        <v>0</v>
      </c>
      <c r="AD104" s="403">
        <f>300-300+10</f>
        <v>10</v>
      </c>
      <c r="AE104" s="402" t="s">
        <v>850</v>
      </c>
      <c r="AF104" s="402" t="s">
        <v>850</v>
      </c>
      <c r="AG104" s="402" t="s">
        <v>850</v>
      </c>
      <c r="AH104" s="402" t="s">
        <v>850</v>
      </c>
      <c r="AI104" s="402" t="s">
        <v>850</v>
      </c>
      <c r="AJ104" s="402" t="s">
        <v>850</v>
      </c>
      <c r="AK104" s="402" t="s">
        <v>850</v>
      </c>
      <c r="AL104" s="402" t="s">
        <v>850</v>
      </c>
      <c r="AM104" s="402" t="s">
        <v>850</v>
      </c>
      <c r="AN104" s="402" t="s">
        <v>850</v>
      </c>
      <c r="AO104" s="402" t="s">
        <v>850</v>
      </c>
      <c r="AP104" s="402" t="s">
        <v>850</v>
      </c>
      <c r="AQ104" s="402" t="s">
        <v>850</v>
      </c>
      <c r="AR104" s="402" t="s">
        <v>850</v>
      </c>
      <c r="AS104" s="402" t="s">
        <v>850</v>
      </c>
      <c r="AT104" s="402" t="s">
        <v>850</v>
      </c>
      <c r="AU104" s="402"/>
      <c r="AV104" s="402" t="s">
        <v>850</v>
      </c>
      <c r="AW104" s="402" t="s">
        <v>850</v>
      </c>
      <c r="AX104" s="402"/>
      <c r="AY104" s="402" t="s">
        <v>850</v>
      </c>
      <c r="AZ104" s="402" t="s">
        <v>850</v>
      </c>
      <c r="BA104" s="402"/>
      <c r="BB104" s="402" t="s">
        <v>850</v>
      </c>
      <c r="BC104" s="402" t="s">
        <v>850</v>
      </c>
      <c r="BD104" s="409">
        <v>10</v>
      </c>
      <c r="BE104" s="402" t="s">
        <v>850</v>
      </c>
      <c r="BF104" s="402" t="s">
        <v>850</v>
      </c>
      <c r="BG104" s="409">
        <v>100</v>
      </c>
      <c r="BH104" s="402" t="s">
        <v>850</v>
      </c>
      <c r="BI104" s="402" t="s">
        <v>850</v>
      </c>
      <c r="BJ104" s="402" t="s">
        <v>850</v>
      </c>
      <c r="BK104" s="402" t="s">
        <v>850</v>
      </c>
      <c r="BL104" s="402"/>
      <c r="BM104" s="402"/>
      <c r="BN104" s="402"/>
      <c r="BO104" s="409">
        <v>10</v>
      </c>
      <c r="BP104" s="409">
        <v>10</v>
      </c>
      <c r="BQ104" s="403">
        <f>200-200</f>
        <v>0</v>
      </c>
      <c r="BR104" s="403">
        <f>200-200</f>
        <v>0</v>
      </c>
      <c r="BS104" s="402"/>
      <c r="BT104" s="402"/>
      <c r="BU104" s="402" t="s">
        <v>850</v>
      </c>
      <c r="BV104" s="402" t="s">
        <v>850</v>
      </c>
      <c r="BW104" s="402"/>
      <c r="BX104" s="402"/>
      <c r="BY104" s="409">
        <v>5</v>
      </c>
      <c r="BZ104" s="402" t="s">
        <v>850</v>
      </c>
      <c r="CA104" s="402" t="s">
        <v>850</v>
      </c>
      <c r="CB104" s="403">
        <f>200-200+20</f>
        <v>20</v>
      </c>
      <c r="CC104" s="403">
        <f>200-200</f>
        <v>0</v>
      </c>
      <c r="CD104" s="402"/>
      <c r="CE104" s="401"/>
      <c r="CF104" s="402" t="s">
        <v>850</v>
      </c>
      <c r="CG104" s="403">
        <f>200-200+20</f>
        <v>20</v>
      </c>
      <c r="CH104" s="403">
        <f>200-200+10</f>
        <v>10</v>
      </c>
      <c r="CI104" s="403">
        <f>200-200+15</f>
        <v>15</v>
      </c>
      <c r="CJ104" s="409">
        <v>10</v>
      </c>
      <c r="CK104" s="403">
        <f>200-200</f>
        <v>0</v>
      </c>
      <c r="CL104" s="403">
        <f>200-200</f>
        <v>0</v>
      </c>
      <c r="CM104" s="411">
        <v>20</v>
      </c>
      <c r="CN104" s="403">
        <f>200-200</f>
        <v>0</v>
      </c>
      <c r="CO104" s="411">
        <v>40</v>
      </c>
      <c r="CP104" s="403">
        <f>200-200</f>
        <v>0</v>
      </c>
      <c r="CQ104" s="402" t="s">
        <v>850</v>
      </c>
      <c r="CR104" s="402"/>
      <c r="CS104" s="403">
        <f>200-200</f>
        <v>0</v>
      </c>
      <c r="CT104" s="402" t="s">
        <v>850</v>
      </c>
      <c r="CU104" s="402" t="s">
        <v>850</v>
      </c>
      <c r="CV104" s="403">
        <f>200-200+40</f>
        <v>40</v>
      </c>
      <c r="CW104" s="403">
        <f>200-200+40</f>
        <v>40</v>
      </c>
      <c r="CX104" s="403">
        <f>200-200+40</f>
        <v>40</v>
      </c>
      <c r="CY104" s="403">
        <f>100-100</f>
        <v>0</v>
      </c>
      <c r="CZ104" s="402"/>
      <c r="DA104" s="402"/>
      <c r="DB104" s="402" t="s">
        <v>850</v>
      </c>
      <c r="DC104" s="402" t="s">
        <v>850</v>
      </c>
      <c r="DD104" s="402"/>
      <c r="DE104" s="402" t="s">
        <v>850</v>
      </c>
      <c r="DF104" s="403">
        <f>500-500+5</f>
        <v>5</v>
      </c>
      <c r="DG104" s="403">
        <f>500-500+10</f>
        <v>10</v>
      </c>
      <c r="DH104" s="403">
        <f>200-200</f>
        <v>0</v>
      </c>
      <c r="DI104" s="403">
        <f>500-500</f>
        <v>0</v>
      </c>
      <c r="DJ104" s="402" t="s">
        <v>850</v>
      </c>
      <c r="DK104" s="402" t="s">
        <v>850</v>
      </c>
      <c r="DL104" s="402" t="s">
        <v>850</v>
      </c>
      <c r="DM104" s="402" t="s">
        <v>850</v>
      </c>
      <c r="DN104" s="402" t="s">
        <v>850</v>
      </c>
      <c r="DO104" s="409">
        <v>660</v>
      </c>
      <c r="DP104" s="402"/>
      <c r="DQ104" s="402" t="s">
        <v>850</v>
      </c>
      <c r="DR104" s="402" t="s">
        <v>850</v>
      </c>
      <c r="DS104" s="402"/>
      <c r="DT104" s="402" t="s">
        <v>850</v>
      </c>
      <c r="DU104" s="403">
        <f>1000-1000</f>
        <v>0</v>
      </c>
      <c r="DV104" s="402" t="s">
        <v>850</v>
      </c>
      <c r="DW104" s="402"/>
      <c r="DX104" s="402" t="s">
        <v>850</v>
      </c>
      <c r="DY104" s="402"/>
      <c r="DZ104" s="402" t="s">
        <v>850</v>
      </c>
      <c r="EA104" s="402" t="s">
        <v>850</v>
      </c>
      <c r="EB104" s="402" t="s">
        <v>850</v>
      </c>
      <c r="EC104" s="403">
        <f>1000-1000</f>
        <v>0</v>
      </c>
      <c r="ED104" s="402" t="s">
        <v>850</v>
      </c>
      <c r="EE104" s="402"/>
      <c r="EF104" s="402" t="s">
        <v>850</v>
      </c>
      <c r="EG104" s="403">
        <f>500-500+20</f>
        <v>20</v>
      </c>
      <c r="EH104" s="403">
        <f>500-500</f>
        <v>0</v>
      </c>
      <c r="EI104" s="402" t="s">
        <v>850</v>
      </c>
      <c r="EJ104" s="402" t="s">
        <v>850</v>
      </c>
      <c r="EK104" s="402" t="s">
        <v>850</v>
      </c>
      <c r="EL104" s="402" t="s">
        <v>850</v>
      </c>
      <c r="EM104" s="402"/>
      <c r="EN104" s="402" t="s">
        <v>850</v>
      </c>
      <c r="EO104" s="402" t="s">
        <v>850</v>
      </c>
      <c r="EP104" s="402" t="s">
        <v>850</v>
      </c>
      <c r="EQ104" s="402"/>
      <c r="ER104" s="402" t="s">
        <v>850</v>
      </c>
      <c r="ES104" s="402" t="s">
        <v>850</v>
      </c>
      <c r="ET104" s="402" t="s">
        <v>850</v>
      </c>
      <c r="EU104" s="402"/>
      <c r="EV104" s="403">
        <f>1000-1000</f>
        <v>0</v>
      </c>
      <c r="EW104" s="403">
        <f>1000-1000</f>
        <v>0</v>
      </c>
      <c r="EX104" s="403">
        <f>1000-1000+20</f>
        <v>20</v>
      </c>
      <c r="EY104" s="402" t="s">
        <v>850</v>
      </c>
      <c r="EZ104" s="402"/>
      <c r="FA104" s="402"/>
      <c r="FB104" s="402"/>
      <c r="FC104" s="402"/>
      <c r="FD104" s="402"/>
      <c r="FE104" s="402"/>
      <c r="FF104" s="402"/>
      <c r="FG104" s="402" t="s">
        <v>850</v>
      </c>
      <c r="FH104" s="402"/>
      <c r="FI104" s="402" t="s">
        <v>850</v>
      </c>
      <c r="FJ104" s="402" t="s">
        <v>850</v>
      </c>
      <c r="FK104" s="402"/>
      <c r="FL104" s="402" t="s">
        <v>850</v>
      </c>
      <c r="FM104" s="402" t="s">
        <v>850</v>
      </c>
      <c r="FN104" s="402" t="s">
        <v>850</v>
      </c>
      <c r="FO104" s="402" t="s">
        <v>850</v>
      </c>
      <c r="FP104" s="375"/>
      <c r="FQ104" s="376" t="s">
        <v>972</v>
      </c>
      <c r="FR104" s="377" t="s">
        <v>522</v>
      </c>
      <c r="FS104" s="377" t="s">
        <v>850</v>
      </c>
      <c r="FT104" s="377" t="s">
        <v>579</v>
      </c>
      <c r="FU104" s="144">
        <f t="shared" si="8"/>
        <v>1170</v>
      </c>
      <c r="FV104" s="371" t="s">
        <v>920</v>
      </c>
    </row>
    <row r="105" spans="1:178" s="371" customFormat="1">
      <c r="A105" s="368" t="s">
        <v>526</v>
      </c>
      <c r="B105" s="369" t="s">
        <v>517</v>
      </c>
      <c r="C105" s="369" t="s">
        <v>555</v>
      </c>
      <c r="D105" s="369" t="s">
        <v>3</v>
      </c>
      <c r="E105" s="370" t="s">
        <v>609</v>
      </c>
      <c r="F105" s="369" t="s">
        <v>520</v>
      </c>
      <c r="G105" s="369" t="s">
        <v>1009</v>
      </c>
      <c r="H105" s="402"/>
      <c r="I105" s="402"/>
      <c r="J105" s="402"/>
      <c r="K105" s="402"/>
      <c r="L105" s="402"/>
      <c r="M105" s="402"/>
      <c r="N105" s="402"/>
      <c r="O105" s="402"/>
      <c r="P105" s="402"/>
      <c r="Q105" s="402"/>
      <c r="R105" s="402"/>
      <c r="S105" s="402"/>
      <c r="T105" s="402"/>
      <c r="U105" s="402"/>
      <c r="V105" s="402"/>
      <c r="W105" s="402"/>
      <c r="X105" s="402"/>
      <c r="Y105" s="402"/>
      <c r="Z105" s="402"/>
      <c r="AA105" s="402"/>
      <c r="AB105" s="402"/>
      <c r="AC105" s="402"/>
      <c r="AD105" s="402"/>
      <c r="AE105" s="402"/>
      <c r="AF105" s="402"/>
      <c r="AG105" s="402"/>
      <c r="AH105" s="402"/>
      <c r="AI105" s="402"/>
      <c r="AJ105" s="402"/>
      <c r="AK105" s="402"/>
      <c r="AL105" s="402"/>
      <c r="AM105" s="402"/>
      <c r="AN105" s="402"/>
      <c r="AO105" s="402"/>
      <c r="AP105" s="402"/>
      <c r="AQ105" s="402"/>
      <c r="AR105" s="402"/>
      <c r="AS105" s="402"/>
      <c r="AT105" s="402"/>
      <c r="AU105" s="402"/>
      <c r="AV105" s="402"/>
      <c r="AW105" s="402"/>
      <c r="AX105" s="402"/>
      <c r="AY105" s="402"/>
      <c r="AZ105" s="402"/>
      <c r="BA105" s="402"/>
      <c r="BB105" s="402"/>
      <c r="BC105" s="402"/>
      <c r="BD105" s="402"/>
      <c r="BE105" s="402"/>
      <c r="BF105" s="402"/>
      <c r="BG105" s="402"/>
      <c r="BH105" s="402"/>
      <c r="BI105" s="402"/>
      <c r="BJ105" s="402"/>
      <c r="BK105" s="402"/>
      <c r="BL105" s="402"/>
      <c r="BM105" s="402"/>
      <c r="BN105" s="402"/>
      <c r="BO105" s="402"/>
      <c r="BP105" s="402"/>
      <c r="BQ105" s="402"/>
      <c r="BR105" s="402"/>
      <c r="BS105" s="402"/>
      <c r="BT105" s="402"/>
      <c r="BU105" s="402"/>
      <c r="BV105" s="402"/>
      <c r="BW105" s="402"/>
      <c r="BX105" s="402"/>
      <c r="BY105" s="402"/>
      <c r="BZ105" s="402"/>
      <c r="CA105" s="402"/>
      <c r="CB105" s="402"/>
      <c r="CC105" s="402"/>
      <c r="CD105" s="402"/>
      <c r="CE105" s="401"/>
      <c r="CF105" s="402"/>
      <c r="CG105" s="402"/>
      <c r="CH105" s="402"/>
      <c r="CI105" s="402"/>
      <c r="CJ105" s="402"/>
      <c r="CK105" s="402"/>
      <c r="CL105" s="402"/>
      <c r="CM105" s="401"/>
      <c r="CN105" s="402"/>
      <c r="CO105" s="401"/>
      <c r="CP105" s="402"/>
      <c r="CQ105" s="402"/>
      <c r="CR105" s="402"/>
      <c r="CS105" s="402"/>
      <c r="CT105" s="402"/>
      <c r="CU105" s="402"/>
      <c r="CV105" s="402"/>
      <c r="CW105" s="402"/>
      <c r="CX105" s="402"/>
      <c r="CY105" s="402"/>
      <c r="CZ105" s="402"/>
      <c r="DA105" s="402"/>
      <c r="DB105" s="402"/>
      <c r="DC105" s="402"/>
      <c r="DD105" s="402"/>
      <c r="DE105" s="402"/>
      <c r="DF105" s="402"/>
      <c r="DG105" s="402"/>
      <c r="DH105" s="402"/>
      <c r="DI105" s="402"/>
      <c r="DJ105" s="402"/>
      <c r="DK105" s="402"/>
      <c r="DL105" s="402"/>
      <c r="DM105" s="402"/>
      <c r="DN105" s="402"/>
      <c r="DO105" s="402"/>
      <c r="DP105" s="402"/>
      <c r="DQ105" s="402"/>
      <c r="DR105" s="402"/>
      <c r="DS105" s="402"/>
      <c r="DT105" s="402"/>
      <c r="DU105" s="402"/>
      <c r="DV105" s="402"/>
      <c r="DW105" s="402"/>
      <c r="DX105" s="402"/>
      <c r="DY105" s="402"/>
      <c r="DZ105" s="402"/>
      <c r="EA105" s="402"/>
      <c r="EB105" s="402"/>
      <c r="EC105" s="402"/>
      <c r="ED105" s="402"/>
      <c r="EE105" s="402"/>
      <c r="EF105" s="402"/>
      <c r="EG105" s="402"/>
      <c r="EH105" s="402"/>
      <c r="EI105" s="402"/>
      <c r="EJ105" s="402"/>
      <c r="EK105" s="402"/>
      <c r="EL105" s="402"/>
      <c r="EM105" s="402"/>
      <c r="EN105" s="402"/>
      <c r="EO105" s="402"/>
      <c r="EP105" s="402"/>
      <c r="EQ105" s="402"/>
      <c r="ER105" s="402"/>
      <c r="ES105" s="402"/>
      <c r="ET105" s="402"/>
      <c r="EU105" s="402"/>
      <c r="EV105" s="402"/>
      <c r="EW105" s="402"/>
      <c r="EX105" s="402"/>
      <c r="EY105" s="402"/>
      <c r="EZ105" s="402"/>
      <c r="FA105" s="402"/>
      <c r="FB105" s="402"/>
      <c r="FC105" s="402"/>
      <c r="FD105" s="402"/>
      <c r="FE105" s="402"/>
      <c r="FF105" s="402"/>
      <c r="FG105" s="402"/>
      <c r="FH105" s="402"/>
      <c r="FI105" s="402"/>
      <c r="FJ105" s="402"/>
      <c r="FK105" s="402"/>
      <c r="FL105" s="402"/>
      <c r="FM105" s="402"/>
      <c r="FN105" s="402"/>
      <c r="FO105" s="402"/>
      <c r="FP105" s="375"/>
      <c r="FQ105" s="376" t="s">
        <v>972</v>
      </c>
      <c r="FR105" s="377" t="s">
        <v>522</v>
      </c>
      <c r="FS105" s="377" t="s">
        <v>850</v>
      </c>
      <c r="FT105" s="377" t="s">
        <v>579</v>
      </c>
      <c r="FU105" s="144">
        <f t="shared" si="8"/>
        <v>0</v>
      </c>
      <c r="FV105" s="371" t="s">
        <v>920</v>
      </c>
    </row>
    <row r="106" spans="1:178" s="371" customFormat="1">
      <c r="A106" s="368" t="s">
        <v>935</v>
      </c>
      <c r="B106" s="369" t="s">
        <v>517</v>
      </c>
      <c r="C106" s="369" t="s">
        <v>555</v>
      </c>
      <c r="D106" s="369" t="s">
        <v>8</v>
      </c>
      <c r="E106" s="370" t="s">
        <v>611</v>
      </c>
      <c r="F106" s="369" t="s">
        <v>520</v>
      </c>
      <c r="G106" s="369" t="s">
        <v>1010</v>
      </c>
      <c r="H106" s="401"/>
      <c r="I106" s="401"/>
      <c r="J106" s="401"/>
      <c r="K106" s="401"/>
      <c r="L106" s="401"/>
      <c r="M106" s="401"/>
      <c r="N106" s="401"/>
      <c r="O106" s="401"/>
      <c r="P106" s="401"/>
      <c r="Q106" s="401"/>
      <c r="R106" s="401"/>
      <c r="S106" s="401"/>
      <c r="T106" s="401"/>
      <c r="U106" s="401"/>
      <c r="V106" s="401"/>
      <c r="W106" s="401"/>
      <c r="X106" s="401"/>
      <c r="Y106" s="401"/>
      <c r="Z106" s="401"/>
      <c r="AA106" s="401"/>
      <c r="AB106" s="401"/>
      <c r="AC106" s="401"/>
      <c r="AD106" s="401"/>
      <c r="AE106" s="401"/>
      <c r="AF106" s="401"/>
      <c r="AG106" s="401"/>
      <c r="AH106" s="401"/>
      <c r="AI106" s="401"/>
      <c r="AJ106" s="401"/>
      <c r="AK106" s="401"/>
      <c r="AL106" s="401"/>
      <c r="AM106" s="401"/>
      <c r="AN106" s="401"/>
      <c r="AO106" s="401"/>
      <c r="AP106" s="401"/>
      <c r="AQ106" s="401"/>
      <c r="AR106" s="401"/>
      <c r="AS106" s="401"/>
      <c r="AT106" s="401"/>
      <c r="AU106" s="401"/>
      <c r="AV106" s="401"/>
      <c r="AW106" s="401"/>
      <c r="AX106" s="401"/>
      <c r="AY106" s="401"/>
      <c r="AZ106" s="401"/>
      <c r="BA106" s="402"/>
      <c r="BB106" s="401"/>
      <c r="BC106" s="401"/>
      <c r="BD106" s="401"/>
      <c r="BE106" s="401"/>
      <c r="BF106" s="401"/>
      <c r="BG106" s="401"/>
      <c r="BH106" s="401"/>
      <c r="BI106" s="401"/>
      <c r="BJ106" s="401"/>
      <c r="BK106" s="401"/>
      <c r="BL106" s="401"/>
      <c r="BM106" s="401"/>
      <c r="BN106" s="401"/>
      <c r="BO106" s="401"/>
      <c r="BP106" s="401"/>
      <c r="BQ106" s="401"/>
      <c r="BR106" s="401"/>
      <c r="BS106" s="401"/>
      <c r="BT106" s="401"/>
      <c r="BU106" s="401"/>
      <c r="BV106" s="401"/>
      <c r="BW106" s="401"/>
      <c r="BX106" s="401"/>
      <c r="BY106" s="401"/>
      <c r="BZ106" s="401"/>
      <c r="CA106" s="401"/>
      <c r="CB106" s="401"/>
      <c r="CC106" s="401"/>
      <c r="CD106" s="401"/>
      <c r="CE106" s="401"/>
      <c r="CF106" s="401"/>
      <c r="CG106" s="401"/>
      <c r="CH106" s="401"/>
      <c r="CI106" s="401"/>
      <c r="CJ106" s="401"/>
      <c r="CK106" s="401"/>
      <c r="CL106" s="401"/>
      <c r="CM106" s="401"/>
      <c r="CN106" s="401"/>
      <c r="CO106" s="401"/>
      <c r="CP106" s="401"/>
      <c r="CQ106" s="401"/>
      <c r="CR106" s="401"/>
      <c r="CS106" s="401"/>
      <c r="CT106" s="401"/>
      <c r="CU106" s="401"/>
      <c r="CV106" s="401"/>
      <c r="CW106" s="401"/>
      <c r="CX106" s="401"/>
      <c r="CY106" s="401"/>
      <c r="CZ106" s="401"/>
      <c r="DA106" s="401"/>
      <c r="DB106" s="401"/>
      <c r="DC106" s="401"/>
      <c r="DD106" s="401"/>
      <c r="DE106" s="401"/>
      <c r="DF106" s="401"/>
      <c r="DG106" s="401"/>
      <c r="DH106" s="401"/>
      <c r="DI106" s="401"/>
      <c r="DJ106" s="401"/>
      <c r="DK106" s="401"/>
      <c r="DL106" s="401"/>
      <c r="DM106" s="401"/>
      <c r="DN106" s="401"/>
      <c r="DO106" s="402"/>
      <c r="DP106" s="401"/>
      <c r="DQ106" s="401"/>
      <c r="DR106" s="401"/>
      <c r="DS106" s="401"/>
      <c r="DT106" s="401"/>
      <c r="DU106" s="401"/>
      <c r="DV106" s="401"/>
      <c r="DW106" s="401"/>
      <c r="DX106" s="401"/>
      <c r="DY106" s="401"/>
      <c r="DZ106" s="401"/>
      <c r="EA106" s="401"/>
      <c r="EB106" s="401"/>
      <c r="EC106" s="401"/>
      <c r="ED106" s="401"/>
      <c r="EE106" s="401"/>
      <c r="EF106" s="401"/>
      <c r="EG106" s="401"/>
      <c r="EH106" s="401"/>
      <c r="EI106" s="401"/>
      <c r="EJ106" s="401"/>
      <c r="EK106" s="401"/>
      <c r="EL106" s="401"/>
      <c r="EM106" s="402"/>
      <c r="EN106" s="401"/>
      <c r="EO106" s="401"/>
      <c r="EP106" s="401"/>
      <c r="EQ106" s="401"/>
      <c r="ER106" s="401"/>
      <c r="ES106" s="401"/>
      <c r="ET106" s="401"/>
      <c r="EU106" s="401"/>
      <c r="EV106" s="411">
        <v>5</v>
      </c>
      <c r="EW106" s="401"/>
      <c r="EX106" s="401"/>
      <c r="EY106" s="401"/>
      <c r="EZ106" s="401"/>
      <c r="FA106" s="401"/>
      <c r="FB106" s="401"/>
      <c r="FC106" s="401"/>
      <c r="FD106" s="401"/>
      <c r="FE106" s="401"/>
      <c r="FF106" s="401"/>
      <c r="FG106" s="401"/>
      <c r="FH106" s="401"/>
      <c r="FI106" s="401"/>
      <c r="FJ106" s="401"/>
      <c r="FK106" s="401"/>
      <c r="FL106" s="401"/>
      <c r="FM106" s="401"/>
      <c r="FN106" s="401"/>
      <c r="FO106" s="401"/>
      <c r="FP106" s="375" t="s">
        <v>850</v>
      </c>
      <c r="FQ106" s="376" t="s">
        <v>972</v>
      </c>
      <c r="FR106" s="377" t="s">
        <v>522</v>
      </c>
      <c r="FS106" s="377" t="s">
        <v>850</v>
      </c>
      <c r="FT106" s="377" t="s">
        <v>592</v>
      </c>
      <c r="FU106" s="144">
        <f t="shared" si="8"/>
        <v>5</v>
      </c>
      <c r="FV106" s="371" t="s">
        <v>905</v>
      </c>
    </row>
    <row r="107" spans="1:178" s="371" customFormat="1">
      <c r="A107" s="368" t="s">
        <v>935</v>
      </c>
      <c r="B107" s="369" t="s">
        <v>517</v>
      </c>
      <c r="C107" s="369" t="s">
        <v>555</v>
      </c>
      <c r="D107" s="369" t="s">
        <v>4</v>
      </c>
      <c r="E107" s="370" t="s">
        <v>611</v>
      </c>
      <c r="F107" s="369" t="s">
        <v>520</v>
      </c>
      <c r="G107" s="369" t="s">
        <v>1010</v>
      </c>
      <c r="H107" s="402" t="s">
        <v>850</v>
      </c>
      <c r="I107" s="402" t="s">
        <v>850</v>
      </c>
      <c r="J107" s="403">
        <f>1-1</f>
        <v>0</v>
      </c>
      <c r="K107" s="402"/>
      <c r="L107" s="402" t="s">
        <v>850</v>
      </c>
      <c r="M107" s="403">
        <f>1-1</f>
        <v>0</v>
      </c>
      <c r="N107" s="402"/>
      <c r="O107" s="402"/>
      <c r="P107" s="403">
        <f>3-3</f>
        <v>0</v>
      </c>
      <c r="Q107" s="402" t="s">
        <v>850</v>
      </c>
      <c r="R107" s="402" t="s">
        <v>850</v>
      </c>
      <c r="S107" s="402" t="s">
        <v>850</v>
      </c>
      <c r="T107" s="402"/>
      <c r="U107" s="402" t="s">
        <v>850</v>
      </c>
      <c r="V107" s="402" t="s">
        <v>850</v>
      </c>
      <c r="W107" s="402" t="s">
        <v>850</v>
      </c>
      <c r="X107" s="402"/>
      <c r="Y107" s="402"/>
      <c r="Z107" s="402"/>
      <c r="AA107" s="402"/>
      <c r="AB107" s="402"/>
      <c r="AC107" s="403">
        <f>5-5</f>
        <v>0</v>
      </c>
      <c r="AD107" s="402"/>
      <c r="AE107" s="402" t="s">
        <v>850</v>
      </c>
      <c r="AF107" s="402" t="s">
        <v>850</v>
      </c>
      <c r="AG107" s="402" t="s">
        <v>850</v>
      </c>
      <c r="AH107" s="402" t="s">
        <v>850</v>
      </c>
      <c r="AI107" s="402" t="s">
        <v>850</v>
      </c>
      <c r="AJ107" s="402" t="s">
        <v>850</v>
      </c>
      <c r="AK107" s="402" t="s">
        <v>850</v>
      </c>
      <c r="AL107" s="402" t="s">
        <v>850</v>
      </c>
      <c r="AM107" s="402" t="s">
        <v>850</v>
      </c>
      <c r="AN107" s="402" t="s">
        <v>850</v>
      </c>
      <c r="AO107" s="402" t="s">
        <v>850</v>
      </c>
      <c r="AP107" s="402" t="s">
        <v>850</v>
      </c>
      <c r="AQ107" s="402" t="s">
        <v>850</v>
      </c>
      <c r="AR107" s="402" t="s">
        <v>850</v>
      </c>
      <c r="AS107" s="402" t="s">
        <v>850</v>
      </c>
      <c r="AT107" s="402" t="s">
        <v>850</v>
      </c>
      <c r="AU107" s="402"/>
      <c r="AV107" s="402" t="s">
        <v>850</v>
      </c>
      <c r="AW107" s="402" t="s">
        <v>850</v>
      </c>
      <c r="AX107" s="402"/>
      <c r="AY107" s="402" t="s">
        <v>850</v>
      </c>
      <c r="AZ107" s="403">
        <f>1-1</f>
        <v>0</v>
      </c>
      <c r="BA107" s="402"/>
      <c r="BB107" s="402" t="s">
        <v>850</v>
      </c>
      <c r="BC107" s="403">
        <f>2-2</f>
        <v>0</v>
      </c>
      <c r="BD107" s="403">
        <f>2-2+2</f>
        <v>2</v>
      </c>
      <c r="BE107" s="402" t="s">
        <v>850</v>
      </c>
      <c r="BF107" s="403">
        <f>5-5</f>
        <v>0</v>
      </c>
      <c r="BG107" s="402"/>
      <c r="BH107" s="402" t="s">
        <v>850</v>
      </c>
      <c r="BI107" s="402" t="s">
        <v>850</v>
      </c>
      <c r="BJ107" s="402" t="s">
        <v>850</v>
      </c>
      <c r="BK107" s="402" t="s">
        <v>850</v>
      </c>
      <c r="BL107" s="402"/>
      <c r="BM107" s="402"/>
      <c r="BN107" s="402"/>
      <c r="BO107" s="402"/>
      <c r="BP107" s="402"/>
      <c r="BQ107" s="402" t="s">
        <v>850</v>
      </c>
      <c r="BR107" s="402" t="s">
        <v>850</v>
      </c>
      <c r="BS107" s="402"/>
      <c r="BT107" s="402"/>
      <c r="BU107" s="402" t="s">
        <v>850</v>
      </c>
      <c r="BV107" s="402" t="s">
        <v>850</v>
      </c>
      <c r="BW107" s="403">
        <f>1-1+1</f>
        <v>1</v>
      </c>
      <c r="BX107" s="402" t="s">
        <v>850</v>
      </c>
      <c r="BY107" s="403">
        <f>2-2+2</f>
        <v>2</v>
      </c>
      <c r="BZ107" s="402" t="s">
        <v>850</v>
      </c>
      <c r="CA107" s="402" t="s">
        <v>850</v>
      </c>
      <c r="CB107" s="402"/>
      <c r="CC107" s="402"/>
      <c r="CD107" s="403">
        <f>5-5</f>
        <v>0</v>
      </c>
      <c r="CE107" s="401"/>
      <c r="CF107" s="403">
        <f>3-3</f>
        <v>0</v>
      </c>
      <c r="CG107" s="402"/>
      <c r="CH107" s="403">
        <f>2-2+2</f>
        <v>2</v>
      </c>
      <c r="CI107" s="402"/>
      <c r="CJ107" s="403">
        <f>5-5+2</f>
        <v>2</v>
      </c>
      <c r="CK107" s="403">
        <f>5-5</f>
        <v>0</v>
      </c>
      <c r="CL107" s="402" t="s">
        <v>850</v>
      </c>
      <c r="CM107" s="411">
        <v>5</v>
      </c>
      <c r="CN107" s="403">
        <f>5-5</f>
        <v>0</v>
      </c>
      <c r="CO107" s="401"/>
      <c r="CP107" s="402" t="s">
        <v>850</v>
      </c>
      <c r="CQ107" s="402" t="s">
        <v>850</v>
      </c>
      <c r="CR107" s="403">
        <f>5-5</f>
        <v>0</v>
      </c>
      <c r="CS107" s="403">
        <f>5-5</f>
        <v>0</v>
      </c>
      <c r="CT107" s="402" t="s">
        <v>850</v>
      </c>
      <c r="CU107" s="403">
        <f>5-5</f>
        <v>0</v>
      </c>
      <c r="CV107" s="403">
        <f>5-5+5</f>
        <v>5</v>
      </c>
      <c r="CW107" s="403">
        <f>10-10+10</f>
        <v>10</v>
      </c>
      <c r="CX107" s="403">
        <f>10-10+10</f>
        <v>10</v>
      </c>
      <c r="CY107" s="402" t="s">
        <v>850</v>
      </c>
      <c r="CZ107" s="402"/>
      <c r="DA107" s="402"/>
      <c r="DB107" s="402" t="s">
        <v>850</v>
      </c>
      <c r="DC107" s="402" t="s">
        <v>850</v>
      </c>
      <c r="DD107" s="403">
        <f>10-10+10</f>
        <v>10</v>
      </c>
      <c r="DE107" s="402" t="s">
        <v>850</v>
      </c>
      <c r="DF107" s="403">
        <f>5-5+1</f>
        <v>1</v>
      </c>
      <c r="DG107" s="402"/>
      <c r="DH107" s="403">
        <f>10-10</f>
        <v>0</v>
      </c>
      <c r="DI107" s="403">
        <f>10-10</f>
        <v>0</v>
      </c>
      <c r="DJ107" s="403">
        <f>20-20</f>
        <v>0</v>
      </c>
      <c r="DK107" s="402" t="s">
        <v>850</v>
      </c>
      <c r="DL107" s="402" t="s">
        <v>850</v>
      </c>
      <c r="DM107" s="402" t="s">
        <v>850</v>
      </c>
      <c r="DN107" s="402" t="s">
        <v>850</v>
      </c>
      <c r="DO107" s="402"/>
      <c r="DP107" s="402"/>
      <c r="DQ107" s="402" t="s">
        <v>850</v>
      </c>
      <c r="DR107" s="402" t="s">
        <v>850</v>
      </c>
      <c r="DS107" s="402"/>
      <c r="DT107" s="402" t="s">
        <v>850</v>
      </c>
      <c r="DU107" s="402"/>
      <c r="DV107" s="402" t="s">
        <v>850</v>
      </c>
      <c r="DW107" s="402"/>
      <c r="DX107" s="402" t="s">
        <v>850</v>
      </c>
      <c r="DY107" s="402"/>
      <c r="DZ107" s="402" t="s">
        <v>850</v>
      </c>
      <c r="EA107" s="402" t="s">
        <v>850</v>
      </c>
      <c r="EB107" s="402" t="s">
        <v>850</v>
      </c>
      <c r="EC107" s="403">
        <f>10-10</f>
        <v>0</v>
      </c>
      <c r="ED107" s="402" t="s">
        <v>850</v>
      </c>
      <c r="EE107" s="402"/>
      <c r="EF107" s="402" t="s">
        <v>850</v>
      </c>
      <c r="EG107" s="402"/>
      <c r="EH107" s="402"/>
      <c r="EI107" s="403">
        <f>10-10</f>
        <v>0</v>
      </c>
      <c r="EJ107" s="402" t="s">
        <v>850</v>
      </c>
      <c r="EK107" s="402" t="s">
        <v>850</v>
      </c>
      <c r="EL107" s="402" t="s">
        <v>850</v>
      </c>
      <c r="EM107" s="402"/>
      <c r="EN107" s="402" t="s">
        <v>850</v>
      </c>
      <c r="EO107" s="402" t="s">
        <v>850</v>
      </c>
      <c r="EP107" s="402" t="s">
        <v>850</v>
      </c>
      <c r="EQ107" s="402"/>
      <c r="ER107" s="402" t="s">
        <v>850</v>
      </c>
      <c r="ES107" s="402" t="s">
        <v>850</v>
      </c>
      <c r="ET107" s="402" t="s">
        <v>850</v>
      </c>
      <c r="EU107" s="402"/>
      <c r="EV107" s="403">
        <f>20-20</f>
        <v>0</v>
      </c>
      <c r="EW107" s="402"/>
      <c r="EX107" s="402"/>
      <c r="EY107" s="402" t="s">
        <v>850</v>
      </c>
      <c r="EZ107" s="402"/>
      <c r="FA107" s="402"/>
      <c r="FB107" s="402"/>
      <c r="FC107" s="402"/>
      <c r="FD107" s="402"/>
      <c r="FE107" s="402"/>
      <c r="FF107" s="402"/>
      <c r="FG107" s="402" t="s">
        <v>850</v>
      </c>
      <c r="FH107" s="402"/>
      <c r="FI107" s="402" t="s">
        <v>850</v>
      </c>
      <c r="FJ107" s="402" t="s">
        <v>850</v>
      </c>
      <c r="FK107" s="402"/>
      <c r="FL107" s="402" t="s">
        <v>850</v>
      </c>
      <c r="FM107" s="402" t="s">
        <v>850</v>
      </c>
      <c r="FN107" s="402" t="s">
        <v>850</v>
      </c>
      <c r="FO107" s="402" t="s">
        <v>850</v>
      </c>
      <c r="FP107" s="375"/>
      <c r="FQ107" s="376" t="s">
        <v>972</v>
      </c>
      <c r="FR107" s="377" t="s">
        <v>522</v>
      </c>
      <c r="FS107" s="377" t="s">
        <v>850</v>
      </c>
      <c r="FT107" s="377" t="s">
        <v>592</v>
      </c>
      <c r="FU107" s="144">
        <f t="shared" si="8"/>
        <v>50</v>
      </c>
      <c r="FV107" s="371" t="s">
        <v>905</v>
      </c>
    </row>
    <row r="108" spans="1:178" s="371" customFormat="1">
      <c r="A108" s="368" t="s">
        <v>935</v>
      </c>
      <c r="B108" s="369" t="s">
        <v>517</v>
      </c>
      <c r="C108" s="369" t="s">
        <v>555</v>
      </c>
      <c r="D108" s="369" t="s">
        <v>3</v>
      </c>
      <c r="E108" s="370" t="s">
        <v>611</v>
      </c>
      <c r="F108" s="369" t="s">
        <v>520</v>
      </c>
      <c r="G108" s="369" t="s">
        <v>1011</v>
      </c>
      <c r="H108" s="402"/>
      <c r="I108" s="402"/>
      <c r="J108" s="402"/>
      <c r="K108" s="402"/>
      <c r="L108" s="402"/>
      <c r="M108" s="402"/>
      <c r="N108" s="402"/>
      <c r="O108" s="402"/>
      <c r="P108" s="402"/>
      <c r="Q108" s="402"/>
      <c r="R108" s="402"/>
      <c r="S108" s="402"/>
      <c r="T108" s="402"/>
      <c r="U108" s="402"/>
      <c r="V108" s="402"/>
      <c r="W108" s="402"/>
      <c r="X108" s="402"/>
      <c r="Y108" s="402"/>
      <c r="Z108" s="402"/>
      <c r="AA108" s="402"/>
      <c r="AB108" s="402"/>
      <c r="AC108" s="402"/>
      <c r="AD108" s="402"/>
      <c r="AE108" s="402"/>
      <c r="AF108" s="402"/>
      <c r="AG108" s="402"/>
      <c r="AH108" s="402"/>
      <c r="AI108" s="402"/>
      <c r="AJ108" s="402"/>
      <c r="AK108" s="402"/>
      <c r="AL108" s="402"/>
      <c r="AM108" s="402"/>
      <c r="AN108" s="402"/>
      <c r="AO108" s="402"/>
      <c r="AP108" s="402"/>
      <c r="AQ108" s="402"/>
      <c r="AR108" s="402"/>
      <c r="AS108" s="402"/>
      <c r="AT108" s="402"/>
      <c r="AU108" s="402"/>
      <c r="AV108" s="402"/>
      <c r="AW108" s="402"/>
      <c r="AX108" s="402"/>
      <c r="AY108" s="402"/>
      <c r="AZ108" s="402"/>
      <c r="BA108" s="402"/>
      <c r="BB108" s="402"/>
      <c r="BC108" s="402"/>
      <c r="BD108" s="402"/>
      <c r="BE108" s="402"/>
      <c r="BF108" s="402"/>
      <c r="BG108" s="402"/>
      <c r="BH108" s="402"/>
      <c r="BI108" s="402"/>
      <c r="BJ108" s="402"/>
      <c r="BK108" s="402"/>
      <c r="BL108" s="402"/>
      <c r="BM108" s="402"/>
      <c r="BN108" s="402"/>
      <c r="BO108" s="402"/>
      <c r="BP108" s="402"/>
      <c r="BQ108" s="402"/>
      <c r="BR108" s="402"/>
      <c r="BS108" s="402"/>
      <c r="BT108" s="402"/>
      <c r="BU108" s="402"/>
      <c r="BV108" s="402"/>
      <c r="BW108" s="402"/>
      <c r="BX108" s="402"/>
      <c r="BY108" s="402"/>
      <c r="BZ108" s="402"/>
      <c r="CA108" s="402"/>
      <c r="CB108" s="402"/>
      <c r="CC108" s="402"/>
      <c r="CD108" s="402"/>
      <c r="CE108" s="401"/>
      <c r="CF108" s="402"/>
      <c r="CG108" s="402"/>
      <c r="CH108" s="402"/>
      <c r="CI108" s="402"/>
      <c r="CJ108" s="402"/>
      <c r="CK108" s="402"/>
      <c r="CL108" s="402"/>
      <c r="CM108" s="401"/>
      <c r="CN108" s="402"/>
      <c r="CO108" s="401"/>
      <c r="CP108" s="402"/>
      <c r="CQ108" s="402"/>
      <c r="CR108" s="402"/>
      <c r="CS108" s="402"/>
      <c r="CT108" s="402"/>
      <c r="CU108" s="402"/>
      <c r="CV108" s="402"/>
      <c r="CW108" s="402"/>
      <c r="CX108" s="402"/>
      <c r="CY108" s="402"/>
      <c r="CZ108" s="402"/>
      <c r="DA108" s="402"/>
      <c r="DB108" s="402"/>
      <c r="DC108" s="402"/>
      <c r="DD108" s="402"/>
      <c r="DE108" s="402"/>
      <c r="DF108" s="402"/>
      <c r="DG108" s="402"/>
      <c r="DH108" s="402"/>
      <c r="DI108" s="402"/>
      <c r="DJ108" s="402"/>
      <c r="DK108" s="402"/>
      <c r="DL108" s="402"/>
      <c r="DM108" s="402"/>
      <c r="DN108" s="402"/>
      <c r="DO108" s="402"/>
      <c r="DP108" s="402"/>
      <c r="DQ108" s="402"/>
      <c r="DR108" s="402"/>
      <c r="DS108" s="402"/>
      <c r="DT108" s="402"/>
      <c r="DU108" s="402"/>
      <c r="DV108" s="402"/>
      <c r="DW108" s="402"/>
      <c r="DX108" s="402"/>
      <c r="DY108" s="402"/>
      <c r="DZ108" s="402"/>
      <c r="EA108" s="402"/>
      <c r="EB108" s="402"/>
      <c r="EC108" s="402"/>
      <c r="ED108" s="402"/>
      <c r="EE108" s="402"/>
      <c r="EF108" s="402"/>
      <c r="EG108" s="402"/>
      <c r="EH108" s="402"/>
      <c r="EI108" s="402"/>
      <c r="EJ108" s="402"/>
      <c r="EK108" s="402"/>
      <c r="EL108" s="402"/>
      <c r="EM108" s="402"/>
      <c r="EN108" s="402"/>
      <c r="EO108" s="402"/>
      <c r="EP108" s="402"/>
      <c r="EQ108" s="402"/>
      <c r="ER108" s="402"/>
      <c r="ES108" s="402"/>
      <c r="ET108" s="402"/>
      <c r="EU108" s="402"/>
      <c r="EV108" s="402"/>
      <c r="EW108" s="402"/>
      <c r="EX108" s="402"/>
      <c r="EY108" s="402"/>
      <c r="EZ108" s="402"/>
      <c r="FA108" s="402"/>
      <c r="FB108" s="402"/>
      <c r="FC108" s="402"/>
      <c r="FD108" s="402"/>
      <c r="FE108" s="402"/>
      <c r="FF108" s="402"/>
      <c r="FG108" s="402"/>
      <c r="FH108" s="402"/>
      <c r="FI108" s="402"/>
      <c r="FJ108" s="402"/>
      <c r="FK108" s="402"/>
      <c r="FL108" s="402"/>
      <c r="FM108" s="402"/>
      <c r="FN108" s="402"/>
      <c r="FO108" s="402"/>
      <c r="FP108" s="375"/>
      <c r="FQ108" s="376" t="s">
        <v>972</v>
      </c>
      <c r="FR108" s="377" t="s">
        <v>522</v>
      </c>
      <c r="FS108" s="377" t="s">
        <v>850</v>
      </c>
      <c r="FT108" s="377" t="s">
        <v>592</v>
      </c>
      <c r="FU108" s="144">
        <f t="shared" si="8"/>
        <v>0</v>
      </c>
      <c r="FV108" s="371" t="s">
        <v>905</v>
      </c>
    </row>
    <row r="109" spans="1:178" s="371" customFormat="1">
      <c r="A109" s="368" t="s">
        <v>526</v>
      </c>
      <c r="B109" s="369" t="s">
        <v>517</v>
      </c>
      <c r="C109" s="369" t="s">
        <v>555</v>
      </c>
      <c r="D109" s="369" t="s">
        <v>8</v>
      </c>
      <c r="E109" s="370" t="s">
        <v>1012</v>
      </c>
      <c r="F109" s="369" t="s">
        <v>520</v>
      </c>
      <c r="G109" s="369"/>
      <c r="H109" s="401"/>
      <c r="I109" s="401"/>
      <c r="J109" s="401"/>
      <c r="K109" s="401"/>
      <c r="L109" s="401"/>
      <c r="M109" s="401"/>
      <c r="N109" s="401"/>
      <c r="O109" s="401"/>
      <c r="P109" s="401"/>
      <c r="Q109" s="401"/>
      <c r="R109" s="401"/>
      <c r="S109" s="401"/>
      <c r="T109" s="401"/>
      <c r="U109" s="401"/>
      <c r="V109" s="401"/>
      <c r="W109" s="401"/>
      <c r="X109" s="401"/>
      <c r="Y109" s="401"/>
      <c r="Z109" s="401"/>
      <c r="AA109" s="401"/>
      <c r="AB109" s="401"/>
      <c r="AC109" s="401"/>
      <c r="AD109" s="401"/>
      <c r="AE109" s="401"/>
      <c r="AF109" s="401"/>
      <c r="AG109" s="401"/>
      <c r="AH109" s="401"/>
      <c r="AI109" s="401"/>
      <c r="AJ109" s="401"/>
      <c r="AK109" s="401"/>
      <c r="AL109" s="401"/>
      <c r="AM109" s="401"/>
      <c r="AN109" s="401"/>
      <c r="AO109" s="401"/>
      <c r="AP109" s="401"/>
      <c r="AQ109" s="401"/>
      <c r="AR109" s="401"/>
      <c r="AS109" s="401"/>
      <c r="AT109" s="401"/>
      <c r="AU109" s="401"/>
      <c r="AV109" s="401"/>
      <c r="AW109" s="401"/>
      <c r="AX109" s="401"/>
      <c r="AY109" s="401"/>
      <c r="AZ109" s="401"/>
      <c r="BA109" s="402"/>
      <c r="BB109" s="401"/>
      <c r="BC109" s="401"/>
      <c r="BD109" s="401"/>
      <c r="BE109" s="401"/>
      <c r="BF109" s="401"/>
      <c r="BG109" s="401"/>
      <c r="BH109" s="401"/>
      <c r="BI109" s="401"/>
      <c r="BJ109" s="401"/>
      <c r="BK109" s="401"/>
      <c r="BL109" s="401"/>
      <c r="BM109" s="401"/>
      <c r="BN109" s="401"/>
      <c r="BO109" s="401"/>
      <c r="BP109" s="401"/>
      <c r="BQ109" s="401"/>
      <c r="BR109" s="401"/>
      <c r="BS109" s="401"/>
      <c r="BT109" s="401"/>
      <c r="BU109" s="401"/>
      <c r="BV109" s="401"/>
      <c r="BW109" s="401"/>
      <c r="BX109" s="401"/>
      <c r="BY109" s="401"/>
      <c r="BZ109" s="401"/>
      <c r="CA109" s="401"/>
      <c r="CB109" s="401"/>
      <c r="CC109" s="401"/>
      <c r="CD109" s="401"/>
      <c r="CE109" s="401"/>
      <c r="CF109" s="401"/>
      <c r="CG109" s="401"/>
      <c r="CH109" s="401"/>
      <c r="CI109" s="401"/>
      <c r="CJ109" s="401"/>
      <c r="CK109" s="401"/>
      <c r="CL109" s="401"/>
      <c r="CM109" s="401"/>
      <c r="CN109" s="401"/>
      <c r="CO109" s="401"/>
      <c r="CP109" s="401"/>
      <c r="CQ109" s="401"/>
      <c r="CR109" s="401"/>
      <c r="CS109" s="401"/>
      <c r="CT109" s="401"/>
      <c r="CU109" s="401"/>
      <c r="CV109" s="401"/>
      <c r="CW109" s="401"/>
      <c r="CX109" s="401"/>
      <c r="CY109" s="401"/>
      <c r="CZ109" s="401"/>
      <c r="DA109" s="401"/>
      <c r="DB109" s="401"/>
      <c r="DC109" s="401"/>
      <c r="DD109" s="401"/>
      <c r="DE109" s="401"/>
      <c r="DF109" s="401"/>
      <c r="DG109" s="401"/>
      <c r="DH109" s="401"/>
      <c r="DI109" s="401"/>
      <c r="DJ109" s="401"/>
      <c r="DK109" s="401"/>
      <c r="DL109" s="401"/>
      <c r="DM109" s="401"/>
      <c r="DN109" s="401"/>
      <c r="DO109" s="402"/>
      <c r="DP109" s="401"/>
      <c r="DQ109" s="401"/>
      <c r="DR109" s="401"/>
      <c r="DS109" s="401"/>
      <c r="DT109" s="401"/>
      <c r="DU109" s="411">
        <v>10</v>
      </c>
      <c r="DV109" s="401"/>
      <c r="DW109" s="401"/>
      <c r="DX109" s="401"/>
      <c r="DY109" s="401"/>
      <c r="DZ109" s="401"/>
      <c r="EA109" s="401"/>
      <c r="EB109" s="401"/>
      <c r="EC109" s="401"/>
      <c r="ED109" s="401"/>
      <c r="EE109" s="411">
        <v>5</v>
      </c>
      <c r="EF109" s="401"/>
      <c r="EG109" s="401"/>
      <c r="EH109" s="411">
        <v>2</v>
      </c>
      <c r="EI109" s="401"/>
      <c r="EJ109" s="401"/>
      <c r="EK109" s="401"/>
      <c r="EL109" s="401"/>
      <c r="EM109" s="402"/>
      <c r="EN109" s="401"/>
      <c r="EO109" s="401"/>
      <c r="EP109" s="401"/>
      <c r="EQ109" s="401"/>
      <c r="ER109" s="401"/>
      <c r="ES109" s="401"/>
      <c r="ET109" s="401"/>
      <c r="EU109" s="401"/>
      <c r="EV109" s="411">
        <v>3</v>
      </c>
      <c r="EW109" s="411">
        <v>10</v>
      </c>
      <c r="EX109" s="401"/>
      <c r="EY109" s="401"/>
      <c r="EZ109" s="401"/>
      <c r="FA109" s="401"/>
      <c r="FB109" s="401"/>
      <c r="FC109" s="401"/>
      <c r="FD109" s="401"/>
      <c r="FE109" s="401"/>
      <c r="FF109" s="401"/>
      <c r="FG109" s="401"/>
      <c r="FH109" s="401"/>
      <c r="FI109" s="401"/>
      <c r="FJ109" s="401"/>
      <c r="FK109" s="401"/>
      <c r="FL109" s="401"/>
      <c r="FM109" s="401"/>
      <c r="FN109" s="401"/>
      <c r="FO109" s="401"/>
      <c r="FP109" s="375" t="s">
        <v>850</v>
      </c>
      <c r="FQ109" s="376" t="s">
        <v>972</v>
      </c>
      <c r="FR109" s="377" t="s">
        <v>522</v>
      </c>
      <c r="FS109" s="377" t="s">
        <v>850</v>
      </c>
      <c r="FT109" s="377" t="s">
        <v>908</v>
      </c>
      <c r="FU109" s="144">
        <f t="shared" si="8"/>
        <v>30</v>
      </c>
      <c r="FV109" s="371" t="s">
        <v>906</v>
      </c>
    </row>
    <row r="110" spans="1:178" s="371" customFormat="1">
      <c r="A110" s="368" t="s">
        <v>526</v>
      </c>
      <c r="B110" s="369" t="s">
        <v>517</v>
      </c>
      <c r="C110" s="369" t="s">
        <v>555</v>
      </c>
      <c r="D110" s="369" t="s">
        <v>4</v>
      </c>
      <c r="E110" s="370" t="s">
        <v>1012</v>
      </c>
      <c r="F110" s="369" t="s">
        <v>520</v>
      </c>
      <c r="G110" s="369"/>
      <c r="H110" s="402" t="s">
        <v>850</v>
      </c>
      <c r="I110" s="402" t="s">
        <v>850</v>
      </c>
      <c r="J110" s="402" t="s">
        <v>850</v>
      </c>
      <c r="K110" s="402"/>
      <c r="L110" s="402" t="s">
        <v>850</v>
      </c>
      <c r="M110" s="402" t="s">
        <v>850</v>
      </c>
      <c r="N110" s="402"/>
      <c r="O110" s="402"/>
      <c r="P110" s="402" t="s">
        <v>850</v>
      </c>
      <c r="Q110" s="402" t="s">
        <v>850</v>
      </c>
      <c r="R110" s="402" t="s">
        <v>850</v>
      </c>
      <c r="S110" s="402" t="s">
        <v>850</v>
      </c>
      <c r="T110" s="402"/>
      <c r="U110" s="402" t="s">
        <v>850</v>
      </c>
      <c r="V110" s="402" t="s">
        <v>850</v>
      </c>
      <c r="W110" s="402" t="s">
        <v>850</v>
      </c>
      <c r="X110" s="402"/>
      <c r="Y110" s="402"/>
      <c r="Z110" s="402"/>
      <c r="AA110" s="402"/>
      <c r="AB110" s="402"/>
      <c r="AC110" s="402" t="s">
        <v>850</v>
      </c>
      <c r="AD110" s="402"/>
      <c r="AE110" s="402" t="s">
        <v>850</v>
      </c>
      <c r="AF110" s="402" t="s">
        <v>850</v>
      </c>
      <c r="AG110" s="402" t="s">
        <v>850</v>
      </c>
      <c r="AH110" s="402" t="s">
        <v>850</v>
      </c>
      <c r="AI110" s="402" t="s">
        <v>850</v>
      </c>
      <c r="AJ110" s="402" t="s">
        <v>850</v>
      </c>
      <c r="AK110" s="402" t="s">
        <v>850</v>
      </c>
      <c r="AL110" s="402" t="s">
        <v>850</v>
      </c>
      <c r="AM110" s="402" t="s">
        <v>850</v>
      </c>
      <c r="AN110" s="402" t="s">
        <v>850</v>
      </c>
      <c r="AO110" s="402" t="s">
        <v>850</v>
      </c>
      <c r="AP110" s="402" t="s">
        <v>850</v>
      </c>
      <c r="AQ110" s="402" t="s">
        <v>850</v>
      </c>
      <c r="AR110" s="402" t="s">
        <v>850</v>
      </c>
      <c r="AS110" s="402" t="s">
        <v>850</v>
      </c>
      <c r="AT110" s="402" t="s">
        <v>850</v>
      </c>
      <c r="AU110" s="402"/>
      <c r="AV110" s="402" t="s">
        <v>850</v>
      </c>
      <c r="AW110" s="402" t="s">
        <v>850</v>
      </c>
      <c r="AX110" s="403">
        <f>8-8</f>
        <v>0</v>
      </c>
      <c r="AY110" s="403">
        <f t="shared" ref="AY110:BF110" si="12">10-10</f>
        <v>0</v>
      </c>
      <c r="AZ110" s="403">
        <f t="shared" si="12"/>
        <v>0</v>
      </c>
      <c r="BA110" s="409">
        <v>2</v>
      </c>
      <c r="BB110" s="403">
        <f t="shared" si="12"/>
        <v>0</v>
      </c>
      <c r="BC110" s="403">
        <f t="shared" si="12"/>
        <v>0</v>
      </c>
      <c r="BD110" s="403">
        <f>10-10+2</f>
        <v>2</v>
      </c>
      <c r="BE110" s="403">
        <f t="shared" si="12"/>
        <v>0</v>
      </c>
      <c r="BF110" s="403">
        <f t="shared" si="12"/>
        <v>0</v>
      </c>
      <c r="BG110" s="402"/>
      <c r="BH110" s="402" t="s">
        <v>850</v>
      </c>
      <c r="BI110" s="402" t="s">
        <v>850</v>
      </c>
      <c r="BJ110" s="402" t="s">
        <v>850</v>
      </c>
      <c r="BK110" s="402" t="s">
        <v>850</v>
      </c>
      <c r="BL110" s="403">
        <f t="shared" ref="BL110:BS110" si="13">10-10</f>
        <v>0</v>
      </c>
      <c r="BM110" s="403">
        <f>10-10+2</f>
        <v>2</v>
      </c>
      <c r="BN110" s="403">
        <f>10-10</f>
        <v>0</v>
      </c>
      <c r="BO110" s="403">
        <f>10-10+2</f>
        <v>2</v>
      </c>
      <c r="BP110" s="403">
        <f>10-10+2</f>
        <v>2</v>
      </c>
      <c r="BQ110" s="403">
        <f t="shared" si="13"/>
        <v>0</v>
      </c>
      <c r="BR110" s="403">
        <f t="shared" si="13"/>
        <v>0</v>
      </c>
      <c r="BS110" s="403">
        <f t="shared" si="13"/>
        <v>0</v>
      </c>
      <c r="BT110" s="402"/>
      <c r="BU110" s="402" t="s">
        <v>850</v>
      </c>
      <c r="BV110" s="402" t="s">
        <v>850</v>
      </c>
      <c r="BW110" s="403">
        <f t="shared" ref="BW110:CF110" si="14">10-10</f>
        <v>0</v>
      </c>
      <c r="BX110" s="403">
        <f t="shared" si="14"/>
        <v>0</v>
      </c>
      <c r="BY110" s="403">
        <f>10-10+1</f>
        <v>1</v>
      </c>
      <c r="BZ110" s="403">
        <f t="shared" si="14"/>
        <v>0</v>
      </c>
      <c r="CA110" s="403">
        <f t="shared" si="14"/>
        <v>0</v>
      </c>
      <c r="CB110" s="403">
        <f>10-10+2</f>
        <v>2</v>
      </c>
      <c r="CC110" s="403">
        <f t="shared" si="14"/>
        <v>0</v>
      </c>
      <c r="CD110" s="403">
        <f t="shared" si="14"/>
        <v>0</v>
      </c>
      <c r="CE110" s="401"/>
      <c r="CF110" s="403">
        <f t="shared" si="14"/>
        <v>0</v>
      </c>
      <c r="CG110" s="402"/>
      <c r="CH110" s="403">
        <f>20-20+1</f>
        <v>1</v>
      </c>
      <c r="CI110" s="403">
        <f>20-20+2</f>
        <v>2</v>
      </c>
      <c r="CJ110" s="403">
        <f>20-20+1</f>
        <v>1</v>
      </c>
      <c r="CK110" s="403">
        <f>10-10</f>
        <v>0</v>
      </c>
      <c r="CL110" s="403">
        <f>10-10</f>
        <v>0</v>
      </c>
      <c r="CM110" s="411">
        <v>2</v>
      </c>
      <c r="CN110" s="403">
        <f>20-20</f>
        <v>0</v>
      </c>
      <c r="CO110" s="411">
        <v>5</v>
      </c>
      <c r="CP110" s="403">
        <f>20-20</f>
        <v>0</v>
      </c>
      <c r="CQ110" s="403">
        <f>20-20</f>
        <v>0</v>
      </c>
      <c r="CR110" s="403">
        <f>20-20</f>
        <v>0</v>
      </c>
      <c r="CS110" s="403">
        <f>20-20</f>
        <v>0</v>
      </c>
      <c r="CT110" s="402" t="s">
        <v>850</v>
      </c>
      <c r="CU110" s="402" t="s">
        <v>850</v>
      </c>
      <c r="CV110" s="402"/>
      <c r="CW110" s="403">
        <f>50-50+5</f>
        <v>5</v>
      </c>
      <c r="CX110" s="403">
        <f>40-40+5</f>
        <v>5</v>
      </c>
      <c r="CY110" s="402"/>
      <c r="CZ110" s="402"/>
      <c r="DA110" s="403">
        <f>50-50</f>
        <v>0</v>
      </c>
      <c r="DB110" s="403">
        <f>40-40</f>
        <v>0</v>
      </c>
      <c r="DC110" s="402" t="s">
        <v>850</v>
      </c>
      <c r="DD110" s="402"/>
      <c r="DE110" s="402" t="s">
        <v>850</v>
      </c>
      <c r="DF110" s="402"/>
      <c r="DG110" s="403">
        <f>50-50+1</f>
        <v>1</v>
      </c>
      <c r="DH110" s="402" t="s">
        <v>850</v>
      </c>
      <c r="DI110" s="403">
        <f>20-20</f>
        <v>0</v>
      </c>
      <c r="DJ110" s="402" t="s">
        <v>850</v>
      </c>
      <c r="DK110" s="402" t="s">
        <v>850</v>
      </c>
      <c r="DL110" s="402" t="s">
        <v>850</v>
      </c>
      <c r="DM110" s="403">
        <f>50-50</f>
        <v>0</v>
      </c>
      <c r="DN110" s="402" t="s">
        <v>850</v>
      </c>
      <c r="DO110" s="402"/>
      <c r="DP110" s="402"/>
      <c r="DQ110" s="403">
        <f>30-30</f>
        <v>0</v>
      </c>
      <c r="DR110" s="402" t="s">
        <v>850</v>
      </c>
      <c r="DS110" s="403">
        <f>30-30+5</f>
        <v>5</v>
      </c>
      <c r="DT110" s="402" t="s">
        <v>850</v>
      </c>
      <c r="DU110" s="403">
        <f>200-200</f>
        <v>0</v>
      </c>
      <c r="DV110" s="402" t="s">
        <v>850</v>
      </c>
      <c r="DW110" s="403">
        <f>200-200</f>
        <v>0</v>
      </c>
      <c r="DX110" s="402" t="s">
        <v>850</v>
      </c>
      <c r="DY110" s="402"/>
      <c r="DZ110" s="403">
        <f>50-50</f>
        <v>0</v>
      </c>
      <c r="EA110" s="402" t="s">
        <v>850</v>
      </c>
      <c r="EB110" s="403">
        <f>50-50</f>
        <v>0</v>
      </c>
      <c r="EC110" s="403">
        <f>200-200</f>
        <v>0</v>
      </c>
      <c r="ED110" s="403">
        <f>200-200</f>
        <v>0</v>
      </c>
      <c r="EE110" s="403">
        <f>200-200</f>
        <v>0</v>
      </c>
      <c r="EF110" s="402" t="s">
        <v>850</v>
      </c>
      <c r="EG110" s="403">
        <f>200-200+2</f>
        <v>2</v>
      </c>
      <c r="EH110" s="403">
        <f>200-200</f>
        <v>0</v>
      </c>
      <c r="EI110" s="403">
        <f>200-200</f>
        <v>0</v>
      </c>
      <c r="EJ110" s="402" t="s">
        <v>850</v>
      </c>
      <c r="EK110" s="403">
        <f>200-200</f>
        <v>0</v>
      </c>
      <c r="EL110" s="403">
        <f>60-60</f>
        <v>0</v>
      </c>
      <c r="EM110" s="411">
        <v>1</v>
      </c>
      <c r="EN110" s="403">
        <f>60-60</f>
        <v>0</v>
      </c>
      <c r="EO110" s="402" t="s">
        <v>850</v>
      </c>
      <c r="EP110" s="403">
        <f>200-200</f>
        <v>0</v>
      </c>
      <c r="EQ110" s="403">
        <f>200-200+5</f>
        <v>5</v>
      </c>
      <c r="ER110" s="402" t="s">
        <v>850</v>
      </c>
      <c r="ES110" s="402" t="s">
        <v>850</v>
      </c>
      <c r="ET110" s="402" t="s">
        <v>850</v>
      </c>
      <c r="EU110" s="402"/>
      <c r="EV110" s="403">
        <f>200-200</f>
        <v>0</v>
      </c>
      <c r="EW110" s="403">
        <f>200-200</f>
        <v>0</v>
      </c>
      <c r="EX110" s="403">
        <f>200-200+10</f>
        <v>10</v>
      </c>
      <c r="EY110" s="402" t="s">
        <v>850</v>
      </c>
      <c r="EZ110" s="402"/>
      <c r="FA110" s="402"/>
      <c r="FB110" s="402"/>
      <c r="FC110" s="402"/>
      <c r="FD110" s="402"/>
      <c r="FE110" s="402"/>
      <c r="FF110" s="402"/>
      <c r="FG110" s="402" t="s">
        <v>850</v>
      </c>
      <c r="FH110" s="402"/>
      <c r="FI110" s="402" t="s">
        <v>850</v>
      </c>
      <c r="FJ110" s="402" t="s">
        <v>850</v>
      </c>
      <c r="FK110" s="402"/>
      <c r="FL110" s="402" t="s">
        <v>850</v>
      </c>
      <c r="FM110" s="402" t="s">
        <v>850</v>
      </c>
      <c r="FN110" s="402" t="s">
        <v>850</v>
      </c>
      <c r="FO110" s="402" t="s">
        <v>850</v>
      </c>
      <c r="FP110" s="375"/>
      <c r="FQ110" s="376" t="s">
        <v>972</v>
      </c>
      <c r="FR110" s="377" t="s">
        <v>522</v>
      </c>
      <c r="FS110" s="377" t="s">
        <v>850</v>
      </c>
      <c r="FT110" s="377" t="s">
        <v>908</v>
      </c>
      <c r="FU110" s="144">
        <f t="shared" si="8"/>
        <v>58</v>
      </c>
      <c r="FV110" s="371" t="s">
        <v>906</v>
      </c>
    </row>
    <row r="111" spans="1:178" s="371" customFormat="1">
      <c r="A111" s="368" t="s">
        <v>526</v>
      </c>
      <c r="B111" s="369" t="s">
        <v>517</v>
      </c>
      <c r="C111" s="369" t="s">
        <v>555</v>
      </c>
      <c r="D111" s="369" t="s">
        <v>3</v>
      </c>
      <c r="E111" s="370" t="s">
        <v>1012</v>
      </c>
      <c r="F111" s="369" t="s">
        <v>520</v>
      </c>
      <c r="G111" s="369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02"/>
      <c r="AH111" s="402"/>
      <c r="AI111" s="402"/>
      <c r="AJ111" s="402"/>
      <c r="AK111" s="402"/>
      <c r="AL111" s="402"/>
      <c r="AM111" s="402"/>
      <c r="AN111" s="402"/>
      <c r="AO111" s="402"/>
      <c r="AP111" s="402"/>
      <c r="AQ111" s="402"/>
      <c r="AR111" s="402"/>
      <c r="AS111" s="402"/>
      <c r="AT111" s="402"/>
      <c r="AU111" s="402"/>
      <c r="AV111" s="402"/>
      <c r="AW111" s="402"/>
      <c r="AX111" s="402"/>
      <c r="AY111" s="402"/>
      <c r="AZ111" s="402"/>
      <c r="BA111" s="402"/>
      <c r="BB111" s="402"/>
      <c r="BC111" s="402"/>
      <c r="BD111" s="402"/>
      <c r="BE111" s="402"/>
      <c r="BF111" s="402"/>
      <c r="BG111" s="402"/>
      <c r="BH111" s="402"/>
      <c r="BI111" s="402"/>
      <c r="BJ111" s="402"/>
      <c r="BK111" s="402"/>
      <c r="BL111" s="402"/>
      <c r="BM111" s="402"/>
      <c r="BN111" s="402"/>
      <c r="BO111" s="402"/>
      <c r="BP111" s="402"/>
      <c r="BQ111" s="402"/>
      <c r="BR111" s="402"/>
      <c r="BS111" s="402"/>
      <c r="BT111" s="402"/>
      <c r="BU111" s="402"/>
      <c r="BV111" s="402"/>
      <c r="BW111" s="402"/>
      <c r="BX111" s="402"/>
      <c r="BY111" s="402"/>
      <c r="BZ111" s="402"/>
      <c r="CA111" s="402"/>
      <c r="CB111" s="402"/>
      <c r="CC111" s="402"/>
      <c r="CD111" s="402"/>
      <c r="CE111" s="401"/>
      <c r="CF111" s="402"/>
      <c r="CG111" s="402"/>
      <c r="CH111" s="402"/>
      <c r="CI111" s="402"/>
      <c r="CJ111" s="402"/>
      <c r="CK111" s="402"/>
      <c r="CL111" s="402"/>
      <c r="CM111" s="401"/>
      <c r="CN111" s="402"/>
      <c r="CO111" s="401"/>
      <c r="CP111" s="402"/>
      <c r="CQ111" s="402"/>
      <c r="CR111" s="402"/>
      <c r="CS111" s="402"/>
      <c r="CT111" s="402"/>
      <c r="CU111" s="402"/>
      <c r="CV111" s="402"/>
      <c r="CW111" s="402"/>
      <c r="CX111" s="402"/>
      <c r="CY111" s="402"/>
      <c r="CZ111" s="402"/>
      <c r="DA111" s="402"/>
      <c r="DB111" s="402"/>
      <c r="DC111" s="402"/>
      <c r="DD111" s="402"/>
      <c r="DE111" s="402"/>
      <c r="DF111" s="402"/>
      <c r="DG111" s="402"/>
      <c r="DH111" s="402"/>
      <c r="DI111" s="402"/>
      <c r="DJ111" s="402"/>
      <c r="DK111" s="402"/>
      <c r="DL111" s="402"/>
      <c r="DM111" s="402"/>
      <c r="DN111" s="402"/>
      <c r="DO111" s="402"/>
      <c r="DP111" s="402"/>
      <c r="DQ111" s="402"/>
      <c r="DR111" s="402"/>
      <c r="DS111" s="402"/>
      <c r="DT111" s="402"/>
      <c r="DU111" s="402"/>
      <c r="DV111" s="402"/>
      <c r="DW111" s="402"/>
      <c r="DX111" s="402"/>
      <c r="DY111" s="402"/>
      <c r="DZ111" s="402"/>
      <c r="EA111" s="402"/>
      <c r="EB111" s="402"/>
      <c r="EC111" s="402"/>
      <c r="ED111" s="402"/>
      <c r="EE111" s="402"/>
      <c r="EF111" s="402"/>
      <c r="EG111" s="402"/>
      <c r="EH111" s="402"/>
      <c r="EI111" s="402"/>
      <c r="EJ111" s="402"/>
      <c r="EK111" s="402"/>
      <c r="EL111" s="402"/>
      <c r="EM111" s="402"/>
      <c r="EN111" s="402"/>
      <c r="EO111" s="402"/>
      <c r="EP111" s="402"/>
      <c r="EQ111" s="402"/>
      <c r="ER111" s="402"/>
      <c r="ES111" s="402"/>
      <c r="ET111" s="402"/>
      <c r="EU111" s="402"/>
      <c r="EV111" s="402"/>
      <c r="EW111" s="402"/>
      <c r="EX111" s="402"/>
      <c r="EY111" s="402"/>
      <c r="EZ111" s="402"/>
      <c r="FA111" s="402"/>
      <c r="FB111" s="402"/>
      <c r="FC111" s="402"/>
      <c r="FD111" s="402"/>
      <c r="FE111" s="402"/>
      <c r="FF111" s="402"/>
      <c r="FG111" s="402"/>
      <c r="FH111" s="402"/>
      <c r="FI111" s="402"/>
      <c r="FJ111" s="402"/>
      <c r="FK111" s="402"/>
      <c r="FL111" s="402"/>
      <c r="FM111" s="402"/>
      <c r="FN111" s="402"/>
      <c r="FO111" s="402"/>
      <c r="FP111" s="375"/>
      <c r="FQ111" s="376" t="s">
        <v>972</v>
      </c>
      <c r="FR111" s="377" t="s">
        <v>522</v>
      </c>
      <c r="FS111" s="377" t="s">
        <v>850</v>
      </c>
      <c r="FT111" s="377" t="s">
        <v>908</v>
      </c>
      <c r="FU111" s="144">
        <f t="shared" si="8"/>
        <v>0</v>
      </c>
      <c r="FV111" s="371" t="s">
        <v>906</v>
      </c>
    </row>
    <row r="112" spans="1:178" s="371" customFormat="1">
      <c r="A112" s="368" t="s">
        <v>526</v>
      </c>
      <c r="B112" s="369" t="s">
        <v>517</v>
      </c>
      <c r="C112" s="369" t="s">
        <v>555</v>
      </c>
      <c r="D112" s="369" t="s">
        <v>8</v>
      </c>
      <c r="E112" s="370" t="s">
        <v>614</v>
      </c>
      <c r="F112" s="369" t="s">
        <v>520</v>
      </c>
      <c r="G112" s="369" t="s">
        <v>1013</v>
      </c>
      <c r="H112" s="401"/>
      <c r="I112" s="401"/>
      <c r="J112" s="401"/>
      <c r="K112" s="401"/>
      <c r="L112" s="401"/>
      <c r="M112" s="401"/>
      <c r="N112" s="401"/>
      <c r="O112" s="401"/>
      <c r="P112" s="401"/>
      <c r="Q112" s="401"/>
      <c r="R112" s="401"/>
      <c r="S112" s="401"/>
      <c r="T112" s="401"/>
      <c r="U112" s="401"/>
      <c r="V112" s="401"/>
      <c r="W112" s="401"/>
      <c r="X112" s="401"/>
      <c r="Y112" s="401"/>
      <c r="Z112" s="401"/>
      <c r="AA112" s="401"/>
      <c r="AB112" s="401"/>
      <c r="AC112" s="401"/>
      <c r="AD112" s="401"/>
      <c r="AE112" s="401"/>
      <c r="AF112" s="401"/>
      <c r="AG112" s="401"/>
      <c r="AH112" s="401"/>
      <c r="AI112" s="401"/>
      <c r="AJ112" s="401"/>
      <c r="AK112" s="401"/>
      <c r="AL112" s="401"/>
      <c r="AM112" s="401"/>
      <c r="AN112" s="401"/>
      <c r="AO112" s="401"/>
      <c r="AP112" s="401"/>
      <c r="AQ112" s="401"/>
      <c r="AR112" s="401"/>
      <c r="AS112" s="401"/>
      <c r="AT112" s="401"/>
      <c r="AU112" s="401"/>
      <c r="AV112" s="401"/>
      <c r="AW112" s="401"/>
      <c r="AX112" s="401"/>
      <c r="AY112" s="401"/>
      <c r="AZ112" s="401"/>
      <c r="BA112" s="401"/>
      <c r="BB112" s="401"/>
      <c r="BC112" s="401"/>
      <c r="BD112" s="401"/>
      <c r="BE112" s="401"/>
      <c r="BF112" s="401"/>
      <c r="BG112" s="401"/>
      <c r="BH112" s="401"/>
      <c r="BI112" s="401"/>
      <c r="BJ112" s="401"/>
      <c r="BK112" s="401"/>
      <c r="BL112" s="401"/>
      <c r="BM112" s="401"/>
      <c r="BN112" s="401"/>
      <c r="BO112" s="401"/>
      <c r="BP112" s="401"/>
      <c r="BQ112" s="401"/>
      <c r="BR112" s="401"/>
      <c r="BS112" s="401"/>
      <c r="BT112" s="401"/>
      <c r="BU112" s="401"/>
      <c r="BV112" s="401"/>
      <c r="BW112" s="401"/>
      <c r="BX112" s="401"/>
      <c r="BY112" s="401"/>
      <c r="BZ112" s="401"/>
      <c r="CA112" s="401"/>
      <c r="CB112" s="401"/>
      <c r="CC112" s="401"/>
      <c r="CD112" s="401"/>
      <c r="CE112" s="401"/>
      <c r="CF112" s="401"/>
      <c r="CG112" s="401"/>
      <c r="CH112" s="401"/>
      <c r="CI112" s="401"/>
      <c r="CJ112" s="401"/>
      <c r="CK112" s="401"/>
      <c r="CL112" s="401"/>
      <c r="CM112" s="401"/>
      <c r="CN112" s="401"/>
      <c r="CO112" s="401"/>
      <c r="CP112" s="401"/>
      <c r="CQ112" s="401"/>
      <c r="CR112" s="401"/>
      <c r="CS112" s="401"/>
      <c r="CT112" s="401"/>
      <c r="CU112" s="401"/>
      <c r="CV112" s="401"/>
      <c r="CW112" s="401"/>
      <c r="CX112" s="401"/>
      <c r="CY112" s="401"/>
      <c r="CZ112" s="401"/>
      <c r="DA112" s="401"/>
      <c r="DB112" s="401"/>
      <c r="DC112" s="401"/>
      <c r="DD112" s="401"/>
      <c r="DE112" s="401"/>
      <c r="DF112" s="401"/>
      <c r="DG112" s="401"/>
      <c r="DH112" s="401"/>
      <c r="DI112" s="401"/>
      <c r="DJ112" s="401"/>
      <c r="DK112" s="401"/>
      <c r="DL112" s="401"/>
      <c r="DM112" s="401"/>
      <c r="DN112" s="401"/>
      <c r="DO112" s="402"/>
      <c r="DP112" s="401"/>
      <c r="DQ112" s="401"/>
      <c r="DR112" s="401"/>
      <c r="DS112" s="401"/>
      <c r="DT112" s="401"/>
      <c r="DU112" s="401"/>
      <c r="DV112" s="401"/>
      <c r="DW112" s="401"/>
      <c r="DX112" s="401"/>
      <c r="DY112" s="401"/>
      <c r="DZ112" s="401"/>
      <c r="EA112" s="401"/>
      <c r="EB112" s="401"/>
      <c r="EC112" s="401"/>
      <c r="ED112" s="401"/>
      <c r="EE112" s="411">
        <v>5</v>
      </c>
      <c r="EF112" s="401"/>
      <c r="EG112" s="401"/>
      <c r="EH112" s="411">
        <v>2</v>
      </c>
      <c r="EI112" s="401"/>
      <c r="EJ112" s="401"/>
      <c r="EK112" s="401"/>
      <c r="EL112" s="401"/>
      <c r="EM112" s="402"/>
      <c r="EN112" s="401"/>
      <c r="EO112" s="401"/>
      <c r="EP112" s="401"/>
      <c r="EQ112" s="401"/>
      <c r="ER112" s="401"/>
      <c r="ES112" s="401"/>
      <c r="ET112" s="401"/>
      <c r="EU112" s="401"/>
      <c r="EV112" s="401"/>
      <c r="EW112" s="401"/>
      <c r="EX112" s="401"/>
      <c r="EY112" s="401"/>
      <c r="EZ112" s="401"/>
      <c r="FA112" s="401"/>
      <c r="FB112" s="401"/>
      <c r="FC112" s="401"/>
      <c r="FD112" s="401"/>
      <c r="FE112" s="401"/>
      <c r="FF112" s="401"/>
      <c r="FG112" s="401"/>
      <c r="FH112" s="401"/>
      <c r="FI112" s="401"/>
      <c r="FJ112" s="401"/>
      <c r="FK112" s="401"/>
      <c r="FL112" s="401"/>
      <c r="FM112" s="401"/>
      <c r="FN112" s="401"/>
      <c r="FO112" s="401"/>
      <c r="FP112" s="375" t="s">
        <v>850</v>
      </c>
      <c r="FQ112" s="376" t="s">
        <v>972</v>
      </c>
      <c r="FR112" s="377" t="s">
        <v>522</v>
      </c>
      <c r="FS112" s="377" t="s">
        <v>850</v>
      </c>
      <c r="FT112" s="377" t="s">
        <v>617</v>
      </c>
      <c r="FU112" s="144">
        <f t="shared" si="8"/>
        <v>7</v>
      </c>
      <c r="FV112" s="371" t="s">
        <v>905</v>
      </c>
    </row>
    <row r="113" spans="1:178" s="371" customFormat="1">
      <c r="A113" s="368" t="s">
        <v>526</v>
      </c>
      <c r="B113" s="369" t="s">
        <v>517</v>
      </c>
      <c r="C113" s="369" t="s">
        <v>555</v>
      </c>
      <c r="D113" s="369" t="s">
        <v>4</v>
      </c>
      <c r="E113" s="370" t="s">
        <v>614</v>
      </c>
      <c r="F113" s="369" t="s">
        <v>520</v>
      </c>
      <c r="G113" s="369" t="s">
        <v>1013</v>
      </c>
      <c r="H113" s="402" t="s">
        <v>850</v>
      </c>
      <c r="I113" s="402" t="s">
        <v>850</v>
      </c>
      <c r="J113" s="402" t="s">
        <v>850</v>
      </c>
      <c r="K113" s="402"/>
      <c r="L113" s="402" t="s">
        <v>850</v>
      </c>
      <c r="M113" s="402" t="s">
        <v>850</v>
      </c>
      <c r="N113" s="402"/>
      <c r="O113" s="402"/>
      <c r="P113" s="402" t="s">
        <v>850</v>
      </c>
      <c r="Q113" s="402" t="s">
        <v>850</v>
      </c>
      <c r="R113" s="402" t="s">
        <v>850</v>
      </c>
      <c r="S113" s="402" t="s">
        <v>850</v>
      </c>
      <c r="T113" s="402"/>
      <c r="U113" s="402" t="s">
        <v>850</v>
      </c>
      <c r="V113" s="402" t="s">
        <v>850</v>
      </c>
      <c r="W113" s="402" t="s">
        <v>850</v>
      </c>
      <c r="X113" s="402"/>
      <c r="Y113" s="402"/>
      <c r="Z113" s="402"/>
      <c r="AA113" s="402"/>
      <c r="AB113" s="402"/>
      <c r="AC113" s="402" t="s">
        <v>850</v>
      </c>
      <c r="AD113" s="402"/>
      <c r="AE113" s="402" t="s">
        <v>850</v>
      </c>
      <c r="AF113" s="402" t="s">
        <v>850</v>
      </c>
      <c r="AG113" s="402" t="s">
        <v>850</v>
      </c>
      <c r="AH113" s="402" t="s">
        <v>850</v>
      </c>
      <c r="AI113" s="402" t="s">
        <v>850</v>
      </c>
      <c r="AJ113" s="402" t="s">
        <v>850</v>
      </c>
      <c r="AK113" s="402" t="s">
        <v>850</v>
      </c>
      <c r="AL113" s="402" t="s">
        <v>850</v>
      </c>
      <c r="AM113" s="402" t="s">
        <v>850</v>
      </c>
      <c r="AN113" s="402" t="s">
        <v>850</v>
      </c>
      <c r="AO113" s="402" t="s">
        <v>850</v>
      </c>
      <c r="AP113" s="402" t="s">
        <v>850</v>
      </c>
      <c r="AQ113" s="402" t="s">
        <v>850</v>
      </c>
      <c r="AR113" s="402" t="s">
        <v>850</v>
      </c>
      <c r="AS113" s="402" t="s">
        <v>850</v>
      </c>
      <c r="AT113" s="402" t="s">
        <v>850</v>
      </c>
      <c r="AU113" s="402"/>
      <c r="AV113" s="402" t="s">
        <v>850</v>
      </c>
      <c r="AW113" s="402" t="s">
        <v>850</v>
      </c>
      <c r="AX113" s="402"/>
      <c r="AY113" s="402" t="s">
        <v>850</v>
      </c>
      <c r="AZ113" s="402" t="s">
        <v>850</v>
      </c>
      <c r="BA113" s="402"/>
      <c r="BB113" s="402" t="s">
        <v>850</v>
      </c>
      <c r="BC113" s="402" t="s">
        <v>850</v>
      </c>
      <c r="BD113" s="402"/>
      <c r="BE113" s="402" t="s">
        <v>850</v>
      </c>
      <c r="BF113" s="402" t="s">
        <v>850</v>
      </c>
      <c r="BG113" s="402"/>
      <c r="BH113" s="402" t="s">
        <v>850</v>
      </c>
      <c r="BI113" s="402" t="s">
        <v>850</v>
      </c>
      <c r="BJ113" s="402" t="s">
        <v>850</v>
      </c>
      <c r="BK113" s="402" t="s">
        <v>850</v>
      </c>
      <c r="BL113" s="402"/>
      <c r="BM113" s="402"/>
      <c r="BN113" s="402"/>
      <c r="BO113" s="402"/>
      <c r="BP113" s="402"/>
      <c r="BQ113" s="402" t="s">
        <v>850</v>
      </c>
      <c r="BR113" s="402" t="s">
        <v>850</v>
      </c>
      <c r="BS113" s="402"/>
      <c r="BT113" s="402"/>
      <c r="BU113" s="402" t="s">
        <v>850</v>
      </c>
      <c r="BV113" s="402" t="s">
        <v>850</v>
      </c>
      <c r="BW113" s="402"/>
      <c r="BX113" s="402"/>
      <c r="BY113" s="402"/>
      <c r="BZ113" s="402"/>
      <c r="CA113" s="402" t="s">
        <v>850</v>
      </c>
      <c r="CB113" s="402"/>
      <c r="CC113" s="402"/>
      <c r="CD113" s="402"/>
      <c r="CE113" s="401"/>
      <c r="CF113" s="402" t="s">
        <v>850</v>
      </c>
      <c r="CG113" s="402"/>
      <c r="CH113" s="402"/>
      <c r="CI113" s="402"/>
      <c r="CJ113" s="402"/>
      <c r="CK113" s="402"/>
      <c r="CL113" s="402"/>
      <c r="CM113" s="401"/>
      <c r="CN113" s="402"/>
      <c r="CO113" s="401"/>
      <c r="CP113" s="402" t="s">
        <v>850</v>
      </c>
      <c r="CQ113" s="402" t="s">
        <v>850</v>
      </c>
      <c r="CR113" s="402"/>
      <c r="CS113" s="402" t="s">
        <v>850</v>
      </c>
      <c r="CT113" s="402" t="s">
        <v>850</v>
      </c>
      <c r="CU113" s="402" t="s">
        <v>850</v>
      </c>
      <c r="CV113" s="402"/>
      <c r="CW113" s="402"/>
      <c r="CX113" s="402"/>
      <c r="CY113" s="402"/>
      <c r="CZ113" s="402"/>
      <c r="DA113" s="402" t="s">
        <v>850</v>
      </c>
      <c r="DB113" s="402" t="s">
        <v>850</v>
      </c>
      <c r="DC113" s="402" t="s">
        <v>850</v>
      </c>
      <c r="DD113" s="402"/>
      <c r="DE113" s="402" t="s">
        <v>850</v>
      </c>
      <c r="DF113" s="402"/>
      <c r="DG113" s="402"/>
      <c r="DH113" s="402" t="s">
        <v>850</v>
      </c>
      <c r="DI113" s="402" t="s">
        <v>850</v>
      </c>
      <c r="DJ113" s="402" t="s">
        <v>850</v>
      </c>
      <c r="DK113" s="402" t="s">
        <v>850</v>
      </c>
      <c r="DL113" s="402" t="s">
        <v>850</v>
      </c>
      <c r="DM113" s="402" t="s">
        <v>850</v>
      </c>
      <c r="DN113" s="402" t="s">
        <v>850</v>
      </c>
      <c r="DO113" s="402"/>
      <c r="DP113" s="402"/>
      <c r="DQ113" s="402" t="s">
        <v>850</v>
      </c>
      <c r="DR113" s="402" t="s">
        <v>850</v>
      </c>
      <c r="DS113" s="402"/>
      <c r="DT113" s="402" t="s">
        <v>850</v>
      </c>
      <c r="DU113" s="402"/>
      <c r="DV113" s="402" t="s">
        <v>850</v>
      </c>
      <c r="DW113" s="402"/>
      <c r="DX113" s="402" t="s">
        <v>850</v>
      </c>
      <c r="DY113" s="402"/>
      <c r="DZ113" s="402" t="s">
        <v>850</v>
      </c>
      <c r="EA113" s="402" t="s">
        <v>850</v>
      </c>
      <c r="EB113" s="402" t="s">
        <v>850</v>
      </c>
      <c r="EC113" s="402" t="s">
        <v>850</v>
      </c>
      <c r="ED113" s="403">
        <f>200-200</f>
        <v>0</v>
      </c>
      <c r="EE113" s="403">
        <f>200-200</f>
        <v>0</v>
      </c>
      <c r="EF113" s="402" t="s">
        <v>850</v>
      </c>
      <c r="EG113" s="403">
        <f>200-200+2</f>
        <v>2</v>
      </c>
      <c r="EH113" s="403">
        <f>200-200</f>
        <v>0</v>
      </c>
      <c r="EI113" s="403">
        <f>200-200</f>
        <v>0</v>
      </c>
      <c r="EJ113" s="402" t="s">
        <v>850</v>
      </c>
      <c r="EK113" s="403">
        <f>200-200</f>
        <v>0</v>
      </c>
      <c r="EL113" s="403">
        <f>200-200</f>
        <v>0</v>
      </c>
      <c r="EM113" s="411">
        <v>1</v>
      </c>
      <c r="EN113" s="403">
        <f>200-200</f>
        <v>0</v>
      </c>
      <c r="EO113" s="402" t="s">
        <v>850</v>
      </c>
      <c r="EP113" s="402" t="s">
        <v>850</v>
      </c>
      <c r="EQ113" s="402"/>
      <c r="ER113" s="402" t="s">
        <v>850</v>
      </c>
      <c r="ES113" s="402" t="s">
        <v>850</v>
      </c>
      <c r="ET113" s="402" t="s">
        <v>850</v>
      </c>
      <c r="EU113" s="402"/>
      <c r="EV113" s="402"/>
      <c r="EW113" s="402"/>
      <c r="EX113" s="402"/>
      <c r="EY113" s="402" t="s">
        <v>850</v>
      </c>
      <c r="EZ113" s="402"/>
      <c r="FA113" s="402"/>
      <c r="FB113" s="402"/>
      <c r="FC113" s="402"/>
      <c r="FD113" s="402"/>
      <c r="FE113" s="402"/>
      <c r="FF113" s="402"/>
      <c r="FG113" s="402" t="s">
        <v>850</v>
      </c>
      <c r="FH113" s="402"/>
      <c r="FI113" s="402" t="s">
        <v>850</v>
      </c>
      <c r="FJ113" s="402" t="s">
        <v>850</v>
      </c>
      <c r="FK113" s="402"/>
      <c r="FL113" s="402" t="s">
        <v>850</v>
      </c>
      <c r="FM113" s="402" t="s">
        <v>850</v>
      </c>
      <c r="FN113" s="402" t="s">
        <v>850</v>
      </c>
      <c r="FO113" s="402" t="s">
        <v>850</v>
      </c>
      <c r="FP113" s="375"/>
      <c r="FQ113" s="376" t="s">
        <v>972</v>
      </c>
      <c r="FR113" s="377" t="s">
        <v>522</v>
      </c>
      <c r="FS113" s="377" t="s">
        <v>850</v>
      </c>
      <c r="FT113" s="377" t="s">
        <v>617</v>
      </c>
      <c r="FU113" s="144">
        <f t="shared" si="8"/>
        <v>3</v>
      </c>
      <c r="FV113" s="371" t="s">
        <v>905</v>
      </c>
    </row>
    <row r="114" spans="1:178" s="371" customFormat="1">
      <c r="A114" s="368" t="s">
        <v>526</v>
      </c>
      <c r="B114" s="369" t="s">
        <v>517</v>
      </c>
      <c r="C114" s="369" t="s">
        <v>555</v>
      </c>
      <c r="D114" s="369" t="s">
        <v>3</v>
      </c>
      <c r="E114" s="370" t="s">
        <v>614</v>
      </c>
      <c r="F114" s="369" t="s">
        <v>520</v>
      </c>
      <c r="G114" s="369" t="s">
        <v>1014</v>
      </c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02"/>
      <c r="AH114" s="402"/>
      <c r="AI114" s="402"/>
      <c r="AJ114" s="402"/>
      <c r="AK114" s="402"/>
      <c r="AL114" s="402"/>
      <c r="AM114" s="402"/>
      <c r="AN114" s="402"/>
      <c r="AO114" s="402"/>
      <c r="AP114" s="402"/>
      <c r="AQ114" s="402"/>
      <c r="AR114" s="402"/>
      <c r="AS114" s="402"/>
      <c r="AT114" s="402"/>
      <c r="AU114" s="402"/>
      <c r="AV114" s="402"/>
      <c r="AW114" s="402"/>
      <c r="AX114" s="402"/>
      <c r="AY114" s="402"/>
      <c r="AZ114" s="402"/>
      <c r="BA114" s="402"/>
      <c r="BB114" s="402"/>
      <c r="BC114" s="402"/>
      <c r="BD114" s="402"/>
      <c r="BE114" s="402"/>
      <c r="BF114" s="402"/>
      <c r="BG114" s="402"/>
      <c r="BH114" s="402"/>
      <c r="BI114" s="402"/>
      <c r="BJ114" s="402"/>
      <c r="BK114" s="402"/>
      <c r="BL114" s="402"/>
      <c r="BM114" s="402"/>
      <c r="BN114" s="402"/>
      <c r="BO114" s="402"/>
      <c r="BP114" s="402"/>
      <c r="BQ114" s="402"/>
      <c r="BR114" s="402"/>
      <c r="BS114" s="402"/>
      <c r="BT114" s="402"/>
      <c r="BU114" s="402"/>
      <c r="BV114" s="402"/>
      <c r="BW114" s="402"/>
      <c r="BX114" s="402"/>
      <c r="BY114" s="402"/>
      <c r="BZ114" s="402"/>
      <c r="CA114" s="402"/>
      <c r="CB114" s="402"/>
      <c r="CC114" s="402"/>
      <c r="CD114" s="402"/>
      <c r="CE114" s="401"/>
      <c r="CF114" s="402"/>
      <c r="CG114" s="402"/>
      <c r="CH114" s="402"/>
      <c r="CI114" s="402"/>
      <c r="CJ114" s="402"/>
      <c r="CK114" s="402"/>
      <c r="CL114" s="402"/>
      <c r="CM114" s="401"/>
      <c r="CN114" s="402"/>
      <c r="CO114" s="401"/>
      <c r="CP114" s="402"/>
      <c r="CQ114" s="402"/>
      <c r="CR114" s="402"/>
      <c r="CS114" s="402"/>
      <c r="CT114" s="402"/>
      <c r="CU114" s="402"/>
      <c r="CV114" s="402"/>
      <c r="CW114" s="402"/>
      <c r="CX114" s="402"/>
      <c r="CY114" s="402"/>
      <c r="CZ114" s="402"/>
      <c r="DA114" s="402"/>
      <c r="DB114" s="402"/>
      <c r="DC114" s="402"/>
      <c r="DD114" s="402"/>
      <c r="DE114" s="402"/>
      <c r="DF114" s="402"/>
      <c r="DG114" s="402"/>
      <c r="DH114" s="402"/>
      <c r="DI114" s="402"/>
      <c r="DJ114" s="402"/>
      <c r="DK114" s="402"/>
      <c r="DL114" s="402"/>
      <c r="DM114" s="402"/>
      <c r="DN114" s="402"/>
      <c r="DO114" s="402"/>
      <c r="DP114" s="402"/>
      <c r="DQ114" s="402"/>
      <c r="DR114" s="402"/>
      <c r="DS114" s="402"/>
      <c r="DT114" s="402"/>
      <c r="DU114" s="402"/>
      <c r="DV114" s="402"/>
      <c r="DW114" s="402"/>
      <c r="DX114" s="402"/>
      <c r="DY114" s="402"/>
      <c r="DZ114" s="402"/>
      <c r="EA114" s="402"/>
      <c r="EB114" s="402"/>
      <c r="EC114" s="402"/>
      <c r="ED114" s="402"/>
      <c r="EE114" s="402"/>
      <c r="EF114" s="402"/>
      <c r="EG114" s="402"/>
      <c r="EH114" s="402"/>
      <c r="EI114" s="402"/>
      <c r="EJ114" s="402"/>
      <c r="EK114" s="402"/>
      <c r="EL114" s="402"/>
      <c r="EM114" s="402"/>
      <c r="EN114" s="402"/>
      <c r="EO114" s="402"/>
      <c r="EP114" s="402"/>
      <c r="EQ114" s="402"/>
      <c r="ER114" s="402"/>
      <c r="ES114" s="402"/>
      <c r="ET114" s="402"/>
      <c r="EU114" s="402"/>
      <c r="EV114" s="402"/>
      <c r="EW114" s="402"/>
      <c r="EX114" s="402"/>
      <c r="EY114" s="402"/>
      <c r="EZ114" s="402"/>
      <c r="FA114" s="402"/>
      <c r="FB114" s="402"/>
      <c r="FC114" s="402"/>
      <c r="FD114" s="402"/>
      <c r="FE114" s="402"/>
      <c r="FF114" s="402"/>
      <c r="FG114" s="402"/>
      <c r="FH114" s="402"/>
      <c r="FI114" s="402"/>
      <c r="FJ114" s="402"/>
      <c r="FK114" s="402"/>
      <c r="FL114" s="402"/>
      <c r="FM114" s="402"/>
      <c r="FN114" s="402"/>
      <c r="FO114" s="402"/>
      <c r="FP114" s="375"/>
      <c r="FQ114" s="376" t="s">
        <v>972</v>
      </c>
      <c r="FR114" s="377" t="s">
        <v>522</v>
      </c>
      <c r="FS114" s="377" t="s">
        <v>850</v>
      </c>
      <c r="FT114" s="377" t="s">
        <v>617</v>
      </c>
      <c r="FU114" s="144">
        <f t="shared" si="8"/>
        <v>0</v>
      </c>
      <c r="FV114" s="371" t="s">
        <v>905</v>
      </c>
    </row>
    <row r="115" spans="1:178" s="371" customFormat="1">
      <c r="A115" s="368" t="s">
        <v>540</v>
      </c>
      <c r="B115" s="369" t="s">
        <v>517</v>
      </c>
      <c r="C115" s="369" t="s">
        <v>555</v>
      </c>
      <c r="D115" s="369" t="s">
        <v>8</v>
      </c>
      <c r="E115" s="370" t="s">
        <v>618</v>
      </c>
      <c r="F115" s="369" t="s">
        <v>520</v>
      </c>
      <c r="G115" s="369" t="s">
        <v>1015</v>
      </c>
      <c r="H115" s="401"/>
      <c r="I115" s="401"/>
      <c r="J115" s="401"/>
      <c r="K115" s="401"/>
      <c r="L115" s="401"/>
      <c r="M115" s="401"/>
      <c r="N115" s="401"/>
      <c r="O115" s="401"/>
      <c r="P115" s="401"/>
      <c r="Q115" s="401"/>
      <c r="R115" s="401"/>
      <c r="S115" s="401"/>
      <c r="T115" s="401"/>
      <c r="U115" s="401"/>
      <c r="V115" s="401"/>
      <c r="W115" s="401"/>
      <c r="X115" s="401"/>
      <c r="Y115" s="401"/>
      <c r="Z115" s="401"/>
      <c r="AA115" s="401"/>
      <c r="AB115" s="401"/>
      <c r="AC115" s="401"/>
      <c r="AD115" s="401"/>
      <c r="AE115" s="401"/>
      <c r="AF115" s="401"/>
      <c r="AG115" s="401"/>
      <c r="AH115" s="401"/>
      <c r="AI115" s="401"/>
      <c r="AJ115" s="401"/>
      <c r="AK115" s="401"/>
      <c r="AL115" s="401"/>
      <c r="AM115" s="401"/>
      <c r="AN115" s="401"/>
      <c r="AO115" s="401"/>
      <c r="AP115" s="401"/>
      <c r="AQ115" s="401"/>
      <c r="AR115" s="401"/>
      <c r="AS115" s="401"/>
      <c r="AT115" s="401"/>
      <c r="AU115" s="401"/>
      <c r="AV115" s="401"/>
      <c r="AW115" s="401"/>
      <c r="AX115" s="401"/>
      <c r="AY115" s="401"/>
      <c r="AZ115" s="401"/>
      <c r="BA115" s="401"/>
      <c r="BB115" s="401"/>
      <c r="BC115" s="401"/>
      <c r="BD115" s="401"/>
      <c r="BE115" s="401"/>
      <c r="BF115" s="401"/>
      <c r="BG115" s="401"/>
      <c r="BH115" s="401"/>
      <c r="BI115" s="401"/>
      <c r="BJ115" s="401"/>
      <c r="BK115" s="401"/>
      <c r="BL115" s="401"/>
      <c r="BM115" s="401"/>
      <c r="BN115" s="401"/>
      <c r="BO115" s="401"/>
      <c r="BP115" s="401"/>
      <c r="BQ115" s="401"/>
      <c r="BR115" s="401"/>
      <c r="BS115" s="401"/>
      <c r="BT115" s="401"/>
      <c r="BU115" s="401"/>
      <c r="BV115" s="401"/>
      <c r="BW115" s="401"/>
      <c r="BX115" s="401"/>
      <c r="BY115" s="401"/>
      <c r="BZ115" s="401"/>
      <c r="CA115" s="401"/>
      <c r="CB115" s="401"/>
      <c r="CC115" s="401"/>
      <c r="CD115" s="401"/>
      <c r="CE115" s="401"/>
      <c r="CF115" s="401"/>
      <c r="CG115" s="401"/>
      <c r="CH115" s="401"/>
      <c r="CI115" s="401"/>
      <c r="CJ115" s="401"/>
      <c r="CK115" s="401"/>
      <c r="CL115" s="401"/>
      <c r="CM115" s="401"/>
      <c r="CN115" s="401"/>
      <c r="CO115" s="401"/>
      <c r="CP115" s="401"/>
      <c r="CQ115" s="401"/>
      <c r="CR115" s="401"/>
      <c r="CS115" s="401"/>
      <c r="CT115" s="401"/>
      <c r="CU115" s="401"/>
      <c r="CV115" s="401"/>
      <c r="CW115" s="401"/>
      <c r="CX115" s="401"/>
      <c r="CY115" s="401"/>
      <c r="CZ115" s="401"/>
      <c r="DA115" s="401"/>
      <c r="DB115" s="401"/>
      <c r="DC115" s="401"/>
      <c r="DD115" s="401"/>
      <c r="DE115" s="401"/>
      <c r="DF115" s="401"/>
      <c r="DG115" s="401"/>
      <c r="DH115" s="401"/>
      <c r="DI115" s="401"/>
      <c r="DJ115" s="401"/>
      <c r="DK115" s="401"/>
      <c r="DL115" s="401"/>
      <c r="DM115" s="401"/>
      <c r="DN115" s="401"/>
      <c r="DO115" s="402"/>
      <c r="DP115" s="401"/>
      <c r="DQ115" s="401"/>
      <c r="DR115" s="401"/>
      <c r="DS115" s="401"/>
      <c r="DT115" s="401"/>
      <c r="DU115" s="411">
        <v>20</v>
      </c>
      <c r="DV115" s="401"/>
      <c r="DW115" s="401"/>
      <c r="DX115" s="401"/>
      <c r="DY115" s="401"/>
      <c r="DZ115" s="401"/>
      <c r="EA115" s="401"/>
      <c r="EB115" s="401"/>
      <c r="EC115" s="401"/>
      <c r="ED115" s="401"/>
      <c r="EE115" s="401"/>
      <c r="EF115" s="401"/>
      <c r="EG115" s="401"/>
      <c r="EH115" s="401"/>
      <c r="EI115" s="401"/>
      <c r="EJ115" s="401"/>
      <c r="EK115" s="401"/>
      <c r="EL115" s="401"/>
      <c r="EM115" s="402"/>
      <c r="EN115" s="401"/>
      <c r="EO115" s="401"/>
      <c r="EP115" s="401"/>
      <c r="EQ115" s="401"/>
      <c r="ER115" s="401"/>
      <c r="ES115" s="401"/>
      <c r="ET115" s="401"/>
      <c r="EU115" s="401"/>
      <c r="EV115" s="401"/>
      <c r="EW115" s="401"/>
      <c r="EX115" s="401"/>
      <c r="EY115" s="401"/>
      <c r="EZ115" s="401"/>
      <c r="FA115" s="401"/>
      <c r="FB115" s="401"/>
      <c r="FC115" s="401"/>
      <c r="FD115" s="401"/>
      <c r="FE115" s="401"/>
      <c r="FF115" s="401"/>
      <c r="FG115" s="401"/>
      <c r="FH115" s="401"/>
      <c r="FI115" s="401"/>
      <c r="FJ115" s="401"/>
      <c r="FK115" s="401"/>
      <c r="FL115" s="401"/>
      <c r="FM115" s="401"/>
      <c r="FN115" s="401"/>
      <c r="FO115" s="401"/>
      <c r="FP115" s="375" t="s">
        <v>850</v>
      </c>
      <c r="FQ115" s="376" t="s">
        <v>972</v>
      </c>
      <c r="FR115" s="377" t="s">
        <v>522</v>
      </c>
      <c r="FS115" s="377" t="s">
        <v>850</v>
      </c>
      <c r="FT115" s="377" t="s">
        <v>592</v>
      </c>
      <c r="FU115" s="144">
        <f t="shared" si="8"/>
        <v>20</v>
      </c>
      <c r="FV115" s="371" t="s">
        <v>905</v>
      </c>
    </row>
    <row r="116" spans="1:178" s="371" customFormat="1">
      <c r="A116" s="368" t="s">
        <v>540</v>
      </c>
      <c r="B116" s="369" t="s">
        <v>517</v>
      </c>
      <c r="C116" s="369" t="s">
        <v>555</v>
      </c>
      <c r="D116" s="369" t="s">
        <v>4</v>
      </c>
      <c r="E116" s="370" t="s">
        <v>618</v>
      </c>
      <c r="F116" s="369" t="s">
        <v>520</v>
      </c>
      <c r="G116" s="369" t="s">
        <v>1015</v>
      </c>
      <c r="H116" s="402" t="s">
        <v>850</v>
      </c>
      <c r="I116" s="402" t="s">
        <v>850</v>
      </c>
      <c r="J116" s="402" t="s">
        <v>850</v>
      </c>
      <c r="K116" s="402"/>
      <c r="L116" s="402" t="s">
        <v>850</v>
      </c>
      <c r="M116" s="402" t="s">
        <v>850</v>
      </c>
      <c r="N116" s="402"/>
      <c r="O116" s="402"/>
      <c r="P116" s="402" t="s">
        <v>850</v>
      </c>
      <c r="Q116" s="402" t="s">
        <v>850</v>
      </c>
      <c r="R116" s="402" t="s">
        <v>850</v>
      </c>
      <c r="S116" s="402" t="s">
        <v>850</v>
      </c>
      <c r="T116" s="402"/>
      <c r="U116" s="402" t="s">
        <v>850</v>
      </c>
      <c r="V116" s="402" t="s">
        <v>850</v>
      </c>
      <c r="W116" s="402" t="s">
        <v>850</v>
      </c>
      <c r="X116" s="402"/>
      <c r="Y116" s="402"/>
      <c r="Z116" s="402"/>
      <c r="AA116" s="402"/>
      <c r="AB116" s="402"/>
      <c r="AC116" s="402" t="s">
        <v>850</v>
      </c>
      <c r="AD116" s="402"/>
      <c r="AE116" s="402" t="s">
        <v>850</v>
      </c>
      <c r="AF116" s="402" t="s">
        <v>850</v>
      </c>
      <c r="AG116" s="402" t="s">
        <v>850</v>
      </c>
      <c r="AH116" s="402" t="s">
        <v>850</v>
      </c>
      <c r="AI116" s="402" t="s">
        <v>850</v>
      </c>
      <c r="AJ116" s="402" t="s">
        <v>850</v>
      </c>
      <c r="AK116" s="402" t="s">
        <v>850</v>
      </c>
      <c r="AL116" s="402" t="s">
        <v>850</v>
      </c>
      <c r="AM116" s="402" t="s">
        <v>850</v>
      </c>
      <c r="AN116" s="402" t="s">
        <v>850</v>
      </c>
      <c r="AO116" s="402" t="s">
        <v>850</v>
      </c>
      <c r="AP116" s="402" t="s">
        <v>850</v>
      </c>
      <c r="AQ116" s="402" t="s">
        <v>850</v>
      </c>
      <c r="AR116" s="402" t="s">
        <v>850</v>
      </c>
      <c r="AS116" s="402" t="s">
        <v>850</v>
      </c>
      <c r="AT116" s="402" t="s">
        <v>850</v>
      </c>
      <c r="AU116" s="402"/>
      <c r="AV116" s="402" t="s">
        <v>850</v>
      </c>
      <c r="AW116" s="402" t="s">
        <v>850</v>
      </c>
      <c r="AX116" s="402"/>
      <c r="AY116" s="402" t="s">
        <v>850</v>
      </c>
      <c r="AZ116" s="402" t="s">
        <v>850</v>
      </c>
      <c r="BA116" s="402"/>
      <c r="BB116" s="402" t="s">
        <v>850</v>
      </c>
      <c r="BC116" s="403">
        <f>5-5</f>
        <v>0</v>
      </c>
      <c r="BD116" s="402"/>
      <c r="BE116" s="402" t="s">
        <v>850</v>
      </c>
      <c r="BF116" s="402" t="s">
        <v>850</v>
      </c>
      <c r="BG116" s="402"/>
      <c r="BH116" s="402" t="s">
        <v>850</v>
      </c>
      <c r="BI116" s="402" t="s">
        <v>850</v>
      </c>
      <c r="BJ116" s="402" t="s">
        <v>850</v>
      </c>
      <c r="BK116" s="402" t="s">
        <v>850</v>
      </c>
      <c r="BL116" s="402"/>
      <c r="BM116" s="402"/>
      <c r="BN116" s="402"/>
      <c r="BO116" s="402"/>
      <c r="BP116" s="403">
        <f>20-20+5</f>
        <v>5</v>
      </c>
      <c r="BQ116" s="402" t="s">
        <v>850</v>
      </c>
      <c r="BR116" s="402" t="s">
        <v>850</v>
      </c>
      <c r="BS116" s="402"/>
      <c r="BT116" s="402"/>
      <c r="BU116" s="402" t="s">
        <v>850</v>
      </c>
      <c r="BV116" s="402" t="s">
        <v>850</v>
      </c>
      <c r="BW116" s="402"/>
      <c r="BX116" s="402"/>
      <c r="BY116" s="402"/>
      <c r="BZ116" s="402"/>
      <c r="CA116" s="402" t="s">
        <v>850</v>
      </c>
      <c r="CB116" s="402"/>
      <c r="CC116" s="402"/>
      <c r="CD116" s="402"/>
      <c r="CE116" s="401"/>
      <c r="CF116" s="402" t="s">
        <v>850</v>
      </c>
      <c r="CG116" s="402"/>
      <c r="CH116" s="402"/>
      <c r="CI116" s="402"/>
      <c r="CJ116" s="402"/>
      <c r="CK116" s="403">
        <f>50-50</f>
        <v>0</v>
      </c>
      <c r="CL116" s="402"/>
      <c r="CM116" s="401"/>
      <c r="CN116" s="402"/>
      <c r="CO116" s="411">
        <v>10</v>
      </c>
      <c r="CP116" s="403">
        <f>50-50</f>
        <v>0</v>
      </c>
      <c r="CQ116" s="402" t="s">
        <v>850</v>
      </c>
      <c r="CR116" s="402"/>
      <c r="CS116" s="402" t="s">
        <v>850</v>
      </c>
      <c r="CT116" s="402" t="s">
        <v>850</v>
      </c>
      <c r="CU116" s="402" t="s">
        <v>850</v>
      </c>
      <c r="CV116" s="402"/>
      <c r="CW116" s="402"/>
      <c r="CX116" s="403">
        <f>50-50+10</f>
        <v>10</v>
      </c>
      <c r="CY116" s="402"/>
      <c r="CZ116" s="402"/>
      <c r="DA116" s="402" t="s">
        <v>850</v>
      </c>
      <c r="DB116" s="402" t="s">
        <v>850</v>
      </c>
      <c r="DC116" s="402" t="s">
        <v>850</v>
      </c>
      <c r="DD116" s="402"/>
      <c r="DE116" s="402" t="s">
        <v>850</v>
      </c>
      <c r="DF116" s="402"/>
      <c r="DG116" s="403">
        <f>50-50+2</f>
        <v>2</v>
      </c>
      <c r="DH116" s="402" t="s">
        <v>850</v>
      </c>
      <c r="DI116" s="402" t="s">
        <v>850</v>
      </c>
      <c r="DJ116" s="402" t="s">
        <v>850</v>
      </c>
      <c r="DK116" s="402" t="s">
        <v>850</v>
      </c>
      <c r="DL116" s="402" t="s">
        <v>850</v>
      </c>
      <c r="DM116" s="402" t="s">
        <v>850</v>
      </c>
      <c r="DN116" s="402" t="s">
        <v>850</v>
      </c>
      <c r="DO116" s="402"/>
      <c r="DP116" s="402"/>
      <c r="DQ116" s="402" t="s">
        <v>850</v>
      </c>
      <c r="DR116" s="402" t="s">
        <v>850</v>
      </c>
      <c r="DS116" s="402"/>
      <c r="DT116" s="402" t="s">
        <v>850</v>
      </c>
      <c r="DU116" s="403">
        <f>200-200</f>
        <v>0</v>
      </c>
      <c r="DV116" s="402" t="s">
        <v>850</v>
      </c>
      <c r="DW116" s="402"/>
      <c r="DX116" s="402" t="s">
        <v>850</v>
      </c>
      <c r="DY116" s="402"/>
      <c r="DZ116" s="402" t="s">
        <v>850</v>
      </c>
      <c r="EA116" s="402" t="s">
        <v>850</v>
      </c>
      <c r="EB116" s="402" t="s">
        <v>850</v>
      </c>
      <c r="EC116" s="402" t="s">
        <v>850</v>
      </c>
      <c r="ED116" s="403">
        <f>200-200</f>
        <v>0</v>
      </c>
      <c r="EE116" s="402"/>
      <c r="EF116" s="402" t="s">
        <v>850</v>
      </c>
      <c r="EG116" s="402"/>
      <c r="EH116" s="402"/>
      <c r="EI116" s="402" t="s">
        <v>850</v>
      </c>
      <c r="EJ116" s="402" t="s">
        <v>850</v>
      </c>
      <c r="EK116" s="402" t="s">
        <v>850</v>
      </c>
      <c r="EL116" s="402" t="s">
        <v>850</v>
      </c>
      <c r="EM116" s="402"/>
      <c r="EN116" s="402" t="s">
        <v>850</v>
      </c>
      <c r="EO116" s="402" t="s">
        <v>850</v>
      </c>
      <c r="EP116" s="402" t="s">
        <v>850</v>
      </c>
      <c r="EQ116" s="402"/>
      <c r="ER116" s="402" t="s">
        <v>850</v>
      </c>
      <c r="ES116" s="402" t="s">
        <v>850</v>
      </c>
      <c r="ET116" s="402" t="s">
        <v>850</v>
      </c>
      <c r="EU116" s="402"/>
      <c r="EV116" s="402"/>
      <c r="EW116" s="402"/>
      <c r="EX116" s="402"/>
      <c r="EY116" s="402" t="s">
        <v>850</v>
      </c>
      <c r="EZ116" s="402"/>
      <c r="FA116" s="402"/>
      <c r="FB116" s="402"/>
      <c r="FC116" s="402"/>
      <c r="FD116" s="402"/>
      <c r="FE116" s="402"/>
      <c r="FF116" s="402"/>
      <c r="FG116" s="402" t="s">
        <v>850</v>
      </c>
      <c r="FH116" s="402"/>
      <c r="FI116" s="402" t="s">
        <v>850</v>
      </c>
      <c r="FJ116" s="402" t="s">
        <v>850</v>
      </c>
      <c r="FK116" s="402"/>
      <c r="FL116" s="402" t="s">
        <v>850</v>
      </c>
      <c r="FM116" s="402" t="s">
        <v>850</v>
      </c>
      <c r="FN116" s="402" t="s">
        <v>850</v>
      </c>
      <c r="FO116" s="402" t="s">
        <v>850</v>
      </c>
      <c r="FP116" s="375"/>
      <c r="FQ116" s="376" t="s">
        <v>972</v>
      </c>
      <c r="FR116" s="377" t="s">
        <v>522</v>
      </c>
      <c r="FS116" s="377" t="s">
        <v>850</v>
      </c>
      <c r="FT116" s="377" t="s">
        <v>592</v>
      </c>
      <c r="FU116" s="144">
        <f t="shared" si="8"/>
        <v>27</v>
      </c>
      <c r="FV116" s="371" t="s">
        <v>905</v>
      </c>
    </row>
    <row r="117" spans="1:178" s="371" customFormat="1" ht="10.5" thickBot="1">
      <c r="A117" s="385" t="s">
        <v>540</v>
      </c>
      <c r="B117" s="386" t="s">
        <v>517</v>
      </c>
      <c r="C117" s="386" t="s">
        <v>555</v>
      </c>
      <c r="D117" s="386" t="s">
        <v>3</v>
      </c>
      <c r="E117" s="387" t="s">
        <v>618</v>
      </c>
      <c r="F117" s="386" t="s">
        <v>520</v>
      </c>
      <c r="G117" s="386"/>
      <c r="H117" s="407"/>
      <c r="I117" s="407"/>
      <c r="J117" s="407"/>
      <c r="K117" s="407"/>
      <c r="L117" s="407"/>
      <c r="M117" s="407"/>
      <c r="N117" s="407"/>
      <c r="O117" s="407"/>
      <c r="P117" s="407"/>
      <c r="Q117" s="407"/>
      <c r="R117" s="407"/>
      <c r="S117" s="407"/>
      <c r="T117" s="407"/>
      <c r="U117" s="407"/>
      <c r="V117" s="407"/>
      <c r="W117" s="407"/>
      <c r="X117" s="407"/>
      <c r="Y117" s="407"/>
      <c r="Z117" s="407"/>
      <c r="AA117" s="407"/>
      <c r="AB117" s="407"/>
      <c r="AC117" s="407"/>
      <c r="AD117" s="407"/>
      <c r="AE117" s="407"/>
      <c r="AF117" s="407"/>
      <c r="AG117" s="407"/>
      <c r="AH117" s="407"/>
      <c r="AI117" s="407"/>
      <c r="AJ117" s="407"/>
      <c r="AK117" s="407"/>
      <c r="AL117" s="407"/>
      <c r="AM117" s="407"/>
      <c r="AN117" s="407"/>
      <c r="AO117" s="407"/>
      <c r="AP117" s="407"/>
      <c r="AQ117" s="407"/>
      <c r="AR117" s="407"/>
      <c r="AS117" s="407"/>
      <c r="AT117" s="407"/>
      <c r="AU117" s="407"/>
      <c r="AV117" s="407"/>
      <c r="AW117" s="407"/>
      <c r="AX117" s="407"/>
      <c r="AY117" s="407"/>
      <c r="AZ117" s="407"/>
      <c r="BA117" s="407"/>
      <c r="BB117" s="407"/>
      <c r="BC117" s="407"/>
      <c r="BD117" s="407"/>
      <c r="BE117" s="407"/>
      <c r="BF117" s="407"/>
      <c r="BG117" s="407"/>
      <c r="BH117" s="407"/>
      <c r="BI117" s="407"/>
      <c r="BJ117" s="407"/>
      <c r="BK117" s="407"/>
      <c r="BL117" s="407"/>
      <c r="BM117" s="407"/>
      <c r="BN117" s="407"/>
      <c r="BO117" s="407"/>
      <c r="BP117" s="407"/>
      <c r="BQ117" s="407"/>
      <c r="BR117" s="407"/>
      <c r="BS117" s="407"/>
      <c r="BT117" s="407"/>
      <c r="BU117" s="407"/>
      <c r="BV117" s="407"/>
      <c r="BW117" s="407"/>
      <c r="BX117" s="407"/>
      <c r="BY117" s="407"/>
      <c r="BZ117" s="407"/>
      <c r="CA117" s="407"/>
      <c r="CB117" s="407"/>
      <c r="CC117" s="407"/>
      <c r="CD117" s="407"/>
      <c r="CE117" s="408"/>
      <c r="CF117" s="407"/>
      <c r="CG117" s="407"/>
      <c r="CH117" s="407"/>
      <c r="CI117" s="407"/>
      <c r="CJ117" s="407"/>
      <c r="CK117" s="407"/>
      <c r="CL117" s="407"/>
      <c r="CM117" s="408"/>
      <c r="CN117" s="407"/>
      <c r="CO117" s="408"/>
      <c r="CP117" s="407"/>
      <c r="CQ117" s="407"/>
      <c r="CR117" s="407"/>
      <c r="CS117" s="407"/>
      <c r="CT117" s="407"/>
      <c r="CU117" s="407"/>
      <c r="CV117" s="407"/>
      <c r="CW117" s="407"/>
      <c r="CX117" s="407"/>
      <c r="CY117" s="407"/>
      <c r="CZ117" s="407"/>
      <c r="DA117" s="407"/>
      <c r="DB117" s="407"/>
      <c r="DC117" s="407"/>
      <c r="DD117" s="407"/>
      <c r="DE117" s="407"/>
      <c r="DF117" s="407"/>
      <c r="DG117" s="407"/>
      <c r="DH117" s="407"/>
      <c r="DI117" s="407"/>
      <c r="DJ117" s="407"/>
      <c r="DK117" s="407"/>
      <c r="DL117" s="407"/>
      <c r="DM117" s="407"/>
      <c r="DN117" s="407"/>
      <c r="DO117" s="407"/>
      <c r="DP117" s="407"/>
      <c r="DQ117" s="407"/>
      <c r="DR117" s="407"/>
      <c r="DS117" s="407"/>
      <c r="DT117" s="407"/>
      <c r="DU117" s="407"/>
      <c r="DV117" s="407"/>
      <c r="DW117" s="407"/>
      <c r="DX117" s="407"/>
      <c r="DY117" s="407"/>
      <c r="DZ117" s="407"/>
      <c r="EA117" s="407"/>
      <c r="EB117" s="407"/>
      <c r="EC117" s="407"/>
      <c r="ED117" s="407"/>
      <c r="EE117" s="407"/>
      <c r="EF117" s="407"/>
      <c r="EG117" s="407"/>
      <c r="EH117" s="407"/>
      <c r="EI117" s="407"/>
      <c r="EJ117" s="407"/>
      <c r="EK117" s="407"/>
      <c r="EL117" s="407"/>
      <c r="EM117" s="407"/>
      <c r="EN117" s="407"/>
      <c r="EO117" s="407"/>
      <c r="EP117" s="407"/>
      <c r="EQ117" s="407"/>
      <c r="ER117" s="407"/>
      <c r="ES117" s="407"/>
      <c r="ET117" s="407"/>
      <c r="EU117" s="407"/>
      <c r="EV117" s="407"/>
      <c r="EW117" s="407"/>
      <c r="EX117" s="407"/>
      <c r="EY117" s="407"/>
      <c r="EZ117" s="407"/>
      <c r="FA117" s="407"/>
      <c r="FB117" s="407"/>
      <c r="FC117" s="407"/>
      <c r="FD117" s="407"/>
      <c r="FE117" s="407"/>
      <c r="FF117" s="407"/>
      <c r="FG117" s="407"/>
      <c r="FH117" s="407"/>
      <c r="FI117" s="407"/>
      <c r="FJ117" s="407"/>
      <c r="FK117" s="407"/>
      <c r="FL117" s="407"/>
      <c r="FM117" s="407"/>
      <c r="FN117" s="407"/>
      <c r="FO117" s="407"/>
      <c r="FP117" s="389"/>
      <c r="FQ117" s="390" t="s">
        <v>972</v>
      </c>
      <c r="FR117" s="391" t="s">
        <v>522</v>
      </c>
      <c r="FS117" s="391" t="s">
        <v>850</v>
      </c>
      <c r="FT117" s="391" t="s">
        <v>592</v>
      </c>
      <c r="FU117" s="199">
        <f t="shared" si="8"/>
        <v>0</v>
      </c>
      <c r="FV117" s="388" t="s">
        <v>905</v>
      </c>
    </row>
    <row r="118" spans="1:178" s="371" customFormat="1">
      <c r="A118" s="369"/>
      <c r="B118" s="369"/>
      <c r="C118" s="369" t="s">
        <v>555</v>
      </c>
      <c r="D118" s="369" t="s">
        <v>8</v>
      </c>
      <c r="E118" s="370" t="s">
        <v>621</v>
      </c>
      <c r="F118" s="369"/>
      <c r="G118" s="369"/>
      <c r="H118" s="372"/>
      <c r="I118" s="372"/>
      <c r="J118" s="372"/>
      <c r="K118" s="372"/>
      <c r="L118" s="372"/>
      <c r="M118" s="372"/>
      <c r="N118" s="372"/>
      <c r="O118" s="372"/>
      <c r="P118" s="372"/>
      <c r="Q118" s="372"/>
      <c r="R118" s="372"/>
      <c r="S118" s="372"/>
      <c r="T118" s="372"/>
      <c r="U118" s="372"/>
      <c r="V118" s="372"/>
      <c r="W118" s="372"/>
      <c r="X118" s="372"/>
      <c r="Y118" s="372"/>
      <c r="Z118" s="372"/>
      <c r="AA118" s="372"/>
      <c r="AB118" s="372"/>
      <c r="AC118" s="372"/>
      <c r="AD118" s="372"/>
      <c r="AE118" s="372"/>
      <c r="AF118" s="372"/>
      <c r="AG118" s="372"/>
      <c r="AH118" s="372"/>
      <c r="AI118" s="372"/>
      <c r="AJ118" s="372"/>
      <c r="AK118" s="372"/>
      <c r="AL118" s="372"/>
      <c r="AM118" s="372"/>
      <c r="AN118" s="372"/>
      <c r="AO118" s="372"/>
      <c r="AP118" s="372"/>
      <c r="AQ118" s="372"/>
      <c r="AR118" s="372"/>
      <c r="AS118" s="372"/>
      <c r="AT118" s="372"/>
      <c r="AU118" s="372"/>
      <c r="AV118" s="372"/>
      <c r="AW118" s="372"/>
      <c r="AX118" s="372"/>
      <c r="AY118" s="372"/>
      <c r="AZ118" s="372"/>
      <c r="BA118" s="372"/>
      <c r="BB118" s="372"/>
      <c r="BC118" s="372"/>
      <c r="BD118" s="372"/>
      <c r="BE118" s="372"/>
      <c r="BF118" s="372"/>
      <c r="BG118" s="372"/>
      <c r="BH118" s="372"/>
      <c r="BI118" s="372"/>
      <c r="BJ118" s="372"/>
      <c r="BK118" s="372"/>
      <c r="BL118" s="372"/>
      <c r="BM118" s="372"/>
      <c r="BN118" s="372"/>
      <c r="BO118" s="372"/>
      <c r="BP118" s="372"/>
      <c r="BQ118" s="372"/>
      <c r="BR118" s="372"/>
      <c r="BS118" s="372"/>
      <c r="BT118" s="372"/>
      <c r="BU118" s="372"/>
      <c r="BV118" s="372"/>
      <c r="BW118" s="372"/>
      <c r="BX118" s="372"/>
      <c r="BY118" s="372"/>
      <c r="BZ118" s="372"/>
      <c r="CA118" s="372"/>
      <c r="CB118" s="372"/>
      <c r="CC118" s="372"/>
      <c r="CD118" s="372"/>
      <c r="CE118" s="372"/>
      <c r="CF118" s="372"/>
      <c r="CG118" s="372"/>
      <c r="CH118" s="372"/>
      <c r="CI118" s="372"/>
      <c r="CJ118" s="372"/>
      <c r="CK118" s="372"/>
      <c r="CL118" s="372"/>
      <c r="CN118" s="372"/>
      <c r="CO118" s="372"/>
      <c r="CP118" s="372"/>
      <c r="CQ118" s="372"/>
      <c r="CR118" s="372"/>
      <c r="CS118" s="372"/>
      <c r="CT118" s="372"/>
      <c r="CU118" s="372"/>
      <c r="CV118" s="372"/>
      <c r="CW118" s="372"/>
      <c r="CX118" s="372"/>
      <c r="CY118" s="372"/>
      <c r="CZ118" s="372">
        <v>260</v>
      </c>
      <c r="DA118" s="372"/>
      <c r="DB118" s="372"/>
      <c r="DC118" s="372"/>
      <c r="DD118" s="372"/>
      <c r="DE118" s="372"/>
      <c r="DF118" s="372"/>
      <c r="DG118" s="372"/>
      <c r="DH118" s="372"/>
      <c r="DI118" s="372"/>
      <c r="DJ118" s="372"/>
      <c r="DK118" s="372"/>
      <c r="DL118" s="372"/>
      <c r="DM118" s="372"/>
      <c r="DN118" s="372"/>
      <c r="DO118" s="372"/>
      <c r="DP118" s="372">
        <v>5</v>
      </c>
      <c r="DQ118" s="372"/>
      <c r="DR118" s="372"/>
      <c r="DS118" s="372"/>
      <c r="DT118" s="372"/>
      <c r="DU118" s="372">
        <v>630</v>
      </c>
      <c r="DV118" s="372"/>
      <c r="DW118" s="372"/>
      <c r="DX118" s="372"/>
      <c r="DY118" s="372">
        <v>4</v>
      </c>
      <c r="DZ118" s="372"/>
      <c r="EA118" s="372"/>
      <c r="EB118" s="372"/>
      <c r="EC118" s="372"/>
      <c r="ED118" s="372"/>
      <c r="EE118" s="372">
        <v>40</v>
      </c>
      <c r="EF118" s="372"/>
      <c r="EG118" s="372"/>
      <c r="EH118" s="372">
        <v>90</v>
      </c>
      <c r="EI118" s="372"/>
      <c r="EJ118" s="372"/>
      <c r="EK118" s="372"/>
      <c r="EL118" s="372"/>
      <c r="EM118" s="372"/>
      <c r="EN118" s="372"/>
      <c r="EO118" s="372"/>
      <c r="EP118" s="372"/>
      <c r="EQ118" s="372"/>
      <c r="ER118" s="372"/>
      <c r="ES118" s="372"/>
      <c r="ET118" s="372"/>
      <c r="EU118" s="372"/>
      <c r="EV118" s="372">
        <v>40</v>
      </c>
      <c r="EW118" s="372">
        <v>280</v>
      </c>
      <c r="EX118" s="372"/>
      <c r="EY118" s="372"/>
      <c r="EZ118" s="372"/>
      <c r="FA118" s="372"/>
      <c r="FB118" s="372"/>
      <c r="FC118" s="372"/>
      <c r="FD118" s="372">
        <v>2</v>
      </c>
      <c r="FE118" s="372"/>
      <c r="FF118" s="372"/>
      <c r="FG118" s="372"/>
      <c r="FH118" s="372">
        <v>475</v>
      </c>
      <c r="FI118" s="372"/>
      <c r="FJ118" s="372"/>
      <c r="FK118" s="372"/>
      <c r="FL118" s="372"/>
      <c r="FM118" s="372"/>
      <c r="FN118" s="372"/>
      <c r="FO118" s="372"/>
      <c r="FP118" s="375"/>
      <c r="FQ118" s="376"/>
      <c r="FR118" s="377"/>
      <c r="FS118" s="377"/>
      <c r="FT118" s="377"/>
      <c r="FU118" s="144">
        <f t="shared" si="8"/>
        <v>1826</v>
      </c>
    </row>
    <row r="119" spans="1:178" s="371" customFormat="1">
      <c r="A119" s="380"/>
      <c r="B119" s="380"/>
      <c r="C119" s="380" t="s">
        <v>555</v>
      </c>
      <c r="D119" s="380" t="s">
        <v>4</v>
      </c>
      <c r="E119" s="381" t="s">
        <v>621</v>
      </c>
      <c r="F119" s="380"/>
      <c r="G119" s="380"/>
      <c r="H119" s="378"/>
      <c r="I119" s="378"/>
      <c r="J119" s="378"/>
      <c r="K119" s="378">
        <v>50</v>
      </c>
      <c r="L119" s="378"/>
      <c r="M119" s="378"/>
      <c r="N119" s="378">
        <v>1</v>
      </c>
      <c r="O119" s="378">
        <v>40</v>
      </c>
      <c r="P119" s="378"/>
      <c r="Q119" s="378"/>
      <c r="R119" s="378"/>
      <c r="S119" s="378"/>
      <c r="T119" s="378">
        <v>7</v>
      </c>
      <c r="U119" s="378"/>
      <c r="V119" s="378"/>
      <c r="W119" s="378"/>
      <c r="X119" s="378">
        <v>80</v>
      </c>
      <c r="Y119" s="378">
        <v>90</v>
      </c>
      <c r="Z119" s="378"/>
      <c r="AA119" s="378"/>
      <c r="AB119" s="378">
        <v>120</v>
      </c>
      <c r="AC119" s="378"/>
      <c r="AD119" s="378">
        <v>25</v>
      </c>
      <c r="AE119" s="378"/>
      <c r="AF119" s="378"/>
      <c r="AG119" s="378"/>
      <c r="AH119" s="378"/>
      <c r="AI119" s="378"/>
      <c r="AJ119" s="378"/>
      <c r="AK119" s="378"/>
      <c r="AL119" s="378"/>
      <c r="AM119" s="378"/>
      <c r="AN119" s="378"/>
      <c r="AO119" s="378"/>
      <c r="AP119" s="378"/>
      <c r="AQ119" s="378"/>
      <c r="AR119" s="378"/>
      <c r="AS119" s="378"/>
      <c r="AT119" s="378"/>
      <c r="AU119" s="378">
        <v>1</v>
      </c>
      <c r="AV119" s="378"/>
      <c r="AW119" s="378"/>
      <c r="AX119" s="378">
        <v>4</v>
      </c>
      <c r="AY119" s="378"/>
      <c r="AZ119" s="378"/>
      <c r="BA119" s="378">
        <v>50</v>
      </c>
      <c r="BB119" s="378"/>
      <c r="BC119" s="378"/>
      <c r="BD119" s="378">
        <v>46</v>
      </c>
      <c r="BE119" s="378"/>
      <c r="BF119" s="378"/>
      <c r="BG119" s="378">
        <v>100</v>
      </c>
      <c r="BH119" s="378"/>
      <c r="BI119" s="378"/>
      <c r="BJ119" s="378"/>
      <c r="BK119" s="378"/>
      <c r="BL119" s="378">
        <v>6</v>
      </c>
      <c r="BM119" s="378">
        <v>10</v>
      </c>
      <c r="BN119" s="378">
        <v>5</v>
      </c>
      <c r="BO119" s="378">
        <v>73</v>
      </c>
      <c r="BP119" s="378">
        <v>80</v>
      </c>
      <c r="BQ119" s="378"/>
      <c r="BR119" s="378"/>
      <c r="BS119" s="378">
        <v>50</v>
      </c>
      <c r="BT119" s="378">
        <v>105</v>
      </c>
      <c r="BU119" s="378"/>
      <c r="BV119" s="378"/>
      <c r="BW119" s="378">
        <v>4</v>
      </c>
      <c r="BX119" s="378"/>
      <c r="BY119" s="378">
        <v>35</v>
      </c>
      <c r="BZ119" s="378"/>
      <c r="CA119" s="378"/>
      <c r="CB119" s="378">
        <v>140</v>
      </c>
      <c r="CC119" s="378"/>
      <c r="CD119" s="378"/>
      <c r="CE119" s="378"/>
      <c r="CF119" s="378"/>
      <c r="CG119" s="378">
        <v>80</v>
      </c>
      <c r="CH119" s="378">
        <v>50</v>
      </c>
      <c r="CI119" s="378">
        <v>120</v>
      </c>
      <c r="CJ119" s="378">
        <v>50</v>
      </c>
      <c r="CK119" s="378"/>
      <c r="CL119" s="378"/>
      <c r="CM119" s="374">
        <v>100</v>
      </c>
      <c r="CN119" s="378"/>
      <c r="CO119" s="378">
        <v>300</v>
      </c>
      <c r="CP119" s="378"/>
      <c r="CQ119" s="378"/>
      <c r="CR119" s="378"/>
      <c r="CS119" s="378"/>
      <c r="CT119" s="378"/>
      <c r="CU119" s="378"/>
      <c r="CV119" s="378">
        <v>260</v>
      </c>
      <c r="CW119" s="378">
        <v>260</v>
      </c>
      <c r="CX119" s="378">
        <v>520</v>
      </c>
      <c r="CY119" s="378"/>
      <c r="CZ119" s="378"/>
      <c r="DA119" s="378"/>
      <c r="DB119" s="378"/>
      <c r="DC119" s="378"/>
      <c r="DD119" s="378">
        <v>260</v>
      </c>
      <c r="DE119" s="378"/>
      <c r="DF119" s="378">
        <v>20</v>
      </c>
      <c r="DG119" s="378">
        <v>90</v>
      </c>
      <c r="DH119" s="378"/>
      <c r="DI119" s="378"/>
      <c r="DJ119" s="378"/>
      <c r="DK119" s="378"/>
      <c r="DL119" s="378"/>
      <c r="DM119" s="378"/>
      <c r="DN119" s="378"/>
      <c r="DO119" s="378">
        <v>1200</v>
      </c>
      <c r="DP119" s="378"/>
      <c r="DQ119" s="378"/>
      <c r="DR119" s="378"/>
      <c r="DS119" s="378">
        <v>10</v>
      </c>
      <c r="DT119" s="378"/>
      <c r="DU119" s="378"/>
      <c r="DV119" s="378"/>
      <c r="DW119" s="378">
        <v>10</v>
      </c>
      <c r="DX119" s="378"/>
      <c r="DY119" s="378">
        <v>16</v>
      </c>
      <c r="DZ119" s="378"/>
      <c r="EA119" s="378"/>
      <c r="EB119" s="378"/>
      <c r="EC119" s="378"/>
      <c r="ED119" s="378"/>
      <c r="EE119" s="378"/>
      <c r="EF119" s="378"/>
      <c r="EG119" s="378">
        <v>90</v>
      </c>
      <c r="EH119" s="378"/>
      <c r="EI119" s="378"/>
      <c r="EJ119" s="378"/>
      <c r="EK119" s="378"/>
      <c r="EL119" s="378"/>
      <c r="EM119" s="378">
        <v>7</v>
      </c>
      <c r="EN119" s="378"/>
      <c r="EO119" s="378"/>
      <c r="EP119" s="378"/>
      <c r="EQ119" s="378">
        <v>60</v>
      </c>
      <c r="ER119" s="378"/>
      <c r="ES119" s="378"/>
      <c r="ET119" s="378"/>
      <c r="EU119" s="378">
        <v>5</v>
      </c>
      <c r="EV119" s="378"/>
      <c r="EW119" s="378"/>
      <c r="EX119" s="378">
        <v>160</v>
      </c>
      <c r="EY119" s="378"/>
      <c r="EZ119" s="378">
        <v>560</v>
      </c>
      <c r="FA119" s="378">
        <v>520</v>
      </c>
      <c r="FB119" s="378"/>
      <c r="FC119" s="378">
        <v>500</v>
      </c>
      <c r="FD119" s="378"/>
      <c r="FE119" s="378"/>
      <c r="FF119" s="378">
        <v>500</v>
      </c>
      <c r="FG119" s="378"/>
      <c r="FH119" s="378"/>
      <c r="FI119" s="378"/>
      <c r="FJ119" s="378"/>
      <c r="FK119" s="378"/>
      <c r="FL119" s="378"/>
      <c r="FM119" s="378"/>
      <c r="FN119" s="378"/>
      <c r="FO119" s="378"/>
      <c r="FP119" s="382"/>
      <c r="FQ119" s="383"/>
      <c r="FR119" s="384"/>
      <c r="FS119" s="384"/>
      <c r="FT119" s="384"/>
      <c r="FU119" s="168">
        <f t="shared" si="8"/>
        <v>6870</v>
      </c>
    </row>
    <row r="120" spans="1:178" s="400" customFormat="1" ht="11" thickBot="1">
      <c r="A120" s="392"/>
      <c r="B120" s="392"/>
      <c r="C120" s="392" t="s">
        <v>555</v>
      </c>
      <c r="D120" s="392" t="s">
        <v>3</v>
      </c>
      <c r="E120" s="393" t="s">
        <v>621</v>
      </c>
      <c r="F120" s="392"/>
      <c r="G120" s="392"/>
      <c r="H120" s="394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  <c r="X120" s="394"/>
      <c r="Y120" s="394"/>
      <c r="Z120" s="394"/>
      <c r="AA120" s="394"/>
      <c r="AB120" s="394"/>
      <c r="AC120" s="394"/>
      <c r="AD120" s="394"/>
      <c r="AE120" s="394"/>
      <c r="AF120" s="394"/>
      <c r="AG120" s="394"/>
      <c r="AH120" s="394"/>
      <c r="AI120" s="394"/>
      <c r="AJ120" s="394"/>
      <c r="AK120" s="394"/>
      <c r="AL120" s="394"/>
      <c r="AM120" s="394"/>
      <c r="AN120" s="394"/>
      <c r="AO120" s="394"/>
      <c r="AP120" s="394"/>
      <c r="AQ120" s="394"/>
      <c r="AR120" s="394"/>
      <c r="AS120" s="394"/>
      <c r="AT120" s="394"/>
      <c r="AU120" s="394"/>
      <c r="AV120" s="394"/>
      <c r="AW120" s="394"/>
      <c r="AX120" s="394"/>
      <c r="AY120" s="394"/>
      <c r="AZ120" s="394"/>
      <c r="BA120" s="394"/>
      <c r="BB120" s="394"/>
      <c r="BC120" s="394"/>
      <c r="BD120" s="394"/>
      <c r="BE120" s="394"/>
      <c r="BF120" s="394"/>
      <c r="BG120" s="394"/>
      <c r="BH120" s="394"/>
      <c r="BI120" s="394"/>
      <c r="BJ120" s="394"/>
      <c r="BK120" s="394"/>
      <c r="BL120" s="394"/>
      <c r="BM120" s="394"/>
      <c r="BN120" s="394"/>
      <c r="BO120" s="394"/>
      <c r="BP120" s="394"/>
      <c r="BQ120" s="394"/>
      <c r="BR120" s="394"/>
      <c r="BS120" s="394"/>
      <c r="BT120" s="394"/>
      <c r="BU120" s="394"/>
      <c r="BV120" s="394"/>
      <c r="BW120" s="394"/>
      <c r="BX120" s="394"/>
      <c r="BY120" s="394"/>
      <c r="BZ120" s="394"/>
      <c r="CA120" s="394"/>
      <c r="CB120" s="394"/>
      <c r="CC120" s="394"/>
      <c r="CD120" s="394">
        <v>1</v>
      </c>
      <c r="CE120" s="394"/>
      <c r="CF120" s="394"/>
      <c r="CG120" s="394"/>
      <c r="CH120" s="394"/>
      <c r="CI120" s="394"/>
      <c r="CJ120" s="394"/>
      <c r="CK120" s="394"/>
      <c r="CL120" s="394"/>
      <c r="CM120" s="395"/>
      <c r="CN120" s="394">
        <v>3</v>
      </c>
      <c r="CO120" s="394"/>
      <c r="CP120" s="394"/>
      <c r="CQ120" s="394"/>
      <c r="CR120" s="394">
        <v>2</v>
      </c>
      <c r="CS120" s="394"/>
      <c r="CT120" s="394"/>
      <c r="CU120" s="394"/>
      <c r="CV120" s="394"/>
      <c r="CW120" s="394"/>
      <c r="CX120" s="394"/>
      <c r="CY120" s="394"/>
      <c r="CZ120" s="394"/>
      <c r="DA120" s="394"/>
      <c r="DB120" s="394"/>
      <c r="DC120" s="394"/>
      <c r="DD120" s="394"/>
      <c r="DE120" s="394"/>
      <c r="DF120" s="394"/>
      <c r="DG120" s="394"/>
      <c r="DH120" s="394"/>
      <c r="DI120" s="394"/>
      <c r="DJ120" s="394"/>
      <c r="DK120" s="394"/>
      <c r="DL120" s="394"/>
      <c r="DM120" s="394"/>
      <c r="DN120" s="394"/>
      <c r="DO120" s="394"/>
      <c r="DP120" s="394"/>
      <c r="DQ120" s="394"/>
      <c r="DR120" s="394"/>
      <c r="DS120" s="394"/>
      <c r="DT120" s="394"/>
      <c r="DU120" s="394"/>
      <c r="DV120" s="394"/>
      <c r="DW120" s="394"/>
      <c r="DX120" s="394"/>
      <c r="DY120" s="394"/>
      <c r="DZ120" s="394"/>
      <c r="EA120" s="394"/>
      <c r="EB120" s="394"/>
      <c r="EC120" s="394"/>
      <c r="ED120" s="394"/>
      <c r="EE120" s="394"/>
      <c r="EF120" s="394"/>
      <c r="EG120" s="394"/>
      <c r="EH120" s="394"/>
      <c r="EI120" s="394"/>
      <c r="EJ120" s="394"/>
      <c r="EK120" s="394"/>
      <c r="EL120" s="394"/>
      <c r="EM120" s="394"/>
      <c r="EN120" s="394"/>
      <c r="EO120" s="394"/>
      <c r="EP120" s="394"/>
      <c r="EQ120" s="394"/>
      <c r="ER120" s="394"/>
      <c r="ES120" s="394"/>
      <c r="ET120" s="394"/>
      <c r="EU120" s="394"/>
      <c r="EV120" s="394"/>
      <c r="EW120" s="394"/>
      <c r="EX120" s="394"/>
      <c r="EY120" s="394"/>
      <c r="EZ120" s="394"/>
      <c r="FA120" s="394"/>
      <c r="FB120" s="394"/>
      <c r="FC120" s="394"/>
      <c r="FD120" s="394"/>
      <c r="FE120" s="394"/>
      <c r="FF120" s="394"/>
      <c r="FG120" s="394"/>
      <c r="FH120" s="394"/>
      <c r="FI120" s="394"/>
      <c r="FJ120" s="394"/>
      <c r="FK120" s="394"/>
      <c r="FL120" s="394"/>
      <c r="FM120" s="394"/>
      <c r="FN120" s="394"/>
      <c r="FO120" s="394"/>
      <c r="FP120" s="396"/>
      <c r="FQ120" s="397"/>
      <c r="FR120" s="398"/>
      <c r="FS120" s="398"/>
      <c r="FT120" s="398"/>
      <c r="FU120" s="399">
        <f t="shared" si="8"/>
        <v>6</v>
      </c>
      <c r="FV120" s="395"/>
    </row>
    <row r="121" spans="1:178">
      <c r="FU121" s="92">
        <f>SUBTOTAL(9,FU118:FU120)</f>
        <v>8702</v>
      </c>
    </row>
    <row r="122" spans="1:178">
      <c r="E122" s="85" t="s">
        <v>623</v>
      </c>
      <c r="K122" s="190">
        <f t="shared" ref="K122" si="15">K58+K59+K60+K67+K68+K69+K88+K89+K90+K91+K92+K93+K103+K104+K105+K43+K44+K45</f>
        <v>40</v>
      </c>
      <c r="N122" s="190">
        <f t="shared" ref="N122" si="16">N58+N59+N60+N67+N68+N69+N88+N89+N90+N91+N92+N93+N103+N104+N105+N43+N44+N45</f>
        <v>0</v>
      </c>
      <c r="O122" s="190">
        <f t="shared" ref="O122" si="17">O58+O59+O60+O67+O68+O69+O88+O89+O90+O91+O92+O93+O103+O104+O105+O43+O44+O45</f>
        <v>25</v>
      </c>
      <c r="T122" s="190">
        <f t="shared" ref="T122" si="18">T58+T59+T60+T67+T68+T69+T88+T89+T90+T91+T92+T93+T103+T104+T105+T43+T44+T45</f>
        <v>0</v>
      </c>
      <c r="X122" s="190">
        <f t="shared" ref="X122:Y122" si="19">X58+X59+X60+X67+X68+X69+X88+X89+X90+X91+X92+X93+X103+X104+X105+X43+X44+X45</f>
        <v>60</v>
      </c>
      <c r="Y122" s="190">
        <f t="shared" si="19"/>
        <v>55</v>
      </c>
      <c r="AB122" s="190">
        <f>AB58+AB59+AB60+AB67+AB68+AB69+AB88+AB89+AB90+AB91+AB92+AB93+AB103+AB104+AB105+AB43+AB44+AB45</f>
        <v>90</v>
      </c>
      <c r="AD122" s="190">
        <f>AD58+AD59+AD60+AD67+AD68+AD69+AD88+AD89+AD90+AD91+AD92+AD93+AD103+AD104+AD105+AD43+AD44+AD45</f>
        <v>10</v>
      </c>
      <c r="AT122" s="190"/>
      <c r="AU122" s="190">
        <f>AU58+AU59+AU60+AU67+AU68+AU69+AU88+AU89+AU90+AU91+AU92+AU93+AU103+AU104+AU105+AU43+AU44+AU45</f>
        <v>0</v>
      </c>
      <c r="AX122" s="190">
        <f>AX58+AX59+AX60+AX67+AX68+AX69+AX88+AX89+AX90+AX91+AX92+AX93+AX103+AX104+AX105+AX43+AX44+AX45</f>
        <v>4</v>
      </c>
      <c r="BA122" s="190">
        <f>BA58+BA59+BA60+BA67+BA68+BA69+BA88+BA89+BA90+BA91+BA92+BA93+BA103+BA104+BA105+BA43+BA44+BA45</f>
        <v>25</v>
      </c>
      <c r="BD122" s="190">
        <f>BD58+BD59+BD60+BD67+BD68+BD69+BD88+BD89+BD90+BD91+BD92+BD93+BD103+BD104+BD105+BD43+BD44+BD45</f>
        <v>35</v>
      </c>
      <c r="BG122" s="190">
        <f>BG58+BG59+BG60+BG67+BG68+BG69+BG88+BG89+BG90+BG91+BG92+BG93+BG103+BG104+BG105+BG43+BG44+BG45</f>
        <v>100</v>
      </c>
      <c r="BL122" s="190">
        <f t="shared" ref="BL122:BP122" si="20">BL58+BL59+BL60+BL67+BL68+BL69+BL88+BL89+BL90+BL91+BL92+BL93+BL103+BL104+BL105+BL43+BL44+BL45</f>
        <v>4</v>
      </c>
      <c r="BM122" s="190">
        <f t="shared" si="20"/>
        <v>8</v>
      </c>
      <c r="BN122" s="190">
        <f t="shared" si="20"/>
        <v>2</v>
      </c>
      <c r="BO122" s="190">
        <f t="shared" si="20"/>
        <v>45</v>
      </c>
      <c r="BP122" s="190">
        <f t="shared" si="20"/>
        <v>50</v>
      </c>
      <c r="BS122" s="190">
        <f>BS58+BS59+BS60+BS67+BS68+BS69+BS88+BS89+BS90+BS91+BS92+BS93+BS103+BS104+BS105+BS43+BS44+BS45</f>
        <v>30</v>
      </c>
      <c r="BT122" s="190">
        <f>BT58+BT59+BT60+BT67+BT68+BT69+BT88+BT89+BT90+BT91+BT92+BT93+BT103+BT104+BT105+BT43+BT44+BT45</f>
        <v>100</v>
      </c>
      <c r="BW122" s="190">
        <f>BW58+BW59+BW60+BW67+BW68+BW69+BW88+BW89+BW90+BW91+BW92+BW93+BW103+BW104+BW105+BW43+BW44+BW45</f>
        <v>2</v>
      </c>
      <c r="BY122" s="190">
        <f>BY58+BY59+BY60+BY67+BY68+BY69+BY88+BY89+BY90+BY91+BY92+BY93+BY103+BY104+BY105+BY43+BY44+BY45</f>
        <v>22</v>
      </c>
      <c r="CB122" s="190">
        <f>CB58+CB59+CB60+CB67+CB68+CB69+CB88+CB89+CB90+CB91+CB92+CB93+CB103+CB104+CB105+CB43+CB44+CB45</f>
        <v>85</v>
      </c>
      <c r="CD122" s="190">
        <f>CD58+CD59+CD60+CD67+CD68+CD69+CD88+CD89+CD90+CD91+CD92+CD93+CD103+CD104+CD105+CD43+CD44+CD45</f>
        <v>1</v>
      </c>
      <c r="CG122" s="190">
        <f t="shared" ref="CG122:CJ122" si="21">CG58+CG59+CG60+CG67+CG68+CG69+CG88+CG89+CG90+CG91+CG92+CG93+CG103+CG104+CG105+CG43+CG44+CG45</f>
        <v>70</v>
      </c>
      <c r="CH122" s="190">
        <f t="shared" si="21"/>
        <v>35</v>
      </c>
      <c r="CI122" s="190">
        <f t="shared" si="21"/>
        <v>80</v>
      </c>
      <c r="CJ122" s="190">
        <f t="shared" si="21"/>
        <v>32</v>
      </c>
      <c r="CM122" s="190">
        <f t="shared" ref="CM122:CO122" si="22">CM58+CM59+CM60+CM67+CM68+CM69+CM88+CM89+CM90+CM91+CM92+CM93+CM103+CM104+CM105+CM43+CM44+CM45</f>
        <v>70</v>
      </c>
      <c r="CN122" s="190">
        <f t="shared" si="22"/>
        <v>3</v>
      </c>
      <c r="CO122" s="190">
        <f t="shared" si="22"/>
        <v>210</v>
      </c>
      <c r="CR122" s="190">
        <f t="shared" ref="CR122" si="23">CR58+CR59+CR60+CR67+CR68+CR69+CR88+CR89+CR90+CR91+CR92+CR93+CR103+CR104+CR105+CR43+CR44+CR45</f>
        <v>2</v>
      </c>
      <c r="CV122" s="190">
        <f t="shared" ref="CV122:CX122" si="24">CV58+CV59+CV60+CV67+CV68+CV69+CV88+CV89+CV90+CV91+CV92+CV93+CV103+CV104+CV105+CV43+CV44+CV45</f>
        <v>190</v>
      </c>
      <c r="CW122" s="190">
        <f t="shared" si="24"/>
        <v>190</v>
      </c>
      <c r="CX122" s="190">
        <f t="shared" si="24"/>
        <v>360</v>
      </c>
      <c r="CZ122" s="190">
        <f t="shared" ref="CZ122" si="25">CZ58+CZ59+CZ60+CZ67+CZ68+CZ69+CZ88+CZ89+CZ90+CZ91+CZ92+CZ93+CZ103+CZ104+CZ105+CZ43+CZ44+CZ45</f>
        <v>180</v>
      </c>
      <c r="DD122" s="190">
        <f t="shared" ref="DD122:DG122" si="26">DD58+DD59+DD60+DD67+DD68+DD69+DD88+DD89+DD90+DD91+DD92+DD93+DD103+DD104+DD105+DD43+DD44+DD45</f>
        <v>180</v>
      </c>
      <c r="DF122" s="190">
        <f t="shared" si="26"/>
        <v>14</v>
      </c>
      <c r="DG122" s="190">
        <f t="shared" si="26"/>
        <v>65</v>
      </c>
      <c r="DO122" s="190">
        <f t="shared" ref="DO122:DP122" si="27">DO58+DO59+DO60+DO67+DO68+DO69+DO88+DO89+DO90+DO91+DO92+DO93+DO103+DO104+DO105+DO43+DO44+DO45</f>
        <v>960</v>
      </c>
      <c r="DP122" s="190">
        <f t="shared" si="27"/>
        <v>5</v>
      </c>
      <c r="DS122" s="190">
        <f t="shared" ref="DS122" si="28">DS58+DS59+DS60+DS67+DS68+DS69+DS88+DS89+DS90+DS91+DS92+DS93+DS103+DS104+DS105+DS43+DS44+DS45</f>
        <v>0</v>
      </c>
      <c r="DU122" s="190">
        <f t="shared" ref="DU122" si="29">DU58+DU59+DU60+DU67+DU68+DU69+DU88+DU89+DU90+DU91+DU92+DU93+DU103+DU104+DU105+DU43+DU44+DU45</f>
        <v>440</v>
      </c>
      <c r="DW122" s="190">
        <f t="shared" ref="DW122" si="30">DW58+DW59+DW60+DW67+DW68+DW69+DW88+DW89+DW90+DW91+DW92+DW93+DW103+DW104+DW105+DW43+DW44+DW45</f>
        <v>0</v>
      </c>
      <c r="DY122" s="190">
        <f t="shared" ref="DY122" si="31">DY58+DY59+DY60+DY67+DY68+DY69+DY88+DY89+DY90+DY91+DY92+DY93+DY103+DY104+DY105+DY43+DY44+DY45</f>
        <v>16</v>
      </c>
      <c r="EE122" s="190">
        <f t="shared" ref="EE122" si="32">EE58+EE59+EE60+EE67+EE68+EE69+EE88+EE89+EE90+EE91+EE92+EE93+EE103+EE104+EE105+EE43+EE44+EE45</f>
        <v>0</v>
      </c>
      <c r="EG122" s="190">
        <f t="shared" ref="EG122:EH122" si="33">EG58+EG59+EG60+EG67+EG68+EG69+EG88+EG89+EG90+EG91+EG92+EG93+EG103+EG104+EG105+EG43+EG44+EG45</f>
        <v>60</v>
      </c>
      <c r="EH122" s="190">
        <f t="shared" si="33"/>
        <v>60</v>
      </c>
      <c r="EM122" s="190">
        <f t="shared" ref="EM122" si="34">EM58+EM59+EM60+EM67+EM68+EM69+EM88+EM89+EM90+EM91+EM92+EM93+EM103+EM104+EM105+EM43+EM44+EM45</f>
        <v>0</v>
      </c>
      <c r="EQ122" s="190">
        <f t="shared" ref="EQ122" si="35">EQ58+EQ59+EQ60+EQ67+EQ68+EQ69+EQ88+EQ89+EQ90+EQ91+EQ92+EQ93+EQ103+EQ104+EQ105+EQ43+EQ44+EQ45</f>
        <v>40</v>
      </c>
      <c r="EU122" s="190">
        <f t="shared" ref="EU122:EX122" si="36">EU58+EU59+EU60+EU67+EU68+EU69+EU88+EU89+EU90+EU91+EU92+EU93+EU103+EU104+EU105+EU43+EU44+EU45</f>
        <v>0</v>
      </c>
      <c r="EV122" s="190">
        <f t="shared" si="36"/>
        <v>20</v>
      </c>
      <c r="EW122" s="190">
        <f t="shared" si="36"/>
        <v>200</v>
      </c>
      <c r="EX122" s="190">
        <f t="shared" si="36"/>
        <v>100</v>
      </c>
      <c r="EZ122" s="190">
        <f t="shared" ref="EZ122:FD122" si="37">EZ58+EZ59+EZ60+EZ67+EZ68+EZ69+EZ88+EZ89+EZ90+EZ91+EZ92+EZ93+EZ103+EZ104+EZ105+EZ43+EZ44+EZ45</f>
        <v>40</v>
      </c>
      <c r="FA122" s="190">
        <f t="shared" si="37"/>
        <v>500</v>
      </c>
      <c r="FB122" s="190"/>
      <c r="FC122" s="190">
        <f t="shared" si="37"/>
        <v>500</v>
      </c>
      <c r="FD122" s="190">
        <f t="shared" si="37"/>
        <v>0</v>
      </c>
      <c r="FE122" s="190"/>
      <c r="FF122" s="190">
        <f t="shared" ref="FF122" si="38">FF58+FF59+FF60+FF67+FF68+FF69+FF88+FF89+FF90+FF91+FF92+FF93+FF103+FF104+FF105+FF43+FF44+FF45</f>
        <v>0</v>
      </c>
      <c r="FG122" s="190"/>
      <c r="FH122" s="190">
        <f t="shared" ref="FH122" si="39">FH58+FH59+FH60+FH67+FH68+FH69+FH88+FH89+FH90+FH91+FH92+FH93+FH103+FH104+FH105+FH43+FH44+FH45</f>
        <v>0</v>
      </c>
      <c r="FK122" s="190"/>
      <c r="FU122" s="92">
        <f t="shared" si="8"/>
        <v>5415</v>
      </c>
    </row>
    <row r="123" spans="1:178">
      <c r="E123" s="87" t="s">
        <v>624</v>
      </c>
      <c r="K123" s="190">
        <f t="shared" ref="K123" si="40">K46+K47+K48+K61+K62+K63+K70+K71+K72+K109+K110+K111</f>
        <v>10</v>
      </c>
      <c r="N123" s="190">
        <f t="shared" ref="N123" si="41">N46+N47+N48+N61+N62+N63+N70+N71+N72+N109+N110+N111</f>
        <v>0</v>
      </c>
      <c r="O123" s="190">
        <f t="shared" ref="O123" si="42">O46+O47+O48+O61+O62+O63+O70+O71+O72+O109+O110+O111</f>
        <v>5</v>
      </c>
      <c r="T123" s="190">
        <f t="shared" ref="T123" si="43">T46+T47+T48+T61+T62+T63+T70+T71+T72+T109+T110+T111</f>
        <v>3</v>
      </c>
      <c r="X123" s="190">
        <f t="shared" ref="X123:Y123" si="44">X46+X47+X48+X61+X62+X63+X70+X71+X72+X109+X110+X111</f>
        <v>10</v>
      </c>
      <c r="Y123" s="190">
        <f t="shared" si="44"/>
        <v>15</v>
      </c>
      <c r="AB123" s="190">
        <f>AB46+AB47+AB48+AB61+AB62+AB63+AB70+AB71+AB72+AB109+AB110+AB111</f>
        <v>0</v>
      </c>
      <c r="AD123" s="190">
        <f>AD46+AD47+AD48+AD61+AD62+AD63+AD70+AD71+AD72+AD109+AD110+AD111</f>
        <v>5</v>
      </c>
      <c r="AT123" s="190"/>
      <c r="AU123" s="190">
        <f>AU46+AU47+AU48+AU61+AU62+AU63+AU70+AU71+AU72+AU109+AU110+AU111</f>
        <v>0</v>
      </c>
      <c r="AX123" s="190">
        <f>AX46+AX47+AX48+AX61+AX62+AX63+AX70+AX71+AX72+AX109+AX110+AX111</f>
        <v>0</v>
      </c>
      <c r="BA123" s="190">
        <f>BA46+BA47+BA48+BA61+BA62+BA63+BA70+BA71+BA72+BA109+BA110+BA111</f>
        <v>5</v>
      </c>
      <c r="BD123" s="190">
        <f>BD46+BD47+BD48+BD61+BD62+BD63+BD70+BD71+BD72+BD109+BD110+BD111</f>
        <v>5</v>
      </c>
      <c r="BG123" s="190">
        <f>BG46+BG47+BG48+BG61+BG62+BG63+BG70+BG71+BG72+BG109+BG110+BG111</f>
        <v>0</v>
      </c>
      <c r="BL123" s="190">
        <f t="shared" ref="BL123:BP123" si="45">BL46+BL47+BL48+BL61+BL62+BL63+BL70+BL71+BL72+BL109+BL110+BL111</f>
        <v>0</v>
      </c>
      <c r="BM123" s="190">
        <f t="shared" si="45"/>
        <v>2</v>
      </c>
      <c r="BN123" s="190">
        <f t="shared" si="45"/>
        <v>1</v>
      </c>
      <c r="BO123" s="190">
        <f t="shared" si="45"/>
        <v>7</v>
      </c>
      <c r="BP123" s="190">
        <f t="shared" si="45"/>
        <v>4</v>
      </c>
      <c r="BS123" s="190">
        <f>BS46+BS47+BS48+BS61+BS62+BS63+BS70+BS71+BS72+BS109+BS110+BS111</f>
        <v>5</v>
      </c>
      <c r="BT123" s="190">
        <f>BT46+BT47+BT48+BT61+BT62+BT63+BT70+BT71+BT72+BT109+BT110+BT111</f>
        <v>0</v>
      </c>
      <c r="BW123" s="190">
        <f>BW46+BW47+BW48+BW61+BW62+BW63+BW70+BW71+BW72+BW109+BW110+BW111</f>
        <v>0</v>
      </c>
      <c r="BY123" s="190">
        <f>BY46+BY47+BY48+BY61+BY62+BY63+BY70+BY71+BY72+BY109+BY110+BY111</f>
        <v>3</v>
      </c>
      <c r="CB123" s="190">
        <f>CB46+CB47+CB48+CB61+CB62+CB63+CB70+CB71+CB72+CB109+CB110+CB111</f>
        <v>12</v>
      </c>
      <c r="CD123" s="190">
        <f>CD46+CD47+CD48+CD61+CD62+CD63+CD70+CD71+CD72+CD109+CD110+CD111</f>
        <v>0</v>
      </c>
      <c r="CG123" s="190">
        <f t="shared" ref="CG123:CJ123" si="46">CG46+CG47+CG48+CG61+CG62+CG63+CG70+CG71+CG72+CG109+CG110+CG111</f>
        <v>0</v>
      </c>
      <c r="CH123" s="190">
        <f t="shared" si="46"/>
        <v>4</v>
      </c>
      <c r="CI123" s="190">
        <f>CI46+CI47+CI48+CI61+CI62+CI63+CI70+CI71+CI72+CI109+CI110+CI111</f>
        <v>8</v>
      </c>
      <c r="CJ123" s="190">
        <f t="shared" si="46"/>
        <v>3</v>
      </c>
      <c r="CM123" s="190">
        <f>CM46+CM47+CM48+CM61+CM62+CM63+CM70+CM71+CM72+CM109+CM110+CM111</f>
        <v>5</v>
      </c>
      <c r="CN123" s="190">
        <f t="shared" ref="CN123:CO123" si="47">CN46+CN47+CN48+CN61+CN62+CN63+CN70+CN71+CN72+CN109+CN110+CN111</f>
        <v>0</v>
      </c>
      <c r="CO123" s="190">
        <f t="shared" si="47"/>
        <v>20</v>
      </c>
      <c r="CR123" s="190">
        <f t="shared" ref="CR123" si="48">CR46+CR47+CR48+CR61+CR62+CR63+CR70+CR71+CR72+CR109+CR110+CR111</f>
        <v>0</v>
      </c>
      <c r="CV123" s="190">
        <f t="shared" ref="CV123:CW123" si="49">CV46+CV47+CV48+CV61+CV62+CV63+CV70+CV71+CV72+CV109+CV110+CV111</f>
        <v>10</v>
      </c>
      <c r="CW123" s="190">
        <f t="shared" si="49"/>
        <v>5</v>
      </c>
      <c r="CX123" s="190">
        <f>CX46+CX47+CX48+CX61+CX62+CX63+CX70+CX71+CX72+CX109+CX110+CX111</f>
        <v>35</v>
      </c>
      <c r="CZ123" s="190">
        <f t="shared" ref="CZ123" si="50">CZ46+CZ47+CZ48+CZ61+CZ62+CZ63+CZ70+CZ71+CZ72+CZ109+CZ110+CZ111</f>
        <v>20</v>
      </c>
      <c r="DD123" s="190">
        <f t="shared" ref="DD123:DG123" si="51">DD46+DD47+DD48+DD61+DD62+DD63+DD70+DD71+DD72+DD109+DD110+DD111</f>
        <v>20</v>
      </c>
      <c r="DF123" s="190">
        <f t="shared" si="51"/>
        <v>1</v>
      </c>
      <c r="DG123" s="190">
        <f t="shared" si="51"/>
        <v>7</v>
      </c>
      <c r="DO123" s="190">
        <f t="shared" ref="DO123:DP123" si="52">DO46+DO47+DO48+DO61+DO62+DO63+DO70+DO71+DO72+DO109+DO110+DO111</f>
        <v>180</v>
      </c>
      <c r="DP123" s="190">
        <f t="shared" si="52"/>
        <v>0</v>
      </c>
      <c r="DS123" s="190">
        <f t="shared" ref="DS123" si="53">DS46+DS47+DS48+DS61+DS62+DS63+DS70+DS71+DS72+DS109+DS110+DS111</f>
        <v>10</v>
      </c>
      <c r="DU123" s="190">
        <f>DU46+DU47+DU48+DU61+DU62+DU63+DU70+DU71+DU72+DU109+DU110+DU111</f>
        <v>50</v>
      </c>
      <c r="DW123" s="190">
        <f t="shared" ref="DW123" si="54">DW46+DW47+DW48+DW61+DW62+DW63+DW70+DW71+DW72+DW109+DW110+DW111</f>
        <v>0</v>
      </c>
      <c r="DY123" s="190">
        <f t="shared" ref="DY123" si="55">DY46+DY47+DY48+DY61+DY62+DY63+DY70+DY71+DY72+DY109+DY110+DY111</f>
        <v>0</v>
      </c>
      <c r="EE123" s="190">
        <f t="shared" ref="EE123" si="56">EE46+EE47+EE48+EE61+EE62+EE63+EE70+EE71+EE72+EE109+EE110+EE111</f>
        <v>15</v>
      </c>
      <c r="EG123" s="190">
        <f>EG46+EG47+EG48+EG61+EG62+EG63+EG70+EG71+EG72+EG109+EG110+EG111</f>
        <v>7</v>
      </c>
      <c r="EH123" s="190">
        <f>EH46+EH47+EH48+EH61+EH62+EH63+EH70+EH71+EH72+EH109+EH110+EH111</f>
        <v>7</v>
      </c>
      <c r="EM123" s="190">
        <f>EM46+EM47+EM48+EM61+EM62+EM63+EM70+EM71+EM72+EM109+EM110+EM111</f>
        <v>2</v>
      </c>
      <c r="EQ123" s="190">
        <f>EQ46+EQ47+EQ48+EQ61+EQ62+EQ63+EQ70+EQ71+EQ72+EQ109+EQ110+EQ111</f>
        <v>10</v>
      </c>
      <c r="EU123" s="190">
        <f>EU46+EU47+EU48+EU61+EU62+EU63+EU70+EU71+EU72+EU109+EU110+EU111</f>
        <v>0</v>
      </c>
      <c r="EV123" s="190">
        <f t="shared" ref="EV123:EX123" si="57">EV46+EV47+EV48+EV61+EV62+EV63+EV70+EV71+EV72+EV109+EV110+EV111</f>
        <v>5</v>
      </c>
      <c r="EW123" s="190">
        <f t="shared" si="57"/>
        <v>30</v>
      </c>
      <c r="EX123" s="190">
        <f t="shared" si="57"/>
        <v>10</v>
      </c>
      <c r="EZ123" s="190">
        <f t="shared" ref="EZ123:FD123" si="58">EZ46+EZ47+EZ48+EZ61+EZ62+EZ63+EZ70+EZ71+EZ72+EZ109+EZ110+EZ111</f>
        <v>0</v>
      </c>
      <c r="FA123" s="190">
        <f t="shared" si="58"/>
        <v>0</v>
      </c>
      <c r="FB123" s="190"/>
      <c r="FC123" s="190">
        <f t="shared" si="58"/>
        <v>0</v>
      </c>
      <c r="FD123" s="190">
        <f t="shared" si="58"/>
        <v>0</v>
      </c>
      <c r="FE123" s="190"/>
      <c r="FF123" s="190">
        <f t="shared" ref="FF123" si="59">FF46+FF47+FF48+FF61+FF62+FF63+FF70+FF71+FF72+FF109+FF110+FF111</f>
        <v>0</v>
      </c>
      <c r="FG123" s="190"/>
      <c r="FH123" s="190">
        <f t="shared" ref="FH123" si="60">FH46+FH47+FH48+FH61+FH62+FH63+FH70+FH71+FH72+FH109+FH110+FH111</f>
        <v>0</v>
      </c>
      <c r="FK123" s="190"/>
      <c r="FU123" s="92">
        <f t="shared" si="8"/>
        <v>556</v>
      </c>
    </row>
    <row r="124" spans="1:178">
      <c r="E124" s="87" t="s">
        <v>625</v>
      </c>
      <c r="K124" s="190">
        <f t="shared" ref="K124" si="61">K37+K38+K39+K64+K65+K66</f>
        <v>0</v>
      </c>
      <c r="N124" s="190">
        <f t="shared" ref="N124" si="62">N37+N38+N39+N64+N65+N66</f>
        <v>0</v>
      </c>
      <c r="O124" s="190">
        <f t="shared" ref="O124" si="63">O37+O38+O39+O64+O65+O66</f>
        <v>0</v>
      </c>
      <c r="T124" s="190">
        <f t="shared" ref="T124" si="64">T37+T38+T39+T64+T65+T66</f>
        <v>2</v>
      </c>
      <c r="X124" s="190">
        <f t="shared" ref="X124:Y124" si="65">X37+X38+X39+X64+X65+X66</f>
        <v>10</v>
      </c>
      <c r="Y124" s="190">
        <f t="shared" si="65"/>
        <v>10</v>
      </c>
      <c r="AB124" s="190">
        <f>AB37+AB38+AB39+AB64+AB65+AB66</f>
        <v>20</v>
      </c>
      <c r="AD124" s="190">
        <f>AD37+AD38+AD39+AD64+AD65+AD66</f>
        <v>5</v>
      </c>
      <c r="AT124" s="190"/>
      <c r="AU124" s="190">
        <f>AU37+AU38+AU39+AU64+AU65+AU66</f>
        <v>0</v>
      </c>
      <c r="AX124" s="190">
        <f>AX37+AX38+AX39+AX64+AX65+AX66</f>
        <v>0</v>
      </c>
      <c r="BA124" s="190">
        <f>BA37+BA38+BA39+BA64+BA65+BA66</f>
        <v>5</v>
      </c>
      <c r="BD124" s="190">
        <f>BD37+BD38+BD39+BD64+BD65+BD66</f>
        <v>4</v>
      </c>
      <c r="BG124" s="190">
        <f>BG37+BG38+BG39+BG64+BG65+BG66</f>
        <v>0</v>
      </c>
      <c r="BL124" s="190">
        <f t="shared" ref="BL124:BP124" si="66">BL37+BL38+BL39+BL64+BL65+BL66</f>
        <v>0</v>
      </c>
      <c r="BM124" s="190">
        <f t="shared" si="66"/>
        <v>0</v>
      </c>
      <c r="BN124" s="190">
        <f t="shared" si="66"/>
        <v>0</v>
      </c>
      <c r="BO124" s="190">
        <f t="shared" si="66"/>
        <v>5</v>
      </c>
      <c r="BP124" s="190">
        <f t="shared" si="66"/>
        <v>10</v>
      </c>
      <c r="BS124" s="190">
        <f>BS37+BS38+BS39+BS64+BS65+BS66</f>
        <v>5</v>
      </c>
      <c r="BT124" s="190">
        <f>BT37+BT38+BT39+BT64+BT65+BT66</f>
        <v>0</v>
      </c>
      <c r="BW124" s="190">
        <f>BW37+BW38+BW39+BW64+BW65+BW66</f>
        <v>1</v>
      </c>
      <c r="BY124" s="190">
        <f>BY37+BY38+BY39+BY64+BY65+BY66</f>
        <v>2</v>
      </c>
      <c r="CB124" s="190">
        <f>CB37+CB38+CB39+CB64+CB65+CB66</f>
        <v>15</v>
      </c>
      <c r="CD124" s="190">
        <f>CD37+CD38+CD39+CD64+CD65+CD66</f>
        <v>0</v>
      </c>
      <c r="CG124" s="190">
        <f t="shared" ref="CG124:CJ124" si="67">CG37+CG38+CG39+CG64+CG65+CG66</f>
        <v>10</v>
      </c>
      <c r="CH124" s="190">
        <f t="shared" si="67"/>
        <v>2</v>
      </c>
      <c r="CI124" s="190">
        <f>CI37+CI38+CI39+CI64+CI65+CI66</f>
        <v>9</v>
      </c>
      <c r="CJ124" s="190">
        <f t="shared" si="67"/>
        <v>4</v>
      </c>
      <c r="CM124" s="190">
        <f t="shared" ref="CM124:CO124" si="68">CM37+CM38+CM39+CM64+CM65+CM66</f>
        <v>10</v>
      </c>
      <c r="CN124" s="190">
        <f t="shared" si="68"/>
        <v>0</v>
      </c>
      <c r="CO124" s="190">
        <f t="shared" si="68"/>
        <v>20</v>
      </c>
      <c r="CR124" s="190">
        <f t="shared" ref="CR124" si="69">CR37+CR38+CR39+CR64+CR65+CR66</f>
        <v>0</v>
      </c>
      <c r="CV124" s="190">
        <f t="shared" ref="CV124:CX124" si="70">CV37+CV38+CV39+CV64+CV65+CV66</f>
        <v>20</v>
      </c>
      <c r="CW124" s="190">
        <f t="shared" si="70"/>
        <v>20</v>
      </c>
      <c r="CX124" s="190">
        <f t="shared" si="70"/>
        <v>25</v>
      </c>
      <c r="CZ124" s="190">
        <f t="shared" ref="CZ124" si="71">CZ37+CZ38+CZ39+CZ64+CZ65+CZ66</f>
        <v>20</v>
      </c>
      <c r="DD124" s="190">
        <f t="shared" ref="DD124:DG124" si="72">DD37+DD38+DD39+DD64+DD65+DD66</f>
        <v>10</v>
      </c>
      <c r="DF124" s="190">
        <f t="shared" si="72"/>
        <v>1</v>
      </c>
      <c r="DG124" s="190">
        <f t="shared" si="72"/>
        <v>4</v>
      </c>
      <c r="DO124" s="190">
        <f t="shared" ref="DO124:DP124" si="73">DO37+DO38+DO39+DO64+DO65+DO66</f>
        <v>20</v>
      </c>
      <c r="DP124" s="190">
        <f t="shared" si="73"/>
        <v>0</v>
      </c>
      <c r="DS124" s="190">
        <f t="shared" ref="DS124" si="74">DS37+DS38+DS39+DS64+DS65+DS66</f>
        <v>0</v>
      </c>
      <c r="DU124" s="190">
        <f t="shared" ref="DU124" si="75">DU37+DU38+DU39+DU64+DU65+DU66</f>
        <v>40</v>
      </c>
      <c r="DW124" s="190">
        <f t="shared" ref="DW124" si="76">DW37+DW38+DW39+DW64+DW65+DW66</f>
        <v>0</v>
      </c>
      <c r="DY124" s="190">
        <f t="shared" ref="DY124" si="77">DY37+DY38+DY39+DY64+DY65+DY66</f>
        <v>0</v>
      </c>
      <c r="EE124" s="190">
        <f t="shared" ref="EE124" si="78">EE37+EE38+EE39+EE64+EE65+EE66</f>
        <v>10</v>
      </c>
      <c r="EG124" s="190">
        <f t="shared" ref="EG124:EH124" si="79">EG37+EG38+EG39+EG64+EG65+EG66</f>
        <v>5</v>
      </c>
      <c r="EH124" s="190">
        <f t="shared" si="79"/>
        <v>7</v>
      </c>
      <c r="EM124" s="190">
        <f t="shared" ref="EM124" si="80">EM37+EM38+EM39+EM64+EM65+EM66</f>
        <v>0</v>
      </c>
      <c r="EQ124" s="190">
        <f t="shared" ref="EQ124" si="81">EQ37+EQ38+EQ39+EQ64+EQ65+EQ66</f>
        <v>0</v>
      </c>
      <c r="EU124" s="190">
        <f t="shared" ref="EU124:EX124" si="82">EU37+EU38+EU39+EU64+EU65+EU66</f>
        <v>0</v>
      </c>
      <c r="EV124" s="190">
        <f t="shared" si="82"/>
        <v>0</v>
      </c>
      <c r="EW124" s="190">
        <f t="shared" si="82"/>
        <v>10</v>
      </c>
      <c r="EX124" s="190">
        <f t="shared" si="82"/>
        <v>20</v>
      </c>
      <c r="EZ124" s="190">
        <f t="shared" ref="EZ124:FD124" si="83">EZ37+EZ38+EZ39+EZ64+EZ65+EZ66</f>
        <v>20</v>
      </c>
      <c r="FA124" s="190">
        <f t="shared" si="83"/>
        <v>20</v>
      </c>
      <c r="FB124" s="190"/>
      <c r="FC124" s="190">
        <f t="shared" si="83"/>
        <v>0</v>
      </c>
      <c r="FD124" s="190">
        <f t="shared" si="83"/>
        <v>0</v>
      </c>
      <c r="FE124" s="190"/>
      <c r="FF124" s="190">
        <f t="shared" ref="FF124" si="84">FF37+FF38+FF39+FF64+FF65+FF66</f>
        <v>0</v>
      </c>
      <c r="FG124" s="190"/>
      <c r="FH124" s="190">
        <f t="shared" ref="FH124" si="85">FH37+FH38+FH39+FH64+FH65+FH66</f>
        <v>0</v>
      </c>
      <c r="FK124" s="190"/>
      <c r="FU124" s="92">
        <f t="shared" si="8"/>
        <v>401</v>
      </c>
    </row>
    <row r="125" spans="1:178">
      <c r="E125" s="87" t="s">
        <v>626</v>
      </c>
      <c r="K125" s="190">
        <f t="shared" ref="K125" si="86">K40+K41+K42+K49+K50+K51+K52+K53+K54+K55+K56+K57+K79+K80+K81+K82+K83+K84+K85+K86+K87+K97+K98+K99+K100+K101+K102+K112+K113+K114</f>
        <v>0</v>
      </c>
      <c r="N125" s="190">
        <f t="shared" ref="N125" si="87">N40+N41+N42+N49+N50+N51+N52+N53+N54+N55+N56+N57+N79+N80+N81+N82+N83+N84+N85+N86+N87+N97+N98+N99+N100+N101+N102+N112+N113+N114</f>
        <v>0</v>
      </c>
      <c r="O125" s="190">
        <f t="shared" ref="O125" si="88">O40+O41+O42+O49+O50+O51+O52+O53+O54+O55+O56+O57+O79+O80+O81+O82+O83+O84+O85+O86+O87+O97+O98+O99+O100+O101+O102+O112+O113+O114</f>
        <v>5</v>
      </c>
      <c r="T125" s="190">
        <f t="shared" ref="T125" si="89">T40+T41+T42+T49+T50+T51+T52+T53+T54+T55+T56+T57+T79+T80+T81+T82+T83+T84+T85+T86+T87+T97+T98+T99+T100+T101+T102+T112+T113+T114</f>
        <v>0</v>
      </c>
      <c r="X125" s="190">
        <f t="shared" ref="X125:Y125" si="90">X40+X41+X42+X49+X50+X51+X52+X53+X54+X55+X56+X57+X79+X80+X81+X82+X83+X84+X85+X86+X87+X97+X98+X99+X100+X101+X102+X112+X113+X114</f>
        <v>0</v>
      </c>
      <c r="Y125" s="190">
        <f t="shared" si="90"/>
        <v>0</v>
      </c>
      <c r="AB125" s="190">
        <f>AB40+AB41+AB42+AB49+AB50+AB51+AB52+AB53+AB54+AB55+AB56+AB57+AB79+AB80+AB81+AB82+AB83+AB84+AB85+AB86+AB87+AB97+AB98+AB99+AB100+AB101+AB102+AB112+AB113+AB114</f>
        <v>0</v>
      </c>
      <c r="AD125" s="190">
        <f>AD40+AD41+AD42+AD49+AD50+AD51+AD52+AD53+AD54+AD55+AD56+AD57+AD79+AD80+AD81+AD82+AD83+AD84+AD85+AD86+AD87+AD97+AD98+AD99+AD100+AD101+AD102+AD112+AD113+AD114</f>
        <v>0</v>
      </c>
      <c r="AT125" s="190"/>
      <c r="AU125" s="190">
        <f>AU40+AU41+AU42+AU49+AU50+AU51+AU52+AU53+AU54+AU55+AU56+AU57+AU79+AU80+AU81+AU82+AU83+AU84+AU85+AU86+AU87+AU97+AU98+AU99+AU100+AU101+AU102+AU112+AU113+AU114</f>
        <v>0</v>
      </c>
      <c r="AX125" s="190">
        <f>AX40+AX41+AX42+AX49+AX50+AX51+AX52+AX53+AX54+AX55+AX56+AX57+AX79+AX80+AX81+AX82+AX83+AX84+AX85+AX86+AX87+AX97+AX98+AX99+AX100+AX101+AX102+AX112+AX113+AX114</f>
        <v>0</v>
      </c>
      <c r="BA125" s="190">
        <f>BA40+BA41+BA42+BA49+BA50+BA51+BA52+BA53+BA54+BA55+BA56+BA57+BA79+BA80+BA81+BA82+BA83+BA84+BA85+BA86+BA87+BA97+BA98+BA99+BA100+BA101+BA102+BA112+BA113+BA114</f>
        <v>10</v>
      </c>
      <c r="BD125" s="190">
        <f>BD40+BD41+BD42+BD49+BD50+BD51+BD52+BD53+BD54+BD55+BD56+BD57+BD79+BD80+BD81+BD82+BD83+BD84+BD85+BD86+BD87+BD97+BD98+BD99+BD100+BD101+BD102+BD112+BD113+BD114</f>
        <v>0</v>
      </c>
      <c r="BG125" s="190">
        <f>BG40+BG41+BG42+BG49+BG50+BG51+BG52+BG53+BG54+BG55+BG56+BG57+BG79+BG80+BG81+BG82+BG83+BG84+BG85+BG86+BG87+BG97+BG98+BG99+BG100+BG101+BG102+BG112+BG113+BG114</f>
        <v>0</v>
      </c>
      <c r="BL125" s="190">
        <f t="shared" ref="BL125:BP125" si="91">BL40+BL41+BL42+BL49+BL50+BL51+BL52+BL53+BL54+BL55+BL56+BL57+BL79+BL80+BL81+BL82+BL83+BL84+BL85+BL86+BL87+BL97+BL98+BL99+BL100+BL101+BL102+BL112+BL113+BL114</f>
        <v>0</v>
      </c>
      <c r="BM125" s="190">
        <f t="shared" si="91"/>
        <v>0</v>
      </c>
      <c r="BN125" s="190">
        <f t="shared" si="91"/>
        <v>2</v>
      </c>
      <c r="BO125" s="190">
        <f t="shared" si="91"/>
        <v>9</v>
      </c>
      <c r="BP125" s="190">
        <f t="shared" si="91"/>
        <v>9</v>
      </c>
      <c r="BS125" s="190">
        <f>BS40+BS41+BS42+BS49+BS50+BS51+BS52+BS53+BS54+BS55+BS56+BS57+BS79+BS80+BS81+BS82+BS83+BS84+BS85+BS86+BS87+BS97+BS98+BS99+BS100+BS101+BS102+BS112+BS113+BS114</f>
        <v>5</v>
      </c>
      <c r="BT125" s="190">
        <f>BT40+BT41+BT42+BT49+BT50+BT51+BT52+BT53+BT54+BT55+BT56+BT57+BT79+BT80+BT81+BT82+BT83+BT84+BT85+BT86+BT87+BT97+BT98+BT99+BT100+BT101+BT102+BT112+BT113+BT114</f>
        <v>0</v>
      </c>
      <c r="BW125" s="190">
        <f>BW40+BW41+BW42+BW49+BW50+BW51+BW52+BW53+BW54+BW55+BW56+BW57+BW79+BW80+BW81+BW82+BW83+BW84+BW85+BW86+BW87+BW97+BW98+BW99+BW100+BW101+BW102+BW112+BW113+BW114</f>
        <v>0</v>
      </c>
      <c r="BY125" s="190">
        <f>BY40+BY41+BY42+BY49+BY50+BY51+BY52+BY53+BY54+BY55+BY56+BY57+BY79+BY80+BY81+BY82+BY83+BY84+BY85+BY86+BY87+BY97+BY98+BY99+BY100+BY101+BY102+BY112+BY113+BY114</f>
        <v>4</v>
      </c>
      <c r="CB125" s="190">
        <f>CB40+CB41+CB42+CB49+CB50+CB51+CB52+CB53+CB54+CB55+CB56+CB57+CB79+CB80+CB81+CB82+CB83+CB84+CB85+CB86+CB87+CB97+CB98+CB99+CB100+CB101+CB102+CB112+CB113+CB114</f>
        <v>18</v>
      </c>
      <c r="CD125" s="190">
        <f>CD40+CD41+CD42+CD49+CD50+CD51+CD52+CD53+CD54+CD55+CD56+CD57+CD79+CD80+CD81+CD82+CD83+CD84+CD85+CD86+CD87+CD97+CD98+CD99+CD100+CD101+CD102+CD112+CD113+CD114</f>
        <v>0</v>
      </c>
      <c r="CG125" s="190">
        <f t="shared" ref="CG125:CI125" si="92">CG40+CG41+CG42+CG49+CG50+CG51+CG52+CG53+CG54+CG55+CG56+CG57+CG79+CG80+CG81+CG82+CG83+CG84+CG85+CG86+CG87+CG97+CG98+CG99+CG100+CG101+CG102+CG112+CG113+CG114</f>
        <v>0</v>
      </c>
      <c r="CH125" s="190">
        <f>CH40+CH41+CH42+CH49+CH50+CH51+CH52+CH53+CH54+CH55+CH56+CH57+CH79+CH80+CH81+CH82+CH83+CH84+CH85+CH86+CH87+CH97+CH98+CH99+CH100+CH101+CH102+CH112+CH113+CH114</f>
        <v>5</v>
      </c>
      <c r="CI125" s="190">
        <f t="shared" si="92"/>
        <v>15</v>
      </c>
      <c r="CJ125" s="190">
        <f>CJ40+CJ41+CJ42+CJ49+CJ50+CJ51+CJ52+CJ53+CJ54+CJ55+CJ56+CJ57+CJ79+CJ80+CJ81+CJ82+CJ83+CJ84+CJ85+CJ86+CJ87+CJ97+CJ98+CJ99+CJ100+CJ101+CJ102+CJ112+CJ113+CJ114</f>
        <v>6</v>
      </c>
      <c r="CM125" s="190">
        <f>CM40+CM41+CM42+CM49+CM50+CM51+CM52+CM53+CM54+CM55+CM56+CM57+CM79+CM80+CM81+CM82+CM83+CM84+CM85+CM86+CM87+CM97+CM98+CM99+CM100+CM101+CM102+CM112+CM113+CM114</f>
        <v>10</v>
      </c>
      <c r="CN125" s="190">
        <f t="shared" ref="CN125:CO125" si="93">CN40+CN41+CN42+CN49+CN50+CN51+CN52+CN53+CN54+CN55+CN56+CN57+CN79+CN80+CN81+CN82+CN83+CN84+CN85+CN86+CN87+CN97+CN98+CN99+CN100+CN101+CN102+CN112+CN113+CN114</f>
        <v>0</v>
      </c>
      <c r="CO125" s="190">
        <f t="shared" si="93"/>
        <v>30</v>
      </c>
      <c r="CR125" s="190">
        <f t="shared" ref="CR125" si="94">CR40+CR41+CR42+CR49+CR50+CR51+CR52+CR53+CR54+CR55+CR56+CR57+CR79+CR80+CR81+CR82+CR83+CR84+CR85+CR86+CR87+CR97+CR98+CR99+CR100+CR101+CR102+CR112+CR113+CR114</f>
        <v>0</v>
      </c>
      <c r="CV125" s="190">
        <f t="shared" ref="CV125:CW125" si="95">CV40+CV41+CV42+CV49+CV50+CV51+CV52+CV53+CV54+CV55+CV56+CV57+CV79+CV80+CV81+CV82+CV83+CV84+CV85+CV86+CV87+CV97+CV98+CV99+CV100+CV101+CV102+CV112+CV113+CV114</f>
        <v>25</v>
      </c>
      <c r="CW125" s="190">
        <f t="shared" si="95"/>
        <v>25</v>
      </c>
      <c r="CX125" s="190">
        <f>CX40+CX41+CX42+CX49+CX50+CX51+CX52+CX53+CX54+CX55+CX56+CX57+CX79+CX80+CX81+CX82+CX83+CX84+CX85+CX86+CX87+CX97+CX98+CX99+CX100+CX101+CX102+CX112+CX113+CX114</f>
        <v>50</v>
      </c>
      <c r="CZ125" s="190">
        <f>CZ40+CZ41+CZ42+CZ49+CZ50+CZ51+CZ52+CZ53+CZ54+CZ55+CZ56+CZ57+CZ79+CZ80+CZ81+CZ82+CZ83+CZ84+CZ85+CZ86+CZ87+CZ97+CZ98+CZ99+CZ100+CZ101+CZ102+CZ112+CZ113+CZ114</f>
        <v>20</v>
      </c>
      <c r="DD125" s="190">
        <f>DD40+DD41+DD42+DD49+DD50+DD51+DD52+DD53+DD54+DD55+DD56+DD57+DD79+DD80+DD81+DD82+DD83+DD84+DD85+DD86+DD87+DD97+DD98+DD99+DD100+DD101+DD102+DD112+DD113+DD114</f>
        <v>30</v>
      </c>
      <c r="DF125" s="190">
        <f>DF40+DF41+DF42+DF49+DF50+DF51+DF52+DF53+DF54+DF55+DF56+DF57+DF79+DF80+DF81+DF82+DF83+DF84+DF85+DF86+DF87+DF97+DF98+DF99+DF100+DF101+DF102+DF112+DF113+DF114</f>
        <v>2</v>
      </c>
      <c r="DG125" s="190">
        <f t="shared" ref="DG125" si="96">DG40+DG41+DG42+DG49+DG50+DG51+DG52+DG53+DG54+DG55+DG56+DG57+DG79+DG80+DG81+DG82+DG83+DG84+DG85+DG86+DG87+DG97+DG98+DG99+DG100+DG101+DG102+DG112+DG113+DG114</f>
        <v>8</v>
      </c>
      <c r="DO125" s="190">
        <f t="shared" ref="DO125:DP125" si="97">DO40+DO41+DO42+DO49+DO50+DO51+DO52+DO53+DO54+DO55+DO56+DO57+DO79+DO80+DO81+DO82+DO83+DO84+DO85+DO86+DO87+DO97+DO98+DO99+DO100+DO101+DO102+DO112+DO113+DO114</f>
        <v>40</v>
      </c>
      <c r="DP125" s="190">
        <f t="shared" si="97"/>
        <v>0</v>
      </c>
      <c r="DS125" s="190">
        <f t="shared" ref="DS125" si="98">DS40+DS41+DS42+DS49+DS50+DS51+DS52+DS53+DS54+DS55+DS56+DS57+DS79+DS80+DS81+DS82+DS83+DS84+DS85+DS86+DS87+DS97+DS98+DS99+DS100+DS101+DS102+DS112+DS113+DS114</f>
        <v>0</v>
      </c>
      <c r="DU125" s="190">
        <f>DU40+DU41+DU42+DU49+DU50+DU51+DU52+DU53+DU54+DU55+DU56+DU57+DU79+DU80+DU81+DU82+DU83+DU84+DU85+DU86+DU87+DU97+DU98+DU99+DU100+DU101+DU102+DU112+DU113+DU114</f>
        <v>60</v>
      </c>
      <c r="DW125" s="190">
        <f t="shared" ref="DW125" si="99">DW40+DW41+DW42+DW49+DW50+DW51+DW52+DW53+DW54+DW55+DW56+DW57+DW79+DW80+DW81+DW82+DW83+DW84+DW85+DW86+DW87+DW97+DW98+DW99+DW100+DW101+DW102+DW112+DW113+DW114</f>
        <v>10</v>
      </c>
      <c r="DY125" s="190">
        <f t="shared" ref="DY125" si="100">DY40+DY41+DY42+DY49+DY50+DY51+DY52+DY53+DY54+DY55+DY56+DY57+DY79+DY80+DY81+DY82+DY83+DY84+DY85+DY86+DY87+DY97+DY98+DY99+DY100+DY101+DY102+DY112+DY113+DY114</f>
        <v>0</v>
      </c>
      <c r="EE125" s="190">
        <f t="shared" ref="EE125" si="101">EE40+EE41+EE42+EE49+EE50+EE51+EE52+EE53+EE54+EE55+EE56+EE57+EE79+EE80+EE81+EE82+EE83+EE84+EE85+EE86+EE87+EE97+EE98+EE99+EE100+EE101+EE102+EE112+EE113+EE114</f>
        <v>10</v>
      </c>
      <c r="EG125" s="190">
        <f>EG40+EG41+EG42+EG49+EG50+EG51+EG52+EG53+EG54+EG55+EG56+EG57+EG79+EG80+EG81+EG82+EG83+EG84+EG85+EG86+EG87+EG97+EG98+EG99+EG100+EG101+EG102+EG112+EG113+EG114</f>
        <v>11</v>
      </c>
      <c r="EH125" s="190">
        <f>EH40+EH41+EH42+EH49+EH50+EH51+EH52+EH53+EH54+EH55+EH56+EH57+EH79+EH80+EH81+EH82+EH83+EH84+EH85+EH86+EH87+EH97+EH98+EH99+EH100+EH101+EH102+EH112+EH113+EH114</f>
        <v>9</v>
      </c>
      <c r="EM125" s="190">
        <f>EM40+EM41+EM42+EM49+EM50+EM51+EM52+EM53+EM54+EM55+EM56+EM57+EM79+EM80+EM81+EM82+EM83+EM84+EM85+EM86+EM87+EM97+EM98+EM99+EM100+EM101+EM102+EM112+EM113+EM114</f>
        <v>3</v>
      </c>
      <c r="EQ125" s="190">
        <f>EQ40+EQ41+EQ42+EQ49+EQ50+EQ51+EQ52+EQ53+EQ54+EQ55+EQ56+EQ57+EQ79+EQ80+EQ81+EQ82+EQ83+EQ84+EQ85+EQ86+EQ87+EQ97+EQ98+EQ99+EQ100+EQ101+EQ102+EQ112+EQ113+EQ114</f>
        <v>5</v>
      </c>
      <c r="EU125" s="190">
        <f>EU40+EU41+EU42+EU49+EU50+EU51+EU52+EU53+EU54+EU55+EU56+EU57+EU79+EU80+EU81+EU82+EU83+EU84+EU85+EU86+EU87+EU97+EU98+EU99+EU100+EU101+EU102+EU112+EU113+EU114</f>
        <v>0</v>
      </c>
      <c r="EV125" s="190">
        <f t="shared" ref="EV125:EX125" si="102">EV40+EV41+EV42+EV49+EV50+EV51+EV52+EV53+EV54+EV55+EV56+EV57+EV79+EV80+EV81+EV82+EV83+EV84+EV85+EV86+EV87+EV97+EV98+EV99+EV100+EV101+EV102+EV112+EV113+EV114</f>
        <v>5</v>
      </c>
      <c r="EW125" s="190">
        <f t="shared" si="102"/>
        <v>10</v>
      </c>
      <c r="EX125" s="190">
        <f t="shared" si="102"/>
        <v>30</v>
      </c>
      <c r="EZ125" s="190">
        <f t="shared" ref="EZ125:FD125" si="103">EZ40+EZ41+EZ42+EZ49+EZ50+EZ51+EZ52+EZ53+EZ54+EZ55+EZ56+EZ57+EZ79+EZ80+EZ81+EZ82+EZ83+EZ84+EZ85+EZ86+EZ87+EZ97+EZ98+EZ99+EZ100+EZ101+EZ102+EZ112+EZ113+EZ114</f>
        <v>500</v>
      </c>
      <c r="FA125" s="190">
        <f t="shared" si="103"/>
        <v>0</v>
      </c>
      <c r="FB125" s="190"/>
      <c r="FC125" s="190">
        <f t="shared" si="103"/>
        <v>0</v>
      </c>
      <c r="FD125" s="190">
        <f t="shared" si="103"/>
        <v>0</v>
      </c>
      <c r="FE125" s="190"/>
      <c r="FF125" s="190">
        <f t="shared" ref="FF125" si="104">FF40+FF41+FF42+FF49+FF50+FF51+FF52+FF53+FF54+FF55+FF56+FF57+FF79+FF80+FF81+FF82+FF83+FF84+FF85+FF86+FF87+FF97+FF98+FF99+FF100+FF101+FF102+FF112+FF113+FF114</f>
        <v>500</v>
      </c>
      <c r="FG125" s="190"/>
      <c r="FH125" s="190">
        <f t="shared" ref="FH125" si="105">FH40+FH41+FH42+FH49+FH50+FH51+FH52+FH53+FH54+FH55+FH56+FH57+FH79+FH80+FH81+FH82+FH83+FH84+FH85+FH86+FH87+FH97+FH98+FH99+FH100+FH101+FH102+FH112+FH113+FH114</f>
        <v>475</v>
      </c>
      <c r="FK125" s="190"/>
      <c r="FU125" s="92">
        <f t="shared" si="8"/>
        <v>1956</v>
      </c>
    </row>
    <row r="126" spans="1:178" ht="10.5" thickBot="1">
      <c r="A126" s="189"/>
      <c r="B126" s="189"/>
      <c r="C126" s="189"/>
      <c r="D126" s="189"/>
      <c r="E126" s="89" t="s">
        <v>627</v>
      </c>
      <c r="F126" s="189"/>
      <c r="G126" s="189"/>
      <c r="H126" s="189"/>
      <c r="I126" s="189"/>
      <c r="J126" s="189"/>
      <c r="K126" s="200">
        <f>K73+K74+K75+K76+K77+K78+K94+K95+K96+K106+K107+K108+K115+K116+K117</f>
        <v>0</v>
      </c>
      <c r="L126" s="189"/>
      <c r="M126" s="189"/>
      <c r="N126" s="200">
        <f>N73+N74+N75+N76+N77+N78+N94+N95+N96+N106+N107+N108+N115+N116+N117</f>
        <v>1</v>
      </c>
      <c r="O126" s="200">
        <f>O73+O74+O75+O76+O77+O78+O94+O95+O96+O106+O107+O108+O115+O116+O117</f>
        <v>5</v>
      </c>
      <c r="P126" s="189"/>
      <c r="Q126" s="189"/>
      <c r="R126" s="189"/>
      <c r="S126" s="189"/>
      <c r="T126" s="200">
        <f>T73+T74+T75+T76+T77+T78+T94+T95+T96+T106+T107+T108+T115+T116+T117</f>
        <v>2</v>
      </c>
      <c r="U126" s="189"/>
      <c r="V126" s="189"/>
      <c r="W126" s="189"/>
      <c r="X126" s="200">
        <f>X73+X74+X75+X76+X77+X78+X94+X95+X96+X106+X107+X108+X115+X116+X117</f>
        <v>0</v>
      </c>
      <c r="Y126" s="200">
        <f t="shared" ref="Y126" si="106">Y73+Y74+Y75+Y76+Y77+Y78+Y94+Y95+Y96+Y106+Y107+Y108+Y115+Y116</f>
        <v>10</v>
      </c>
      <c r="Z126" s="189"/>
      <c r="AA126" s="189"/>
      <c r="AB126" s="200">
        <f>AB73+AB74+AB75+AB76+AB77+AB78+AB94+AB95+AB96+AB106+AB107+AB108+AB115+AB116</f>
        <v>10</v>
      </c>
      <c r="AC126" s="189"/>
      <c r="AD126" s="200">
        <f>AD73+AD74+AD75+AD76+AD77+AD78+AD94+AD95+AD96+AD106+AD107+AD108+AD115+AD116</f>
        <v>5</v>
      </c>
      <c r="AE126" s="189"/>
      <c r="AF126" s="189"/>
      <c r="AG126" s="189"/>
      <c r="AH126" s="189"/>
      <c r="AI126" s="189"/>
      <c r="AJ126" s="189"/>
      <c r="AK126" s="189"/>
      <c r="AL126" s="189"/>
      <c r="AM126" s="189"/>
      <c r="AN126" s="189"/>
      <c r="AO126" s="189"/>
      <c r="AP126" s="189"/>
      <c r="AQ126" s="189"/>
      <c r="AR126" s="189"/>
      <c r="AS126" s="189"/>
      <c r="AT126" s="200"/>
      <c r="AU126" s="200">
        <f>AU73+AU74+AU75+AU76+AU77+AU78+AU94+AU95+AU96+AU106+AU107+AU108+AU115+AU116</f>
        <v>1</v>
      </c>
      <c r="AV126" s="189"/>
      <c r="AW126" s="189"/>
      <c r="AX126" s="200">
        <f>AX73+AX74+AX75+AX76+AX77+AX78+AX94+AX95+AX96+AX106+AX107+AX108+AX115+AX116</f>
        <v>0</v>
      </c>
      <c r="AY126" s="189"/>
      <c r="AZ126" s="189"/>
      <c r="BA126" s="200">
        <f>BA73+BA74+BA75+BA76+BA77+BA78+BA94+BA95+BA96+BA106+BA107+BA108+BA115+BA116</f>
        <v>5</v>
      </c>
      <c r="BB126" s="189"/>
      <c r="BC126" s="189"/>
      <c r="BD126" s="200">
        <f>BD73+BD74+BD75+BD76+BD77+BD78+BD94+BD95+BD96+BD106+BD107+BD108+BD115+BD116</f>
        <v>2</v>
      </c>
      <c r="BE126" s="189"/>
      <c r="BF126" s="189"/>
      <c r="BG126" s="200">
        <f>BG73+BG74+BG75+BG76+BG77+BG78+BG94+BG95+BG96+BG106+BG107+BG108+BG115+BG116</f>
        <v>0</v>
      </c>
      <c r="BH126" s="189"/>
      <c r="BI126" s="189"/>
      <c r="BJ126" s="189"/>
      <c r="BK126" s="189"/>
      <c r="BL126" s="200">
        <f t="shared" ref="BL126:BP126" si="107">BL73+BL74+BL75+BL76+BL77+BL78+BL94+BL95+BL96+BL106+BL107+BL108+BL115+BL116</f>
        <v>2</v>
      </c>
      <c r="BM126" s="200">
        <f t="shared" si="107"/>
        <v>0</v>
      </c>
      <c r="BN126" s="200">
        <f t="shared" si="107"/>
        <v>0</v>
      </c>
      <c r="BO126" s="200">
        <f t="shared" si="107"/>
        <v>7</v>
      </c>
      <c r="BP126" s="200">
        <f t="shared" si="107"/>
        <v>7</v>
      </c>
      <c r="BQ126" s="189"/>
      <c r="BR126" s="189"/>
      <c r="BS126" s="200">
        <f>BS73+BS74+BS75+BS76+BS77+BS78+BS94+BS95+BS96+BS106+BS107+BS108+BS115+BS116</f>
        <v>5</v>
      </c>
      <c r="BT126" s="200">
        <f>BT73+BT74+BT75+BT76+BT77+BT78+BT94+BT95+BT96+BT106+BT107+BT108+BT115+BT116</f>
        <v>5</v>
      </c>
      <c r="BU126" s="189"/>
      <c r="BV126" s="189"/>
      <c r="BW126" s="200">
        <f>BW73+BW74+BW75+BW76+BW77+BW78+BW94+BW95+BW96+BW106+BW107+BW108+BW115+BW116</f>
        <v>1</v>
      </c>
      <c r="BX126" s="189"/>
      <c r="BY126" s="200">
        <f>BY73+BY74+BY75+BY76+BY77+BY78+BY94+BY95+BY96+BY106+BY107+BY108+BY115+BY116</f>
        <v>4</v>
      </c>
      <c r="BZ126" s="189"/>
      <c r="CA126" s="189"/>
      <c r="CB126" s="200">
        <f>CB73+CB74+CB75+CB76+CB77+CB78+CB94+CB95+CB96+CB106+CB107+CB108+CB115+CB116</f>
        <v>10</v>
      </c>
      <c r="CC126" s="189"/>
      <c r="CD126" s="200">
        <f>CD73+CD74+CD75+CD76+CD77+CD78+CD94+CD95+CD96+CD106+CD107+CD108+CD115+CD116</f>
        <v>0</v>
      </c>
      <c r="CE126" s="189"/>
      <c r="CF126" s="189"/>
      <c r="CG126" s="200">
        <f t="shared" ref="CG126:CH126" si="108">CG73+CG74+CG75+CG76+CG77+CG78+CG94+CG95+CG96+CG106+CG107+CG108+CG115+CG116</f>
        <v>0</v>
      </c>
      <c r="CH126" s="200">
        <f t="shared" si="108"/>
        <v>4</v>
      </c>
      <c r="CI126" s="200">
        <f>CI73+CI74+CI75+CI76+CI77+CI78+CI94+CI95+CI96+CI106+CI107+CI108+CI115+CI116</f>
        <v>8</v>
      </c>
      <c r="CJ126" s="200">
        <f>CJ73+CJ74+CJ75+CJ76+CJ77+CJ78+CJ94+CJ95+CJ96+CJ106+CJ107+CJ108+CJ115+CJ116</f>
        <v>5</v>
      </c>
      <c r="CK126" s="189"/>
      <c r="CL126" s="189"/>
      <c r="CM126" s="200">
        <f t="shared" ref="CM126:CO126" si="109">CM73+CM74+CM75+CM76+CM77+CM78+CM94+CM95+CM96+CM106+CM107+CM108+CM115+CM116</f>
        <v>5</v>
      </c>
      <c r="CN126" s="200">
        <f t="shared" si="109"/>
        <v>0</v>
      </c>
      <c r="CO126" s="200">
        <f t="shared" si="109"/>
        <v>20</v>
      </c>
      <c r="CP126" s="189"/>
      <c r="CQ126" s="189"/>
      <c r="CR126" s="200">
        <f t="shared" ref="CR126" si="110">CR73+CR74+CR75+CR76+CR77+CR78+CR94+CR95+CR96+CR106+CR107+CR108+CR115+CR116</f>
        <v>0</v>
      </c>
      <c r="CS126" s="189"/>
      <c r="CT126" s="189"/>
      <c r="CU126" s="189"/>
      <c r="CV126" s="200">
        <f t="shared" ref="CV126:CX126" si="111">CV73+CV74+CV75+CV76+CV77+CV78+CV94+CV95+CV96+CV106+CV107+CV108+CV115+CV116</f>
        <v>15</v>
      </c>
      <c r="CW126" s="200">
        <f t="shared" si="111"/>
        <v>20</v>
      </c>
      <c r="CX126" s="200">
        <f t="shared" si="111"/>
        <v>50</v>
      </c>
      <c r="CY126" s="189"/>
      <c r="CZ126" s="200">
        <f t="shared" ref="CZ126" si="112">CZ73+CZ74+CZ75+CZ76+CZ77+CZ78+CZ94+CZ95+CZ96+CZ106+CZ107+CZ108+CZ115+CZ116</f>
        <v>20</v>
      </c>
      <c r="DA126" s="189"/>
      <c r="DB126" s="189"/>
      <c r="DC126" s="189"/>
      <c r="DD126" s="200">
        <f t="shared" ref="DD126:DG126" si="113">DD73+DD74+DD75+DD76+DD77+DD78+DD94+DD95+DD96+DD106+DD107+DD108+DD115+DD116</f>
        <v>20</v>
      </c>
      <c r="DE126" s="189"/>
      <c r="DF126" s="200">
        <f t="shared" si="113"/>
        <v>2</v>
      </c>
      <c r="DG126" s="200">
        <f t="shared" si="113"/>
        <v>6</v>
      </c>
      <c r="DH126" s="189"/>
      <c r="DI126" s="189"/>
      <c r="DJ126" s="189"/>
      <c r="DK126" s="189"/>
      <c r="DL126" s="189"/>
      <c r="DM126" s="189"/>
      <c r="DN126" s="189"/>
      <c r="DO126" s="200">
        <f t="shared" ref="DO126:DP126" si="114">DO73+DO74+DO75+DO76+DO77+DO78+DO94+DO95+DO96+DO106+DO107+DO108+DO115+DO116</f>
        <v>0</v>
      </c>
      <c r="DP126" s="200">
        <f t="shared" si="114"/>
        <v>0</v>
      </c>
      <c r="DQ126" s="189"/>
      <c r="DR126" s="189"/>
      <c r="DS126" s="200">
        <f t="shared" ref="DS126" si="115">DS73+DS74+DS75+DS76+DS77+DS78+DS94+DS95+DS96+DS106+DS107+DS108+DS115+DS116</f>
        <v>0</v>
      </c>
      <c r="DT126" s="189"/>
      <c r="DU126" s="200">
        <f t="shared" ref="DU126" si="116">DU73+DU74+DU75+DU76+DU77+DU78+DU94+DU95+DU96+DU106+DU107+DU108+DU115+DU116</f>
        <v>40</v>
      </c>
      <c r="DV126" s="189"/>
      <c r="DW126" s="200">
        <f t="shared" ref="DW126" si="117">DW73+DW74+DW75+DW76+DW77+DW78+DW94+DW95+DW96+DW106+DW107+DW108+DW115+DW116</f>
        <v>0</v>
      </c>
      <c r="DX126" s="189"/>
      <c r="DY126" s="200">
        <f t="shared" ref="DY126" si="118">DY73+DY74+DY75+DY76+DY77+DY78+DY94+DY95+DY96+DY106+DY107+DY108+DY115+DY116</f>
        <v>4</v>
      </c>
      <c r="DZ126" s="189"/>
      <c r="EA126" s="189"/>
      <c r="EB126" s="189"/>
      <c r="EC126" s="189"/>
      <c r="ED126" s="189"/>
      <c r="EE126" s="200">
        <f t="shared" ref="EE126" si="119">EE73+EE74+EE75+EE76+EE77+EE78+EE94+EE95+EE96+EE106+EE107+EE108+EE115+EE116</f>
        <v>5</v>
      </c>
      <c r="EF126" s="189"/>
      <c r="EG126" s="200">
        <f t="shared" ref="EG126" si="120">EG73+EG74+EG75+EG76+EG77+EG78+EG94+EG95+EG96+EG106+EG107+EG108+EG115+EG116</f>
        <v>7</v>
      </c>
      <c r="EH126" s="200">
        <f>EH73+EH74+EH75+EH76+EH77+EH78+EH94+EH95+EH96+EH106+EH107+EH108+EH115+EH116</f>
        <v>7</v>
      </c>
      <c r="EI126" s="189"/>
      <c r="EJ126" s="189"/>
      <c r="EK126" s="189"/>
      <c r="EL126" s="189"/>
      <c r="EM126" s="200">
        <f>EM73+EM74+EM75+EM76+EM77+EM78+EM94+EM95+EM96+EM106+EM107+EM108+EM115+EM116</f>
        <v>2</v>
      </c>
      <c r="EN126" s="189"/>
      <c r="EO126" s="189"/>
      <c r="EP126" s="189"/>
      <c r="EQ126" s="200">
        <f>EQ73+EQ74+EQ75+EQ76+EQ77+EQ78+EQ94+EQ95+EQ96+EQ106+EQ107+EQ108+EQ115+EQ116</f>
        <v>5</v>
      </c>
      <c r="ER126" s="189"/>
      <c r="ES126" s="189"/>
      <c r="ET126" s="189"/>
      <c r="EU126" s="200">
        <f>EU73+EU74+EU75+EU76+EU77+EU78+EU94+EU95+EU96+EU106+EU107+EU108+EU115+EU116</f>
        <v>5</v>
      </c>
      <c r="EV126" s="200">
        <f t="shared" ref="EV126:EX126" si="121">EV73+EV74+EV75+EV76+EV77+EV78+EV94+EV95+EV96+EV106+EV107+EV108+EV115+EV116</f>
        <v>10</v>
      </c>
      <c r="EW126" s="200">
        <f t="shared" si="121"/>
        <v>30</v>
      </c>
      <c r="EX126" s="200">
        <f t="shared" si="121"/>
        <v>0</v>
      </c>
      <c r="EY126" s="189"/>
      <c r="EZ126" s="200">
        <f t="shared" ref="EZ126:FD126" si="122">EZ73+EZ74+EZ75+EZ76+EZ77+EZ78+EZ94+EZ95+EZ96+EZ106+EZ107+EZ108+EZ115+EZ116</f>
        <v>0</v>
      </c>
      <c r="FA126" s="200">
        <f t="shared" si="122"/>
        <v>0</v>
      </c>
      <c r="FB126" s="200"/>
      <c r="FC126" s="200">
        <f t="shared" si="122"/>
        <v>0</v>
      </c>
      <c r="FD126" s="200">
        <f t="shared" si="122"/>
        <v>2</v>
      </c>
      <c r="FE126" s="200"/>
      <c r="FF126" s="200">
        <f t="shared" ref="FF126" si="123">FF73+FF74+FF75+FF76+FF77+FF78+FF94+FF95+FF96+FF106+FF107+FF108+FF115+FF116</f>
        <v>0</v>
      </c>
      <c r="FG126" s="200"/>
      <c r="FH126" s="200">
        <f t="shared" ref="FH126" si="124">FH73+FH74+FH75+FH76+FH77+FH78+FH94+FH95+FH96+FH106+FH107+FH108+FH115+FH116</f>
        <v>0</v>
      </c>
      <c r="FI126" s="189"/>
      <c r="FJ126" s="189"/>
      <c r="FK126" s="200"/>
      <c r="FL126" s="189"/>
      <c r="FM126" s="189"/>
      <c r="FN126" s="189"/>
      <c r="FO126" s="189"/>
      <c r="FP126" s="189"/>
      <c r="FQ126" s="189"/>
      <c r="FR126" s="189"/>
      <c r="FS126" s="189"/>
      <c r="FT126" s="189"/>
      <c r="FU126" s="189">
        <f t="shared" si="8"/>
        <v>374</v>
      </c>
      <c r="FV126" s="189"/>
    </row>
    <row r="127" spans="1:178" ht="10.5">
      <c r="E127" s="91" t="s">
        <v>628</v>
      </c>
      <c r="K127" s="92">
        <f>SUBTOTAL(9,K122:K126)</f>
        <v>50</v>
      </c>
      <c r="L127" s="92">
        <f t="shared" ref="L127:BW127" si="125">SUBTOTAL(9,L122:L126)</f>
        <v>0</v>
      </c>
      <c r="M127" s="92">
        <f t="shared" si="125"/>
        <v>0</v>
      </c>
      <c r="N127" s="92">
        <f t="shared" si="125"/>
        <v>1</v>
      </c>
      <c r="O127" s="92">
        <f t="shared" si="125"/>
        <v>40</v>
      </c>
      <c r="P127" s="92">
        <f t="shared" si="125"/>
        <v>0</v>
      </c>
      <c r="Q127" s="92">
        <f t="shared" si="125"/>
        <v>0</v>
      </c>
      <c r="R127" s="92">
        <f t="shared" si="125"/>
        <v>0</v>
      </c>
      <c r="S127" s="92">
        <f t="shared" si="125"/>
        <v>0</v>
      </c>
      <c r="T127" s="92">
        <f t="shared" si="125"/>
        <v>7</v>
      </c>
      <c r="U127" s="92">
        <f t="shared" si="125"/>
        <v>0</v>
      </c>
      <c r="V127" s="92">
        <f t="shared" si="125"/>
        <v>0</v>
      </c>
      <c r="W127" s="92">
        <f t="shared" si="125"/>
        <v>0</v>
      </c>
      <c r="X127" s="92">
        <f t="shared" si="125"/>
        <v>80</v>
      </c>
      <c r="Y127" s="92">
        <f t="shared" si="125"/>
        <v>90</v>
      </c>
      <c r="Z127" s="92">
        <f t="shared" si="125"/>
        <v>0</v>
      </c>
      <c r="AA127" s="92">
        <f t="shared" si="125"/>
        <v>0</v>
      </c>
      <c r="AB127" s="92">
        <f t="shared" si="125"/>
        <v>120</v>
      </c>
      <c r="AC127" s="92">
        <f t="shared" si="125"/>
        <v>0</v>
      </c>
      <c r="AD127" s="92">
        <f t="shared" si="125"/>
        <v>25</v>
      </c>
      <c r="AE127" s="92">
        <f t="shared" si="125"/>
        <v>0</v>
      </c>
      <c r="AF127" s="92">
        <f t="shared" si="125"/>
        <v>0</v>
      </c>
      <c r="AG127" s="92">
        <f t="shared" si="125"/>
        <v>0</v>
      </c>
      <c r="AH127" s="92">
        <f t="shared" si="125"/>
        <v>0</v>
      </c>
      <c r="AI127" s="92">
        <f t="shared" si="125"/>
        <v>0</v>
      </c>
      <c r="AJ127" s="92">
        <f t="shared" si="125"/>
        <v>0</v>
      </c>
      <c r="AK127" s="92">
        <f t="shared" si="125"/>
        <v>0</v>
      </c>
      <c r="AL127" s="92">
        <f t="shared" si="125"/>
        <v>0</v>
      </c>
      <c r="AM127" s="92">
        <f t="shared" si="125"/>
        <v>0</v>
      </c>
      <c r="AN127" s="92">
        <f t="shared" si="125"/>
        <v>0</v>
      </c>
      <c r="AO127" s="92">
        <f t="shared" si="125"/>
        <v>0</v>
      </c>
      <c r="AP127" s="92">
        <f t="shared" si="125"/>
        <v>0</v>
      </c>
      <c r="AQ127" s="92">
        <f t="shared" si="125"/>
        <v>0</v>
      </c>
      <c r="AR127" s="92">
        <f t="shared" si="125"/>
        <v>0</v>
      </c>
      <c r="AS127" s="92">
        <f t="shared" si="125"/>
        <v>0</v>
      </c>
      <c r="AT127" s="92">
        <f t="shared" si="125"/>
        <v>0</v>
      </c>
      <c r="AU127" s="92">
        <f t="shared" si="125"/>
        <v>1</v>
      </c>
      <c r="AV127" s="92">
        <f t="shared" si="125"/>
        <v>0</v>
      </c>
      <c r="AW127" s="92">
        <f t="shared" si="125"/>
        <v>0</v>
      </c>
      <c r="AX127" s="92">
        <f t="shared" si="125"/>
        <v>4</v>
      </c>
      <c r="AY127" s="92">
        <f t="shared" si="125"/>
        <v>0</v>
      </c>
      <c r="AZ127" s="92">
        <f t="shared" si="125"/>
        <v>0</v>
      </c>
      <c r="BA127" s="92">
        <f t="shared" si="125"/>
        <v>50</v>
      </c>
      <c r="BB127" s="92">
        <f t="shared" si="125"/>
        <v>0</v>
      </c>
      <c r="BC127" s="92">
        <f t="shared" si="125"/>
        <v>0</v>
      </c>
      <c r="BD127" s="92">
        <f t="shared" si="125"/>
        <v>46</v>
      </c>
      <c r="BE127" s="92">
        <f t="shared" si="125"/>
        <v>0</v>
      </c>
      <c r="BF127" s="92">
        <f t="shared" si="125"/>
        <v>0</v>
      </c>
      <c r="BG127" s="92">
        <f t="shared" si="125"/>
        <v>100</v>
      </c>
      <c r="BH127" s="92">
        <f t="shared" si="125"/>
        <v>0</v>
      </c>
      <c r="BI127" s="92">
        <f t="shared" si="125"/>
        <v>0</v>
      </c>
      <c r="BJ127" s="92">
        <f t="shared" si="125"/>
        <v>0</v>
      </c>
      <c r="BK127" s="92">
        <f t="shared" si="125"/>
        <v>0</v>
      </c>
      <c r="BL127" s="92">
        <f t="shared" si="125"/>
        <v>6</v>
      </c>
      <c r="BM127" s="92">
        <f t="shared" si="125"/>
        <v>10</v>
      </c>
      <c r="BN127" s="92">
        <f t="shared" si="125"/>
        <v>5</v>
      </c>
      <c r="BO127" s="92">
        <f t="shared" si="125"/>
        <v>73</v>
      </c>
      <c r="BP127" s="92">
        <f t="shared" si="125"/>
        <v>80</v>
      </c>
      <c r="BQ127" s="92">
        <f t="shared" si="125"/>
        <v>0</v>
      </c>
      <c r="BR127" s="92">
        <f t="shared" si="125"/>
        <v>0</v>
      </c>
      <c r="BS127" s="92">
        <f t="shared" si="125"/>
        <v>50</v>
      </c>
      <c r="BT127" s="92">
        <f t="shared" si="125"/>
        <v>105</v>
      </c>
      <c r="BU127" s="92">
        <f t="shared" si="125"/>
        <v>0</v>
      </c>
      <c r="BV127" s="92">
        <f t="shared" si="125"/>
        <v>0</v>
      </c>
      <c r="BW127" s="92">
        <f t="shared" si="125"/>
        <v>4</v>
      </c>
      <c r="BX127" s="92">
        <f t="shared" ref="BX127:EI127" si="126">SUBTOTAL(9,BX122:BX126)</f>
        <v>0</v>
      </c>
      <c r="BY127" s="92">
        <f t="shared" si="126"/>
        <v>35</v>
      </c>
      <c r="BZ127" s="92">
        <f t="shared" si="126"/>
        <v>0</v>
      </c>
      <c r="CA127" s="92">
        <f t="shared" si="126"/>
        <v>0</v>
      </c>
      <c r="CB127" s="92">
        <f t="shared" si="126"/>
        <v>140</v>
      </c>
      <c r="CC127" s="92">
        <f t="shared" si="126"/>
        <v>0</v>
      </c>
      <c r="CD127" s="92">
        <f t="shared" si="126"/>
        <v>1</v>
      </c>
      <c r="CE127" s="92">
        <f t="shared" si="126"/>
        <v>0</v>
      </c>
      <c r="CF127" s="92">
        <f t="shared" si="126"/>
        <v>0</v>
      </c>
      <c r="CG127" s="92">
        <f t="shared" si="126"/>
        <v>80</v>
      </c>
      <c r="CH127" s="92">
        <f t="shared" si="126"/>
        <v>50</v>
      </c>
      <c r="CI127" s="92">
        <f t="shared" si="126"/>
        <v>120</v>
      </c>
      <c r="CJ127" s="92">
        <f t="shared" si="126"/>
        <v>50</v>
      </c>
      <c r="CK127" s="92">
        <f t="shared" si="126"/>
        <v>0</v>
      </c>
      <c r="CL127" s="92">
        <f t="shared" si="126"/>
        <v>0</v>
      </c>
      <c r="CM127" s="92">
        <f t="shared" si="126"/>
        <v>100</v>
      </c>
      <c r="CN127" s="92">
        <f t="shared" si="126"/>
        <v>3</v>
      </c>
      <c r="CO127" s="92">
        <f t="shared" si="126"/>
        <v>300</v>
      </c>
      <c r="CP127" s="92">
        <f t="shared" si="126"/>
        <v>0</v>
      </c>
      <c r="CQ127" s="92">
        <f t="shared" si="126"/>
        <v>0</v>
      </c>
      <c r="CR127" s="92">
        <f t="shared" si="126"/>
        <v>2</v>
      </c>
      <c r="CS127" s="92">
        <f t="shared" si="126"/>
        <v>0</v>
      </c>
      <c r="CT127" s="92">
        <f t="shared" si="126"/>
        <v>0</v>
      </c>
      <c r="CU127" s="92">
        <f t="shared" si="126"/>
        <v>0</v>
      </c>
      <c r="CV127" s="92">
        <f t="shared" si="126"/>
        <v>260</v>
      </c>
      <c r="CW127" s="92">
        <f t="shared" si="126"/>
        <v>260</v>
      </c>
      <c r="CX127" s="92">
        <f t="shared" si="126"/>
        <v>520</v>
      </c>
      <c r="CY127" s="92">
        <f t="shared" si="126"/>
        <v>0</v>
      </c>
      <c r="CZ127" s="92">
        <f t="shared" si="126"/>
        <v>260</v>
      </c>
      <c r="DA127" s="92">
        <f t="shared" si="126"/>
        <v>0</v>
      </c>
      <c r="DB127" s="92">
        <f t="shared" si="126"/>
        <v>0</v>
      </c>
      <c r="DC127" s="92">
        <f t="shared" si="126"/>
        <v>0</v>
      </c>
      <c r="DD127" s="92">
        <f t="shared" si="126"/>
        <v>260</v>
      </c>
      <c r="DE127" s="92">
        <f t="shared" si="126"/>
        <v>0</v>
      </c>
      <c r="DF127" s="92">
        <f t="shared" si="126"/>
        <v>20</v>
      </c>
      <c r="DG127" s="92">
        <f t="shared" si="126"/>
        <v>90</v>
      </c>
      <c r="DH127" s="92">
        <f t="shared" si="126"/>
        <v>0</v>
      </c>
      <c r="DI127" s="92">
        <f t="shared" si="126"/>
        <v>0</v>
      </c>
      <c r="DJ127" s="92">
        <f t="shared" si="126"/>
        <v>0</v>
      </c>
      <c r="DK127" s="92">
        <f t="shared" si="126"/>
        <v>0</v>
      </c>
      <c r="DL127" s="92">
        <f t="shared" si="126"/>
        <v>0</v>
      </c>
      <c r="DM127" s="92">
        <f t="shared" si="126"/>
        <v>0</v>
      </c>
      <c r="DN127" s="92">
        <f t="shared" si="126"/>
        <v>0</v>
      </c>
      <c r="DO127" s="92">
        <f t="shared" si="126"/>
        <v>1200</v>
      </c>
      <c r="DP127" s="92">
        <f t="shared" si="126"/>
        <v>5</v>
      </c>
      <c r="DQ127" s="92">
        <f t="shared" si="126"/>
        <v>0</v>
      </c>
      <c r="DR127" s="92">
        <f t="shared" si="126"/>
        <v>0</v>
      </c>
      <c r="DS127" s="92">
        <f t="shared" si="126"/>
        <v>10</v>
      </c>
      <c r="DT127" s="92">
        <f t="shared" si="126"/>
        <v>0</v>
      </c>
      <c r="DU127" s="92">
        <f t="shared" si="126"/>
        <v>630</v>
      </c>
      <c r="DV127" s="92">
        <f t="shared" si="126"/>
        <v>0</v>
      </c>
      <c r="DW127" s="92">
        <f t="shared" si="126"/>
        <v>10</v>
      </c>
      <c r="DX127" s="92">
        <f t="shared" si="126"/>
        <v>0</v>
      </c>
      <c r="DY127" s="92">
        <f t="shared" si="126"/>
        <v>20</v>
      </c>
      <c r="DZ127" s="92">
        <f t="shared" si="126"/>
        <v>0</v>
      </c>
      <c r="EA127" s="92">
        <f t="shared" si="126"/>
        <v>0</v>
      </c>
      <c r="EB127" s="92">
        <f t="shared" si="126"/>
        <v>0</v>
      </c>
      <c r="EC127" s="92">
        <f t="shared" si="126"/>
        <v>0</v>
      </c>
      <c r="ED127" s="92">
        <f t="shared" si="126"/>
        <v>0</v>
      </c>
      <c r="EE127" s="92">
        <f t="shared" si="126"/>
        <v>40</v>
      </c>
      <c r="EF127" s="92">
        <f t="shared" si="126"/>
        <v>0</v>
      </c>
      <c r="EG127" s="92">
        <f t="shared" si="126"/>
        <v>90</v>
      </c>
      <c r="EH127" s="92">
        <f t="shared" si="126"/>
        <v>90</v>
      </c>
      <c r="EI127" s="92">
        <f t="shared" si="126"/>
        <v>0</v>
      </c>
      <c r="EJ127" s="92">
        <f t="shared" ref="EJ127:FO127" si="127">SUBTOTAL(9,EJ122:EJ126)</f>
        <v>0</v>
      </c>
      <c r="EK127" s="92">
        <f t="shared" si="127"/>
        <v>0</v>
      </c>
      <c r="EL127" s="92">
        <f t="shared" si="127"/>
        <v>0</v>
      </c>
      <c r="EM127" s="92">
        <f t="shared" si="127"/>
        <v>7</v>
      </c>
      <c r="EN127" s="92">
        <f t="shared" si="127"/>
        <v>0</v>
      </c>
      <c r="EO127" s="92">
        <f t="shared" si="127"/>
        <v>0</v>
      </c>
      <c r="EP127" s="92">
        <f t="shared" si="127"/>
        <v>0</v>
      </c>
      <c r="EQ127" s="92">
        <f t="shared" si="127"/>
        <v>60</v>
      </c>
      <c r="ER127" s="92">
        <f t="shared" si="127"/>
        <v>0</v>
      </c>
      <c r="ES127" s="92">
        <f t="shared" si="127"/>
        <v>0</v>
      </c>
      <c r="ET127" s="92">
        <f t="shared" si="127"/>
        <v>0</v>
      </c>
      <c r="EU127" s="92">
        <f t="shared" si="127"/>
        <v>5</v>
      </c>
      <c r="EV127" s="92">
        <f t="shared" si="127"/>
        <v>40</v>
      </c>
      <c r="EW127" s="92">
        <f t="shared" si="127"/>
        <v>280</v>
      </c>
      <c r="EX127" s="92">
        <f t="shared" si="127"/>
        <v>160</v>
      </c>
      <c r="EY127" s="92">
        <f t="shared" si="127"/>
        <v>0</v>
      </c>
      <c r="EZ127" s="92">
        <f t="shared" si="127"/>
        <v>560</v>
      </c>
      <c r="FA127" s="92">
        <f t="shared" si="127"/>
        <v>520</v>
      </c>
      <c r="FB127" s="92">
        <f t="shared" si="127"/>
        <v>0</v>
      </c>
      <c r="FC127" s="92">
        <f t="shared" si="127"/>
        <v>500</v>
      </c>
      <c r="FD127" s="92">
        <f t="shared" si="127"/>
        <v>2</v>
      </c>
      <c r="FE127" s="92">
        <f t="shared" si="127"/>
        <v>0</v>
      </c>
      <c r="FF127" s="92">
        <f t="shared" si="127"/>
        <v>500</v>
      </c>
      <c r="FG127" s="92">
        <f t="shared" si="127"/>
        <v>0</v>
      </c>
      <c r="FH127" s="92">
        <f t="shared" si="127"/>
        <v>475</v>
      </c>
      <c r="FI127" s="92">
        <f t="shared" si="127"/>
        <v>0</v>
      </c>
      <c r="FJ127" s="92">
        <f t="shared" si="127"/>
        <v>0</v>
      </c>
      <c r="FK127" s="92">
        <f t="shared" si="127"/>
        <v>0</v>
      </c>
      <c r="FL127" s="92">
        <f t="shared" si="127"/>
        <v>0</v>
      </c>
      <c r="FM127" s="92">
        <f t="shared" si="127"/>
        <v>0</v>
      </c>
      <c r="FN127" s="92">
        <f t="shared" si="127"/>
        <v>0</v>
      </c>
      <c r="FO127" s="92">
        <f t="shared" si="127"/>
        <v>0</v>
      </c>
      <c r="FU127" s="92">
        <f t="shared" si="8"/>
        <v>8702</v>
      </c>
    </row>
    <row r="129" spans="11:171">
      <c r="K129" s="190">
        <f>K119+K118+K120-K127</f>
        <v>0</v>
      </c>
      <c r="L129" s="190">
        <f t="shared" ref="L129:BW129" si="128">L119+L118+L120-L127</f>
        <v>0</v>
      </c>
      <c r="M129" s="190">
        <f t="shared" si="128"/>
        <v>0</v>
      </c>
      <c r="N129" s="190">
        <f t="shared" si="128"/>
        <v>0</v>
      </c>
      <c r="O129" s="190">
        <f t="shared" si="128"/>
        <v>0</v>
      </c>
      <c r="P129" s="190">
        <f t="shared" si="128"/>
        <v>0</v>
      </c>
      <c r="Q129" s="190">
        <f t="shared" si="128"/>
        <v>0</v>
      </c>
      <c r="R129" s="190">
        <f t="shared" si="128"/>
        <v>0</v>
      </c>
      <c r="S129" s="190">
        <f t="shared" si="128"/>
        <v>0</v>
      </c>
      <c r="T129" s="190">
        <f t="shared" si="128"/>
        <v>0</v>
      </c>
      <c r="U129" s="190">
        <f t="shared" si="128"/>
        <v>0</v>
      </c>
      <c r="V129" s="190">
        <f t="shared" si="128"/>
        <v>0</v>
      </c>
      <c r="W129" s="190">
        <f t="shared" si="128"/>
        <v>0</v>
      </c>
      <c r="X129" s="190">
        <f t="shared" si="128"/>
        <v>0</v>
      </c>
      <c r="Y129" s="190">
        <f t="shared" si="128"/>
        <v>0</v>
      </c>
      <c r="Z129" s="190">
        <f t="shared" si="128"/>
        <v>0</v>
      </c>
      <c r="AA129" s="190">
        <f t="shared" si="128"/>
        <v>0</v>
      </c>
      <c r="AB129" s="190">
        <f t="shared" si="128"/>
        <v>0</v>
      </c>
      <c r="AC129" s="190">
        <f t="shared" si="128"/>
        <v>0</v>
      </c>
      <c r="AD129" s="190">
        <f t="shared" si="128"/>
        <v>0</v>
      </c>
      <c r="AE129" s="190">
        <f t="shared" si="128"/>
        <v>0</v>
      </c>
      <c r="AF129" s="190">
        <f t="shared" si="128"/>
        <v>0</v>
      </c>
      <c r="AG129" s="190">
        <f t="shared" si="128"/>
        <v>0</v>
      </c>
      <c r="AH129" s="190">
        <f t="shared" si="128"/>
        <v>0</v>
      </c>
      <c r="AI129" s="190">
        <f t="shared" si="128"/>
        <v>0</v>
      </c>
      <c r="AJ129" s="190">
        <f t="shared" si="128"/>
        <v>0</v>
      </c>
      <c r="AK129" s="190">
        <f t="shared" si="128"/>
        <v>0</v>
      </c>
      <c r="AL129" s="190">
        <f t="shared" si="128"/>
        <v>0</v>
      </c>
      <c r="AM129" s="190">
        <f t="shared" si="128"/>
        <v>0</v>
      </c>
      <c r="AN129" s="190">
        <f t="shared" si="128"/>
        <v>0</v>
      </c>
      <c r="AO129" s="190">
        <f t="shared" si="128"/>
        <v>0</v>
      </c>
      <c r="AP129" s="190">
        <f t="shared" si="128"/>
        <v>0</v>
      </c>
      <c r="AQ129" s="190">
        <f t="shared" si="128"/>
        <v>0</v>
      </c>
      <c r="AR129" s="190">
        <f t="shared" si="128"/>
        <v>0</v>
      </c>
      <c r="AS129" s="190">
        <f t="shared" si="128"/>
        <v>0</v>
      </c>
      <c r="AT129" s="190">
        <f t="shared" si="128"/>
        <v>0</v>
      </c>
      <c r="AU129" s="190">
        <f t="shared" si="128"/>
        <v>0</v>
      </c>
      <c r="AV129" s="190">
        <f t="shared" si="128"/>
        <v>0</v>
      </c>
      <c r="AW129" s="190">
        <f t="shared" si="128"/>
        <v>0</v>
      </c>
      <c r="AX129" s="190">
        <f t="shared" si="128"/>
        <v>0</v>
      </c>
      <c r="AY129" s="190">
        <f t="shared" si="128"/>
        <v>0</v>
      </c>
      <c r="AZ129" s="190">
        <f t="shared" si="128"/>
        <v>0</v>
      </c>
      <c r="BA129" s="190">
        <f t="shared" si="128"/>
        <v>0</v>
      </c>
      <c r="BB129" s="190">
        <f t="shared" si="128"/>
        <v>0</v>
      </c>
      <c r="BC129" s="190">
        <f t="shared" si="128"/>
        <v>0</v>
      </c>
      <c r="BD129" s="190">
        <f t="shared" si="128"/>
        <v>0</v>
      </c>
      <c r="BE129" s="190">
        <f t="shared" si="128"/>
        <v>0</v>
      </c>
      <c r="BF129" s="190">
        <f t="shared" si="128"/>
        <v>0</v>
      </c>
      <c r="BG129" s="190">
        <f t="shared" si="128"/>
        <v>0</v>
      </c>
      <c r="BH129" s="190">
        <f t="shared" si="128"/>
        <v>0</v>
      </c>
      <c r="BI129" s="190">
        <f t="shared" si="128"/>
        <v>0</v>
      </c>
      <c r="BJ129" s="190">
        <f t="shared" si="128"/>
        <v>0</v>
      </c>
      <c r="BK129" s="190">
        <f t="shared" si="128"/>
        <v>0</v>
      </c>
      <c r="BL129" s="190">
        <f t="shared" si="128"/>
        <v>0</v>
      </c>
      <c r="BM129" s="190">
        <f t="shared" si="128"/>
        <v>0</v>
      </c>
      <c r="BN129" s="190">
        <f t="shared" si="128"/>
        <v>0</v>
      </c>
      <c r="BO129" s="190">
        <f t="shared" si="128"/>
        <v>0</v>
      </c>
      <c r="BP129" s="190">
        <f t="shared" si="128"/>
        <v>0</v>
      </c>
      <c r="BQ129" s="190">
        <f t="shared" si="128"/>
        <v>0</v>
      </c>
      <c r="BR129" s="190">
        <f t="shared" si="128"/>
        <v>0</v>
      </c>
      <c r="BS129" s="190">
        <f t="shared" si="128"/>
        <v>0</v>
      </c>
      <c r="BT129" s="190">
        <f t="shared" si="128"/>
        <v>0</v>
      </c>
      <c r="BU129" s="190">
        <f t="shared" si="128"/>
        <v>0</v>
      </c>
      <c r="BV129" s="190">
        <f t="shared" si="128"/>
        <v>0</v>
      </c>
      <c r="BW129" s="190">
        <f t="shared" si="128"/>
        <v>0</v>
      </c>
      <c r="BX129" s="190">
        <f t="shared" ref="BX129:EI129" si="129">BX119+BX118+BX120-BX127</f>
        <v>0</v>
      </c>
      <c r="BY129" s="190">
        <f t="shared" si="129"/>
        <v>0</v>
      </c>
      <c r="BZ129" s="190">
        <f t="shared" si="129"/>
        <v>0</v>
      </c>
      <c r="CA129" s="190">
        <f t="shared" si="129"/>
        <v>0</v>
      </c>
      <c r="CB129" s="190">
        <f t="shared" si="129"/>
        <v>0</v>
      </c>
      <c r="CC129" s="190">
        <f t="shared" si="129"/>
        <v>0</v>
      </c>
      <c r="CD129" s="190">
        <f t="shared" si="129"/>
        <v>0</v>
      </c>
      <c r="CE129" s="190">
        <f t="shared" si="129"/>
        <v>0</v>
      </c>
      <c r="CF129" s="190">
        <f t="shared" si="129"/>
        <v>0</v>
      </c>
      <c r="CG129" s="190">
        <f t="shared" si="129"/>
        <v>0</v>
      </c>
      <c r="CH129" s="190">
        <f t="shared" si="129"/>
        <v>0</v>
      </c>
      <c r="CI129" s="190">
        <f t="shared" si="129"/>
        <v>0</v>
      </c>
      <c r="CJ129" s="190">
        <f t="shared" si="129"/>
        <v>0</v>
      </c>
      <c r="CK129" s="190">
        <f t="shared" si="129"/>
        <v>0</v>
      </c>
      <c r="CL129" s="190">
        <f t="shared" si="129"/>
        <v>0</v>
      </c>
      <c r="CM129" s="190">
        <f t="shared" si="129"/>
        <v>0</v>
      </c>
      <c r="CN129" s="190">
        <f t="shared" si="129"/>
        <v>0</v>
      </c>
      <c r="CO129" s="190">
        <f t="shared" si="129"/>
        <v>0</v>
      </c>
      <c r="CP129" s="190">
        <f t="shared" si="129"/>
        <v>0</v>
      </c>
      <c r="CQ129" s="190">
        <f t="shared" si="129"/>
        <v>0</v>
      </c>
      <c r="CR129" s="190">
        <f t="shared" si="129"/>
        <v>0</v>
      </c>
      <c r="CS129" s="190">
        <f t="shared" si="129"/>
        <v>0</v>
      </c>
      <c r="CT129" s="190">
        <f t="shared" si="129"/>
        <v>0</v>
      </c>
      <c r="CU129" s="190">
        <f t="shared" si="129"/>
        <v>0</v>
      </c>
      <c r="CV129" s="190">
        <f t="shared" si="129"/>
        <v>0</v>
      </c>
      <c r="CW129" s="190">
        <f t="shared" si="129"/>
        <v>0</v>
      </c>
      <c r="CX129" s="190">
        <f t="shared" si="129"/>
        <v>0</v>
      </c>
      <c r="CY129" s="190">
        <f t="shared" si="129"/>
        <v>0</v>
      </c>
      <c r="CZ129" s="190">
        <f t="shared" si="129"/>
        <v>0</v>
      </c>
      <c r="DA129" s="190">
        <f t="shared" si="129"/>
        <v>0</v>
      </c>
      <c r="DB129" s="190">
        <f t="shared" si="129"/>
        <v>0</v>
      </c>
      <c r="DC129" s="190">
        <f t="shared" si="129"/>
        <v>0</v>
      </c>
      <c r="DD129" s="190">
        <f t="shared" si="129"/>
        <v>0</v>
      </c>
      <c r="DE129" s="190">
        <f t="shared" si="129"/>
        <v>0</v>
      </c>
      <c r="DF129" s="190">
        <f t="shared" si="129"/>
        <v>0</v>
      </c>
      <c r="DG129" s="190">
        <f t="shared" si="129"/>
        <v>0</v>
      </c>
      <c r="DH129" s="190">
        <f t="shared" si="129"/>
        <v>0</v>
      </c>
      <c r="DI129" s="190">
        <f t="shared" si="129"/>
        <v>0</v>
      </c>
      <c r="DJ129" s="190">
        <f t="shared" si="129"/>
        <v>0</v>
      </c>
      <c r="DK129" s="190">
        <f t="shared" si="129"/>
        <v>0</v>
      </c>
      <c r="DL129" s="190">
        <f t="shared" si="129"/>
        <v>0</v>
      </c>
      <c r="DM129" s="190">
        <f t="shared" si="129"/>
        <v>0</v>
      </c>
      <c r="DN129" s="190">
        <f t="shared" si="129"/>
        <v>0</v>
      </c>
      <c r="DO129" s="190">
        <f t="shared" si="129"/>
        <v>0</v>
      </c>
      <c r="DP129" s="190">
        <f t="shared" si="129"/>
        <v>0</v>
      </c>
      <c r="DQ129" s="190">
        <f t="shared" si="129"/>
        <v>0</v>
      </c>
      <c r="DR129" s="190">
        <f t="shared" si="129"/>
        <v>0</v>
      </c>
      <c r="DS129" s="190">
        <f t="shared" si="129"/>
        <v>0</v>
      </c>
      <c r="DT129" s="190">
        <f t="shared" si="129"/>
        <v>0</v>
      </c>
      <c r="DU129" s="190">
        <f t="shared" si="129"/>
        <v>0</v>
      </c>
      <c r="DV129" s="190">
        <f t="shared" si="129"/>
        <v>0</v>
      </c>
      <c r="DW129" s="190">
        <f t="shared" si="129"/>
        <v>0</v>
      </c>
      <c r="DX129" s="190">
        <f t="shared" si="129"/>
        <v>0</v>
      </c>
      <c r="DY129" s="190">
        <f t="shared" si="129"/>
        <v>0</v>
      </c>
      <c r="DZ129" s="190">
        <f t="shared" si="129"/>
        <v>0</v>
      </c>
      <c r="EA129" s="190">
        <f t="shared" si="129"/>
        <v>0</v>
      </c>
      <c r="EB129" s="190">
        <f t="shared" si="129"/>
        <v>0</v>
      </c>
      <c r="EC129" s="190">
        <f t="shared" si="129"/>
        <v>0</v>
      </c>
      <c r="ED129" s="190">
        <f t="shared" si="129"/>
        <v>0</v>
      </c>
      <c r="EE129" s="190">
        <f t="shared" si="129"/>
        <v>0</v>
      </c>
      <c r="EF129" s="190">
        <f t="shared" si="129"/>
        <v>0</v>
      </c>
      <c r="EG129" s="190">
        <f t="shared" si="129"/>
        <v>0</v>
      </c>
      <c r="EH129" s="190">
        <f t="shared" si="129"/>
        <v>0</v>
      </c>
      <c r="EI129" s="190">
        <f t="shared" si="129"/>
        <v>0</v>
      </c>
      <c r="EJ129" s="190">
        <f t="shared" ref="EJ129:FO129" si="130">EJ119+EJ118+EJ120-EJ127</f>
        <v>0</v>
      </c>
      <c r="EK129" s="190">
        <f t="shared" si="130"/>
        <v>0</v>
      </c>
      <c r="EL129" s="190">
        <f t="shared" si="130"/>
        <v>0</v>
      </c>
      <c r="EM129" s="190">
        <f t="shared" si="130"/>
        <v>0</v>
      </c>
      <c r="EN129" s="190">
        <f t="shared" si="130"/>
        <v>0</v>
      </c>
      <c r="EO129" s="190">
        <f t="shared" si="130"/>
        <v>0</v>
      </c>
      <c r="EP129" s="190">
        <f t="shared" si="130"/>
        <v>0</v>
      </c>
      <c r="EQ129" s="190">
        <f t="shared" si="130"/>
        <v>0</v>
      </c>
      <c r="ER129" s="190">
        <f t="shared" si="130"/>
        <v>0</v>
      </c>
      <c r="ES129" s="190">
        <f t="shared" si="130"/>
        <v>0</v>
      </c>
      <c r="ET129" s="190">
        <f t="shared" si="130"/>
        <v>0</v>
      </c>
      <c r="EU129" s="190">
        <f t="shared" si="130"/>
        <v>0</v>
      </c>
      <c r="EV129" s="190">
        <f t="shared" si="130"/>
        <v>0</v>
      </c>
      <c r="EW129" s="190">
        <f t="shared" si="130"/>
        <v>0</v>
      </c>
      <c r="EX129" s="190">
        <f t="shared" si="130"/>
        <v>0</v>
      </c>
      <c r="EY129" s="190">
        <f t="shared" si="130"/>
        <v>0</v>
      </c>
      <c r="EZ129" s="190">
        <f t="shared" si="130"/>
        <v>0</v>
      </c>
      <c r="FA129" s="190">
        <f t="shared" si="130"/>
        <v>0</v>
      </c>
      <c r="FB129" s="190">
        <f t="shared" si="130"/>
        <v>0</v>
      </c>
      <c r="FC129" s="190">
        <f t="shared" si="130"/>
        <v>0</v>
      </c>
      <c r="FD129" s="190">
        <f t="shared" si="130"/>
        <v>0</v>
      </c>
      <c r="FE129" s="190">
        <f t="shared" si="130"/>
        <v>0</v>
      </c>
      <c r="FF129" s="190">
        <f t="shared" si="130"/>
        <v>0</v>
      </c>
      <c r="FG129" s="190">
        <f t="shared" si="130"/>
        <v>0</v>
      </c>
      <c r="FH129" s="190">
        <f t="shared" si="130"/>
        <v>0</v>
      </c>
      <c r="FI129" s="190">
        <f t="shared" si="130"/>
        <v>0</v>
      </c>
      <c r="FJ129" s="190">
        <f t="shared" si="130"/>
        <v>0</v>
      </c>
      <c r="FK129" s="190">
        <f t="shared" si="130"/>
        <v>0</v>
      </c>
      <c r="FL129" s="190">
        <f t="shared" si="130"/>
        <v>0</v>
      </c>
      <c r="FM129" s="190">
        <f t="shared" si="130"/>
        <v>0</v>
      </c>
      <c r="FN129" s="190">
        <f t="shared" si="130"/>
        <v>0</v>
      </c>
      <c r="FO129" s="190">
        <f t="shared" si="130"/>
        <v>0</v>
      </c>
    </row>
  </sheetData>
  <autoFilter ref="A6:FV120" xr:uid="{00000000-0009-0000-0000-000004000000}">
    <filterColumn colId="2">
      <filters>
        <filter val="UA1J"/>
        <filter val="UA1K"/>
      </filters>
    </filterColumn>
  </autoFilter>
  <phoneticPr fontId="3" type="noConversion"/>
  <conditionalFormatting sqref="F5:F6">
    <cfRule type="cellIs" dxfId="708" priority="223" stopIfTrue="1" operator="equal">
      <formula>"E7"</formula>
    </cfRule>
    <cfRule type="cellIs" dxfId="707" priority="224" stopIfTrue="1" operator="equal">
      <formula>"E7A"</formula>
    </cfRule>
  </conditionalFormatting>
  <conditionalFormatting sqref="F7">
    <cfRule type="cellIs" dxfId="706" priority="221" stopIfTrue="1" operator="equal">
      <formula>"E7"</formula>
    </cfRule>
    <cfRule type="cellIs" dxfId="705" priority="222" stopIfTrue="1" operator="equal">
      <formula>"E7A"</formula>
    </cfRule>
  </conditionalFormatting>
  <conditionalFormatting sqref="F10">
    <cfRule type="cellIs" dxfId="704" priority="219" stopIfTrue="1" operator="equal">
      <formula>"E7"</formula>
    </cfRule>
    <cfRule type="cellIs" dxfId="703" priority="220" stopIfTrue="1" operator="equal">
      <formula>"E7A"</formula>
    </cfRule>
  </conditionalFormatting>
  <conditionalFormatting sqref="F67">
    <cfRule type="cellIs" dxfId="702" priority="217" stopIfTrue="1" operator="equal">
      <formula>"E7"</formula>
    </cfRule>
    <cfRule type="cellIs" dxfId="701" priority="218" stopIfTrue="1" operator="equal">
      <formula>"E7A"</formula>
    </cfRule>
  </conditionalFormatting>
  <conditionalFormatting sqref="F13">
    <cfRule type="cellIs" dxfId="700" priority="213" stopIfTrue="1" operator="equal">
      <formula>"E7"</formula>
    </cfRule>
    <cfRule type="cellIs" dxfId="699" priority="214" stopIfTrue="1" operator="equal">
      <formula>"E7A"</formula>
    </cfRule>
  </conditionalFormatting>
  <conditionalFormatting sqref="F64">
    <cfRule type="cellIs" dxfId="698" priority="215" stopIfTrue="1" operator="equal">
      <formula>"E7"</formula>
    </cfRule>
    <cfRule type="cellIs" dxfId="697" priority="216" stopIfTrue="1" operator="equal">
      <formula>"E7A"</formula>
    </cfRule>
  </conditionalFormatting>
  <conditionalFormatting sqref="F28">
    <cfRule type="cellIs" dxfId="696" priority="211" stopIfTrue="1" operator="equal">
      <formula>"E7"</formula>
    </cfRule>
    <cfRule type="cellIs" dxfId="695" priority="212" stopIfTrue="1" operator="equal">
      <formula>"E7A"</formula>
    </cfRule>
  </conditionalFormatting>
  <conditionalFormatting sqref="F70">
    <cfRule type="cellIs" dxfId="694" priority="209" stopIfTrue="1" operator="equal">
      <formula>"E7"</formula>
    </cfRule>
    <cfRule type="cellIs" dxfId="693" priority="210" stopIfTrue="1" operator="equal">
      <formula>"E7A"</formula>
    </cfRule>
  </conditionalFormatting>
  <conditionalFormatting sqref="B7 B94 B16 B115 B19 B22 B25">
    <cfRule type="expression" dxfId="692" priority="208">
      <formula>$B7="A"</formula>
    </cfRule>
  </conditionalFormatting>
  <conditionalFormatting sqref="B10 B28 B64 B13 B67 B70">
    <cfRule type="expression" dxfId="691" priority="207">
      <formula>$B10="A"</formula>
    </cfRule>
  </conditionalFormatting>
  <conditionalFormatting sqref="H6:AZ6 BB6:CD6 CF6:CL6 CN6 CP6:DN6 DP6 EF6:EL6 EN6:FO6">
    <cfRule type="expression" dxfId="690" priority="173">
      <formula>H318=0</formula>
    </cfRule>
  </conditionalFormatting>
  <conditionalFormatting sqref="F94">
    <cfRule type="cellIs" dxfId="689" priority="205" stopIfTrue="1" operator="equal">
      <formula>"E7"</formula>
    </cfRule>
    <cfRule type="cellIs" dxfId="688" priority="206" stopIfTrue="1" operator="equal">
      <formula>"E7A"</formula>
    </cfRule>
  </conditionalFormatting>
  <conditionalFormatting sqref="F115">
    <cfRule type="cellIs" dxfId="687" priority="203" stopIfTrue="1" operator="equal">
      <formula>"E7"</formula>
    </cfRule>
    <cfRule type="cellIs" dxfId="686" priority="204" stopIfTrue="1" operator="equal">
      <formula>"E7A"</formula>
    </cfRule>
  </conditionalFormatting>
  <conditionalFormatting sqref="F106">
    <cfRule type="cellIs" dxfId="685" priority="201" stopIfTrue="1" operator="equal">
      <formula>"E7"</formula>
    </cfRule>
    <cfRule type="cellIs" dxfId="684" priority="202" stopIfTrue="1" operator="equal">
      <formula>"E7A"</formula>
    </cfRule>
  </conditionalFormatting>
  <conditionalFormatting sqref="F109">
    <cfRule type="cellIs" dxfId="683" priority="199" stopIfTrue="1" operator="equal">
      <formula>"E7"</formula>
    </cfRule>
    <cfRule type="cellIs" dxfId="682" priority="200" stopIfTrue="1" operator="equal">
      <formula>"E7A"</formula>
    </cfRule>
  </conditionalFormatting>
  <conditionalFormatting sqref="F112">
    <cfRule type="cellIs" dxfId="681" priority="197" stopIfTrue="1" operator="equal">
      <formula>"E7"</formula>
    </cfRule>
    <cfRule type="cellIs" dxfId="680" priority="198" stopIfTrue="1" operator="equal">
      <formula>"E7A"</formula>
    </cfRule>
  </conditionalFormatting>
  <conditionalFormatting sqref="B97 B100 B103 B106 B109 B112">
    <cfRule type="expression" dxfId="679" priority="196">
      <formula>$B97="A"</formula>
    </cfRule>
  </conditionalFormatting>
  <conditionalFormatting sqref="F97">
    <cfRule type="cellIs" dxfId="678" priority="194" stopIfTrue="1" operator="equal">
      <formula>"E7"</formula>
    </cfRule>
    <cfRule type="cellIs" dxfId="677" priority="195" stopIfTrue="1" operator="equal">
      <formula>"E7A"</formula>
    </cfRule>
  </conditionalFormatting>
  <conditionalFormatting sqref="F100">
    <cfRule type="cellIs" dxfId="676" priority="192" stopIfTrue="1" operator="equal">
      <formula>"E7"</formula>
    </cfRule>
    <cfRule type="cellIs" dxfId="675" priority="193" stopIfTrue="1" operator="equal">
      <formula>"E7A"</formula>
    </cfRule>
  </conditionalFormatting>
  <conditionalFormatting sqref="F103">
    <cfRule type="cellIs" dxfId="674" priority="190" stopIfTrue="1" operator="equal">
      <formula>"E7"</formula>
    </cfRule>
    <cfRule type="cellIs" dxfId="673" priority="191" stopIfTrue="1" operator="equal">
      <formula>"E7A"</formula>
    </cfRule>
  </conditionalFormatting>
  <conditionalFormatting sqref="B73">
    <cfRule type="expression" dxfId="672" priority="189">
      <formula>$B73="A"</formula>
    </cfRule>
  </conditionalFormatting>
  <conditionalFormatting sqref="F73">
    <cfRule type="cellIs" dxfId="671" priority="187" stopIfTrue="1" operator="equal">
      <formula>"E7"</formula>
    </cfRule>
    <cfRule type="cellIs" dxfId="670" priority="188" stopIfTrue="1" operator="equal">
      <formula>"E7A"</formula>
    </cfRule>
  </conditionalFormatting>
  <conditionalFormatting sqref="F85">
    <cfRule type="cellIs" dxfId="669" priority="185" stopIfTrue="1" operator="equal">
      <formula>"E7"</formula>
    </cfRule>
    <cfRule type="cellIs" dxfId="668" priority="186" stopIfTrue="1" operator="equal">
      <formula>"E7A"</formula>
    </cfRule>
  </conditionalFormatting>
  <conditionalFormatting sqref="F88">
    <cfRule type="cellIs" dxfId="667" priority="183" stopIfTrue="1" operator="equal">
      <formula>"E7"</formula>
    </cfRule>
    <cfRule type="cellIs" dxfId="666" priority="184" stopIfTrue="1" operator="equal">
      <formula>"E7A"</formula>
    </cfRule>
  </conditionalFormatting>
  <conditionalFormatting sqref="F91">
    <cfRule type="cellIs" dxfId="665" priority="181" stopIfTrue="1" operator="equal">
      <formula>"E7"</formula>
    </cfRule>
    <cfRule type="cellIs" dxfId="664" priority="182" stopIfTrue="1" operator="equal">
      <formula>"E7A"</formula>
    </cfRule>
  </conditionalFormatting>
  <conditionalFormatting sqref="B76 B79 B82 B85 B88 B91">
    <cfRule type="expression" dxfId="663" priority="180">
      <formula>$B76="A"</formula>
    </cfRule>
  </conditionalFormatting>
  <conditionalFormatting sqref="F76">
    <cfRule type="cellIs" dxfId="662" priority="178" stopIfTrue="1" operator="equal">
      <formula>"E7"</formula>
    </cfRule>
    <cfRule type="cellIs" dxfId="661" priority="179" stopIfTrue="1" operator="equal">
      <formula>"E7A"</formula>
    </cfRule>
  </conditionalFormatting>
  <conditionalFormatting sqref="F79">
    <cfRule type="cellIs" dxfId="660" priority="176" stopIfTrue="1" operator="equal">
      <formula>"E7"</formula>
    </cfRule>
    <cfRule type="cellIs" dxfId="659" priority="177" stopIfTrue="1" operator="equal">
      <formula>"E7A"</formula>
    </cfRule>
  </conditionalFormatting>
  <conditionalFormatting sqref="F82">
    <cfRule type="cellIs" dxfId="658" priority="174" stopIfTrue="1" operator="equal">
      <formula>"E7"</formula>
    </cfRule>
    <cfRule type="cellIs" dxfId="657" priority="175" stopIfTrue="1" operator="equal">
      <formula>"E7A"</formula>
    </cfRule>
  </conditionalFormatting>
  <conditionalFormatting sqref="DQ6:EE6">
    <cfRule type="expression" dxfId="656" priority="172">
      <formula>DQ318=0</formula>
    </cfRule>
  </conditionalFormatting>
  <conditionalFormatting sqref="H1:AZ1 BB1:CD1 CF1:CL1 CN1 CP1:DN1 DP1:EE1">
    <cfRule type="duplicateValues" dxfId="655" priority="171"/>
  </conditionalFormatting>
  <conditionalFormatting sqref="I1:K1">
    <cfRule type="duplicateValues" dxfId="654" priority="170"/>
  </conditionalFormatting>
  <conditionalFormatting sqref="O1">
    <cfRule type="duplicateValues" dxfId="653" priority="169"/>
  </conditionalFormatting>
  <conditionalFormatting sqref="F22">
    <cfRule type="cellIs" dxfId="652" priority="167" stopIfTrue="1" operator="equal">
      <formula>"E7"</formula>
    </cfRule>
    <cfRule type="cellIs" dxfId="651" priority="168" stopIfTrue="1" operator="equal">
      <formula>"E7A"</formula>
    </cfRule>
  </conditionalFormatting>
  <conditionalFormatting sqref="F19">
    <cfRule type="cellIs" dxfId="650" priority="165" stopIfTrue="1" operator="equal">
      <formula>"E7"</formula>
    </cfRule>
    <cfRule type="cellIs" dxfId="649" priority="166" stopIfTrue="1" operator="equal">
      <formula>"E7A"</formula>
    </cfRule>
  </conditionalFormatting>
  <conditionalFormatting sqref="F16">
    <cfRule type="cellIs" dxfId="648" priority="163" stopIfTrue="1" operator="equal">
      <formula>"E7"</formula>
    </cfRule>
    <cfRule type="cellIs" dxfId="647" priority="164" stopIfTrue="1" operator="equal">
      <formula>"E7A"</formula>
    </cfRule>
  </conditionalFormatting>
  <conditionalFormatting sqref="F25">
    <cfRule type="cellIs" dxfId="646" priority="161" stopIfTrue="1" operator="equal">
      <formula>"E7"</formula>
    </cfRule>
    <cfRule type="cellIs" dxfId="645" priority="162" stopIfTrue="1" operator="equal">
      <formula>"E7A"</formula>
    </cfRule>
  </conditionalFormatting>
  <conditionalFormatting sqref="H4">
    <cfRule type="duplicateValues" dxfId="644" priority="160"/>
  </conditionalFormatting>
  <conditionalFormatting sqref="I4:AZ4 BB4:CD4 CF4:CL4 CN4 CP4:DN4 DP4:EE4">
    <cfRule type="duplicateValues" dxfId="643" priority="159"/>
  </conditionalFormatting>
  <conditionalFormatting sqref="F62">
    <cfRule type="cellIs" dxfId="642" priority="157" stopIfTrue="1" operator="equal">
      <formula>"E7"</formula>
    </cfRule>
    <cfRule type="cellIs" dxfId="641" priority="158" stopIfTrue="1" operator="equal">
      <formula>"E7A"</formula>
    </cfRule>
  </conditionalFormatting>
  <conditionalFormatting sqref="B62">
    <cfRule type="expression" dxfId="640" priority="156">
      <formula>$B62="A"</formula>
    </cfRule>
  </conditionalFormatting>
  <conditionalFormatting sqref="F37">
    <cfRule type="cellIs" dxfId="639" priority="154" stopIfTrue="1" operator="equal">
      <formula>"E7"</formula>
    </cfRule>
    <cfRule type="cellIs" dxfId="638" priority="155" stopIfTrue="1" operator="equal">
      <formula>"E7A"</formula>
    </cfRule>
  </conditionalFormatting>
  <conditionalFormatting sqref="F34">
    <cfRule type="cellIs" dxfId="637" priority="152" stopIfTrue="1" operator="equal">
      <formula>"E7"</formula>
    </cfRule>
    <cfRule type="cellIs" dxfId="636" priority="153" stopIfTrue="1" operator="equal">
      <formula>"E7A"</formula>
    </cfRule>
  </conditionalFormatting>
  <conditionalFormatting sqref="F31">
    <cfRule type="cellIs" dxfId="635" priority="150" stopIfTrue="1" operator="equal">
      <formula>"E7"</formula>
    </cfRule>
    <cfRule type="cellIs" dxfId="634" priority="151" stopIfTrue="1" operator="equal">
      <formula>"E7A"</formula>
    </cfRule>
  </conditionalFormatting>
  <conditionalFormatting sqref="F40">
    <cfRule type="cellIs" dxfId="633" priority="148" stopIfTrue="1" operator="equal">
      <formula>"E7"</formula>
    </cfRule>
    <cfRule type="cellIs" dxfId="632" priority="149" stopIfTrue="1" operator="equal">
      <formula>"E7A"</formula>
    </cfRule>
  </conditionalFormatting>
  <conditionalFormatting sqref="B31 B34 B37 B40">
    <cfRule type="expression" dxfId="631" priority="147">
      <formula>$B31="A"</formula>
    </cfRule>
  </conditionalFormatting>
  <conditionalFormatting sqref="B43">
    <cfRule type="expression" dxfId="630" priority="146">
      <formula>$B43="A"</formula>
    </cfRule>
  </conditionalFormatting>
  <conditionalFormatting sqref="F43">
    <cfRule type="cellIs" dxfId="629" priority="144" stopIfTrue="1" operator="equal">
      <formula>"E7"</formula>
    </cfRule>
    <cfRule type="cellIs" dxfId="628" priority="145" stopIfTrue="1" operator="equal">
      <formula>"E7A"</formula>
    </cfRule>
  </conditionalFormatting>
  <conditionalFormatting sqref="F55">
    <cfRule type="cellIs" dxfId="627" priority="142" stopIfTrue="1" operator="equal">
      <formula>"E7"</formula>
    </cfRule>
    <cfRule type="cellIs" dxfId="626" priority="143" stopIfTrue="1" operator="equal">
      <formula>"E7A"</formula>
    </cfRule>
  </conditionalFormatting>
  <conditionalFormatting sqref="F58">
    <cfRule type="cellIs" dxfId="625" priority="140" stopIfTrue="1" operator="equal">
      <formula>"E7"</formula>
    </cfRule>
    <cfRule type="cellIs" dxfId="624" priority="141" stopIfTrue="1" operator="equal">
      <formula>"E7A"</formula>
    </cfRule>
  </conditionalFormatting>
  <conditionalFormatting sqref="B46 B49 B52 B55 B58">
    <cfRule type="expression" dxfId="623" priority="139">
      <formula>$B46="A"</formula>
    </cfRule>
  </conditionalFormatting>
  <conditionalFormatting sqref="F46">
    <cfRule type="cellIs" dxfId="622" priority="137" stopIfTrue="1" operator="equal">
      <formula>"E7"</formula>
    </cfRule>
    <cfRule type="cellIs" dxfId="621" priority="138" stopIfTrue="1" operator="equal">
      <formula>"E7A"</formula>
    </cfRule>
  </conditionalFormatting>
  <conditionalFormatting sqref="F49">
    <cfRule type="cellIs" dxfId="620" priority="135" stopIfTrue="1" operator="equal">
      <formula>"E7"</formula>
    </cfRule>
    <cfRule type="cellIs" dxfId="619" priority="136" stopIfTrue="1" operator="equal">
      <formula>"E7A"</formula>
    </cfRule>
  </conditionalFormatting>
  <conditionalFormatting sqref="F52">
    <cfRule type="cellIs" dxfId="618" priority="133" stopIfTrue="1" operator="equal">
      <formula>"E7"</formula>
    </cfRule>
    <cfRule type="cellIs" dxfId="617" priority="134" stopIfTrue="1" operator="equal">
      <formula>"E7A"</formula>
    </cfRule>
  </conditionalFormatting>
  <conditionalFormatting sqref="EF1:EL1 EN1:FM1">
    <cfRule type="duplicateValues" dxfId="616" priority="225"/>
  </conditionalFormatting>
  <conditionalFormatting sqref="EF4:EL4 EN4:FO4">
    <cfRule type="duplicateValues" dxfId="615" priority="226"/>
  </conditionalFormatting>
  <conditionalFormatting sqref="F8:F9">
    <cfRule type="cellIs" dxfId="614" priority="131" stopIfTrue="1" operator="equal">
      <formula>"E7"</formula>
    </cfRule>
    <cfRule type="cellIs" dxfId="613" priority="132" stopIfTrue="1" operator="equal">
      <formula>"E7A"</formula>
    </cfRule>
  </conditionalFormatting>
  <conditionalFormatting sqref="B8:B9">
    <cfRule type="expression" dxfId="612" priority="130">
      <formula>$B8="A"</formula>
    </cfRule>
  </conditionalFormatting>
  <conditionalFormatting sqref="F11:F12">
    <cfRule type="cellIs" dxfId="611" priority="128" stopIfTrue="1" operator="equal">
      <formula>"E7"</formula>
    </cfRule>
    <cfRule type="cellIs" dxfId="610" priority="129" stopIfTrue="1" operator="equal">
      <formula>"E7A"</formula>
    </cfRule>
  </conditionalFormatting>
  <conditionalFormatting sqref="B11:B12">
    <cfRule type="expression" dxfId="609" priority="127">
      <formula>$B11="A"</formula>
    </cfRule>
  </conditionalFormatting>
  <conditionalFormatting sqref="F14:F15">
    <cfRule type="cellIs" dxfId="608" priority="125" stopIfTrue="1" operator="equal">
      <formula>"E7"</formula>
    </cfRule>
    <cfRule type="cellIs" dxfId="607" priority="126" stopIfTrue="1" operator="equal">
      <formula>"E7A"</formula>
    </cfRule>
  </conditionalFormatting>
  <conditionalFormatting sqref="B14:B15">
    <cfRule type="expression" dxfId="606" priority="124">
      <formula>$B14="A"</formula>
    </cfRule>
  </conditionalFormatting>
  <conditionalFormatting sqref="B17:B18">
    <cfRule type="expression" dxfId="605" priority="123">
      <formula>$B17="A"</formula>
    </cfRule>
  </conditionalFormatting>
  <conditionalFormatting sqref="F17:F18">
    <cfRule type="cellIs" dxfId="604" priority="121" stopIfTrue="1" operator="equal">
      <formula>"E7"</formula>
    </cfRule>
    <cfRule type="cellIs" dxfId="603" priority="122" stopIfTrue="1" operator="equal">
      <formula>"E7A"</formula>
    </cfRule>
  </conditionalFormatting>
  <conditionalFormatting sqref="B20:B21">
    <cfRule type="expression" dxfId="602" priority="120">
      <formula>$B20="A"</formula>
    </cfRule>
  </conditionalFormatting>
  <conditionalFormatting sqref="F20:F21">
    <cfRule type="cellIs" dxfId="601" priority="118" stopIfTrue="1" operator="equal">
      <formula>"E7"</formula>
    </cfRule>
    <cfRule type="cellIs" dxfId="600" priority="119" stopIfTrue="1" operator="equal">
      <formula>"E7A"</formula>
    </cfRule>
  </conditionalFormatting>
  <conditionalFormatting sqref="B23:B24">
    <cfRule type="expression" dxfId="599" priority="117">
      <formula>$B23="A"</formula>
    </cfRule>
  </conditionalFormatting>
  <conditionalFormatting sqref="F23:F24">
    <cfRule type="cellIs" dxfId="598" priority="115" stopIfTrue="1" operator="equal">
      <formula>"E7"</formula>
    </cfRule>
    <cfRule type="cellIs" dxfId="597" priority="116" stopIfTrue="1" operator="equal">
      <formula>"E7A"</formula>
    </cfRule>
  </conditionalFormatting>
  <conditionalFormatting sqref="B26:B27">
    <cfRule type="expression" dxfId="596" priority="114">
      <formula>$B26="A"</formula>
    </cfRule>
  </conditionalFormatting>
  <conditionalFormatting sqref="F26:F27">
    <cfRule type="cellIs" dxfId="595" priority="112" stopIfTrue="1" operator="equal">
      <formula>"E7"</formula>
    </cfRule>
    <cfRule type="cellIs" dxfId="594" priority="113" stopIfTrue="1" operator="equal">
      <formula>"E7A"</formula>
    </cfRule>
  </conditionalFormatting>
  <conditionalFormatting sqref="F29:F30">
    <cfRule type="cellIs" dxfId="593" priority="110" stopIfTrue="1" operator="equal">
      <formula>"E7"</formula>
    </cfRule>
    <cfRule type="cellIs" dxfId="592" priority="111" stopIfTrue="1" operator="equal">
      <formula>"E7A"</formula>
    </cfRule>
  </conditionalFormatting>
  <conditionalFormatting sqref="B29:B30">
    <cfRule type="expression" dxfId="591" priority="109">
      <formula>$B29="A"</formula>
    </cfRule>
  </conditionalFormatting>
  <conditionalFormatting sqref="F32:F33">
    <cfRule type="cellIs" dxfId="590" priority="107" stopIfTrue="1" operator="equal">
      <formula>"E7"</formula>
    </cfRule>
    <cfRule type="cellIs" dxfId="589" priority="108" stopIfTrue="1" operator="equal">
      <formula>"E7A"</formula>
    </cfRule>
  </conditionalFormatting>
  <conditionalFormatting sqref="B32:B33">
    <cfRule type="expression" dxfId="588" priority="106">
      <formula>$B32="A"</formula>
    </cfRule>
  </conditionalFormatting>
  <conditionalFormatting sqref="F35:F36">
    <cfRule type="cellIs" dxfId="587" priority="104" stopIfTrue="1" operator="equal">
      <formula>"E7"</formula>
    </cfRule>
    <cfRule type="cellIs" dxfId="586" priority="105" stopIfTrue="1" operator="equal">
      <formula>"E7A"</formula>
    </cfRule>
  </conditionalFormatting>
  <conditionalFormatting sqref="B35:B36">
    <cfRule type="expression" dxfId="585" priority="103">
      <formula>$B35="A"</formula>
    </cfRule>
  </conditionalFormatting>
  <conditionalFormatting sqref="F38:F39">
    <cfRule type="cellIs" dxfId="584" priority="101" stopIfTrue="1" operator="equal">
      <formula>"E7"</formula>
    </cfRule>
    <cfRule type="cellIs" dxfId="583" priority="102" stopIfTrue="1" operator="equal">
      <formula>"E7A"</formula>
    </cfRule>
  </conditionalFormatting>
  <conditionalFormatting sqref="B38:B39">
    <cfRule type="expression" dxfId="582" priority="100">
      <formula>$B38="A"</formula>
    </cfRule>
  </conditionalFormatting>
  <conditionalFormatting sqref="F41:F42">
    <cfRule type="cellIs" dxfId="581" priority="98" stopIfTrue="1" operator="equal">
      <formula>"E7"</formula>
    </cfRule>
    <cfRule type="cellIs" dxfId="580" priority="99" stopIfTrue="1" operator="equal">
      <formula>"E7A"</formula>
    </cfRule>
  </conditionalFormatting>
  <conditionalFormatting sqref="B41:B42">
    <cfRule type="expression" dxfId="579" priority="97">
      <formula>$B41="A"</formula>
    </cfRule>
  </conditionalFormatting>
  <conditionalFormatting sqref="B44:B45">
    <cfRule type="expression" dxfId="578" priority="96">
      <formula>$B44="A"</formula>
    </cfRule>
  </conditionalFormatting>
  <conditionalFormatting sqref="F44:F45">
    <cfRule type="cellIs" dxfId="577" priority="94" stopIfTrue="1" operator="equal">
      <formula>"E7"</formula>
    </cfRule>
    <cfRule type="cellIs" dxfId="576" priority="95" stopIfTrue="1" operator="equal">
      <formula>"E7A"</formula>
    </cfRule>
  </conditionalFormatting>
  <conditionalFormatting sqref="B47:B48">
    <cfRule type="expression" dxfId="575" priority="93">
      <formula>$B47="A"</formula>
    </cfRule>
  </conditionalFormatting>
  <conditionalFormatting sqref="F47:F48">
    <cfRule type="cellIs" dxfId="574" priority="91" stopIfTrue="1" operator="equal">
      <formula>"E7"</formula>
    </cfRule>
    <cfRule type="cellIs" dxfId="573" priority="92" stopIfTrue="1" operator="equal">
      <formula>"E7A"</formula>
    </cfRule>
  </conditionalFormatting>
  <conditionalFormatting sqref="B50:B51">
    <cfRule type="expression" dxfId="572" priority="90">
      <formula>$B50="A"</formula>
    </cfRule>
  </conditionalFormatting>
  <conditionalFormatting sqref="F50:F51">
    <cfRule type="cellIs" dxfId="571" priority="88" stopIfTrue="1" operator="equal">
      <formula>"E7"</formula>
    </cfRule>
    <cfRule type="cellIs" dxfId="570" priority="89" stopIfTrue="1" operator="equal">
      <formula>"E7A"</formula>
    </cfRule>
  </conditionalFormatting>
  <conditionalFormatting sqref="B53:B54">
    <cfRule type="expression" dxfId="569" priority="87">
      <formula>$B53="A"</formula>
    </cfRule>
  </conditionalFormatting>
  <conditionalFormatting sqref="F53:F54">
    <cfRule type="cellIs" dxfId="568" priority="85" stopIfTrue="1" operator="equal">
      <formula>"E7"</formula>
    </cfRule>
    <cfRule type="cellIs" dxfId="567" priority="86" stopIfTrue="1" operator="equal">
      <formula>"E7A"</formula>
    </cfRule>
  </conditionalFormatting>
  <conditionalFormatting sqref="F56:F57">
    <cfRule type="cellIs" dxfId="566" priority="83" stopIfTrue="1" operator="equal">
      <formula>"E7"</formula>
    </cfRule>
    <cfRule type="cellIs" dxfId="565" priority="84" stopIfTrue="1" operator="equal">
      <formula>"E7A"</formula>
    </cfRule>
  </conditionalFormatting>
  <conditionalFormatting sqref="B56:B57">
    <cfRule type="expression" dxfId="564" priority="82">
      <formula>$B56="A"</formula>
    </cfRule>
  </conditionalFormatting>
  <conditionalFormatting sqref="F59:F60">
    <cfRule type="cellIs" dxfId="563" priority="80" stopIfTrue="1" operator="equal">
      <formula>"E7"</formula>
    </cfRule>
    <cfRule type="cellIs" dxfId="562" priority="81" stopIfTrue="1" operator="equal">
      <formula>"E7A"</formula>
    </cfRule>
  </conditionalFormatting>
  <conditionalFormatting sqref="B59:B60">
    <cfRule type="expression" dxfId="561" priority="79">
      <formula>$B59="A"</formula>
    </cfRule>
  </conditionalFormatting>
  <conditionalFormatting sqref="F65:F66">
    <cfRule type="cellIs" dxfId="560" priority="77" stopIfTrue="1" operator="equal">
      <formula>"E7"</formula>
    </cfRule>
    <cfRule type="cellIs" dxfId="559" priority="78" stopIfTrue="1" operator="equal">
      <formula>"E7A"</formula>
    </cfRule>
  </conditionalFormatting>
  <conditionalFormatting sqref="B65:B66">
    <cfRule type="expression" dxfId="558" priority="76">
      <formula>$B65="A"</formula>
    </cfRule>
  </conditionalFormatting>
  <conditionalFormatting sqref="F68:F69">
    <cfRule type="cellIs" dxfId="557" priority="74" stopIfTrue="1" operator="equal">
      <formula>"E7"</formula>
    </cfRule>
    <cfRule type="cellIs" dxfId="556" priority="75" stopIfTrue="1" operator="equal">
      <formula>"E7A"</formula>
    </cfRule>
  </conditionalFormatting>
  <conditionalFormatting sqref="B68:B69">
    <cfRule type="expression" dxfId="555" priority="73">
      <formula>$B68="A"</formula>
    </cfRule>
  </conditionalFormatting>
  <conditionalFormatting sqref="F71:F72">
    <cfRule type="cellIs" dxfId="554" priority="71" stopIfTrue="1" operator="equal">
      <formula>"E7"</formula>
    </cfRule>
    <cfRule type="cellIs" dxfId="553" priority="72" stopIfTrue="1" operator="equal">
      <formula>"E7A"</formula>
    </cfRule>
  </conditionalFormatting>
  <conditionalFormatting sqref="B71:B72">
    <cfRule type="expression" dxfId="552" priority="70">
      <formula>$B71="A"</formula>
    </cfRule>
  </conditionalFormatting>
  <conditionalFormatting sqref="B74:B75">
    <cfRule type="expression" dxfId="551" priority="69">
      <formula>$B74="A"</formula>
    </cfRule>
  </conditionalFormatting>
  <conditionalFormatting sqref="F74:F75">
    <cfRule type="cellIs" dxfId="550" priority="67" stopIfTrue="1" operator="equal">
      <formula>"E7"</formula>
    </cfRule>
    <cfRule type="cellIs" dxfId="549" priority="68" stopIfTrue="1" operator="equal">
      <formula>"E7A"</formula>
    </cfRule>
  </conditionalFormatting>
  <conditionalFormatting sqref="B77:B78">
    <cfRule type="expression" dxfId="548" priority="66">
      <formula>$B77="A"</formula>
    </cfRule>
  </conditionalFormatting>
  <conditionalFormatting sqref="F77:F78">
    <cfRule type="cellIs" dxfId="547" priority="64" stopIfTrue="1" operator="equal">
      <formula>"E7"</formula>
    </cfRule>
    <cfRule type="cellIs" dxfId="546" priority="65" stopIfTrue="1" operator="equal">
      <formula>"E7A"</formula>
    </cfRule>
  </conditionalFormatting>
  <conditionalFormatting sqref="B80:B81">
    <cfRule type="expression" dxfId="545" priority="63">
      <formula>$B80="A"</formula>
    </cfRule>
  </conditionalFormatting>
  <conditionalFormatting sqref="F80:F81">
    <cfRule type="cellIs" dxfId="544" priority="61" stopIfTrue="1" operator="equal">
      <formula>"E7"</formula>
    </cfRule>
    <cfRule type="cellIs" dxfId="543" priority="62" stopIfTrue="1" operator="equal">
      <formula>"E7A"</formula>
    </cfRule>
  </conditionalFormatting>
  <conditionalFormatting sqref="B83:B84">
    <cfRule type="expression" dxfId="542" priority="60">
      <formula>$B83="A"</formula>
    </cfRule>
  </conditionalFormatting>
  <conditionalFormatting sqref="F83:F84">
    <cfRule type="cellIs" dxfId="541" priority="58" stopIfTrue="1" operator="equal">
      <formula>"E7"</formula>
    </cfRule>
    <cfRule type="cellIs" dxfId="540" priority="59" stopIfTrue="1" operator="equal">
      <formula>"E7A"</formula>
    </cfRule>
  </conditionalFormatting>
  <conditionalFormatting sqref="F86:F87">
    <cfRule type="cellIs" dxfId="539" priority="56" stopIfTrue="1" operator="equal">
      <formula>"E7"</formula>
    </cfRule>
    <cfRule type="cellIs" dxfId="538" priority="57" stopIfTrue="1" operator="equal">
      <formula>"E7A"</formula>
    </cfRule>
  </conditionalFormatting>
  <conditionalFormatting sqref="B86:B87">
    <cfRule type="expression" dxfId="537" priority="55">
      <formula>$B86="A"</formula>
    </cfRule>
  </conditionalFormatting>
  <conditionalFormatting sqref="F89:F90">
    <cfRule type="cellIs" dxfId="536" priority="53" stopIfTrue="1" operator="equal">
      <formula>"E7"</formula>
    </cfRule>
    <cfRule type="cellIs" dxfId="535" priority="54" stopIfTrue="1" operator="equal">
      <formula>"E7A"</formula>
    </cfRule>
  </conditionalFormatting>
  <conditionalFormatting sqref="B89:B90">
    <cfRule type="expression" dxfId="534" priority="52">
      <formula>$B89="A"</formula>
    </cfRule>
  </conditionalFormatting>
  <conditionalFormatting sqref="F92:F93">
    <cfRule type="cellIs" dxfId="533" priority="50" stopIfTrue="1" operator="equal">
      <formula>"E7"</formula>
    </cfRule>
    <cfRule type="cellIs" dxfId="532" priority="51" stopIfTrue="1" operator="equal">
      <formula>"E7A"</formula>
    </cfRule>
  </conditionalFormatting>
  <conditionalFormatting sqref="B92:B93">
    <cfRule type="expression" dxfId="531" priority="49">
      <formula>$B92="A"</formula>
    </cfRule>
  </conditionalFormatting>
  <conditionalFormatting sqref="B95:B96">
    <cfRule type="expression" dxfId="530" priority="48">
      <formula>$B95="A"</formula>
    </cfRule>
  </conditionalFormatting>
  <conditionalFormatting sqref="F95:F96">
    <cfRule type="cellIs" dxfId="529" priority="46" stopIfTrue="1" operator="equal">
      <formula>"E7"</formula>
    </cfRule>
    <cfRule type="cellIs" dxfId="528" priority="47" stopIfTrue="1" operator="equal">
      <formula>"E7A"</formula>
    </cfRule>
  </conditionalFormatting>
  <conditionalFormatting sqref="B98:B99">
    <cfRule type="expression" dxfId="527" priority="45">
      <formula>$B98="A"</formula>
    </cfRule>
  </conditionalFormatting>
  <conditionalFormatting sqref="F98:F99">
    <cfRule type="cellIs" dxfId="526" priority="43" stopIfTrue="1" operator="equal">
      <formula>"E7"</formula>
    </cfRule>
    <cfRule type="cellIs" dxfId="525" priority="44" stopIfTrue="1" operator="equal">
      <formula>"E7A"</formula>
    </cfRule>
  </conditionalFormatting>
  <conditionalFormatting sqref="B101:B102">
    <cfRule type="expression" dxfId="524" priority="42">
      <formula>$B101="A"</formula>
    </cfRule>
  </conditionalFormatting>
  <conditionalFormatting sqref="F101:F102">
    <cfRule type="cellIs" dxfId="523" priority="40" stopIfTrue="1" operator="equal">
      <formula>"E7"</formula>
    </cfRule>
    <cfRule type="cellIs" dxfId="522" priority="41" stopIfTrue="1" operator="equal">
      <formula>"E7A"</formula>
    </cfRule>
  </conditionalFormatting>
  <conditionalFormatting sqref="B104:B105">
    <cfRule type="expression" dxfId="521" priority="39">
      <formula>$B104="A"</formula>
    </cfRule>
  </conditionalFormatting>
  <conditionalFormatting sqref="F104:F105">
    <cfRule type="cellIs" dxfId="520" priority="37" stopIfTrue="1" operator="equal">
      <formula>"E7"</formula>
    </cfRule>
    <cfRule type="cellIs" dxfId="519" priority="38" stopIfTrue="1" operator="equal">
      <formula>"E7A"</formula>
    </cfRule>
  </conditionalFormatting>
  <conditionalFormatting sqref="F107:F108">
    <cfRule type="cellIs" dxfId="518" priority="35" stopIfTrue="1" operator="equal">
      <formula>"E7"</formula>
    </cfRule>
    <cfRule type="cellIs" dxfId="517" priority="36" stopIfTrue="1" operator="equal">
      <formula>"E7A"</formula>
    </cfRule>
  </conditionalFormatting>
  <conditionalFormatting sqref="B107:B108">
    <cfRule type="expression" dxfId="516" priority="34">
      <formula>$B107="A"</formula>
    </cfRule>
  </conditionalFormatting>
  <conditionalFormatting sqref="F110:F111">
    <cfRule type="cellIs" dxfId="515" priority="32" stopIfTrue="1" operator="equal">
      <formula>"E7"</formula>
    </cfRule>
    <cfRule type="cellIs" dxfId="514" priority="33" stopIfTrue="1" operator="equal">
      <formula>"E7A"</formula>
    </cfRule>
  </conditionalFormatting>
  <conditionalFormatting sqref="B110:B111">
    <cfRule type="expression" dxfId="513" priority="31">
      <formula>$B110="A"</formula>
    </cfRule>
  </conditionalFormatting>
  <conditionalFormatting sqref="F113:F114">
    <cfRule type="cellIs" dxfId="512" priority="29" stopIfTrue="1" operator="equal">
      <formula>"E7"</formula>
    </cfRule>
    <cfRule type="cellIs" dxfId="511" priority="30" stopIfTrue="1" operator="equal">
      <formula>"E7A"</formula>
    </cfRule>
  </conditionalFormatting>
  <conditionalFormatting sqref="B113:B114">
    <cfRule type="expression" dxfId="510" priority="28">
      <formula>$B113="A"</formula>
    </cfRule>
  </conditionalFormatting>
  <conditionalFormatting sqref="B116:B120">
    <cfRule type="expression" dxfId="509" priority="27">
      <formula>$B116="A"</formula>
    </cfRule>
  </conditionalFormatting>
  <conditionalFormatting sqref="F116:F120">
    <cfRule type="cellIs" dxfId="508" priority="25" stopIfTrue="1" operator="equal">
      <formula>"E7"</formula>
    </cfRule>
    <cfRule type="cellIs" dxfId="507" priority="26" stopIfTrue="1" operator="equal">
      <formula>"E7A"</formula>
    </cfRule>
  </conditionalFormatting>
  <conditionalFormatting sqref="F61">
    <cfRule type="cellIs" dxfId="506" priority="23" stopIfTrue="1" operator="equal">
      <formula>"E7"</formula>
    </cfRule>
    <cfRule type="cellIs" dxfId="505" priority="24" stopIfTrue="1" operator="equal">
      <formula>"E7A"</formula>
    </cfRule>
  </conditionalFormatting>
  <conditionalFormatting sqref="B61">
    <cfRule type="expression" dxfId="504" priority="22">
      <formula>$B61="A"</formula>
    </cfRule>
  </conditionalFormatting>
  <conditionalFormatting sqref="F63">
    <cfRule type="cellIs" dxfId="503" priority="20" stopIfTrue="1" operator="equal">
      <formula>"E7"</formula>
    </cfRule>
    <cfRule type="cellIs" dxfId="502" priority="21" stopIfTrue="1" operator="equal">
      <formula>"E7A"</formula>
    </cfRule>
  </conditionalFormatting>
  <conditionalFormatting sqref="B63">
    <cfRule type="expression" dxfId="501" priority="19">
      <formula>$B63="A"</formula>
    </cfRule>
  </conditionalFormatting>
  <conditionalFormatting sqref="H6">
    <cfRule type="expression" dxfId="500" priority="227">
      <formula>H$319&gt;0</formula>
    </cfRule>
    <cfRule type="duplicateValues" dxfId="499" priority="228"/>
  </conditionalFormatting>
  <conditionalFormatting sqref="BA6">
    <cfRule type="expression" dxfId="498" priority="18">
      <formula>BA318=0</formula>
    </cfRule>
  </conditionalFormatting>
  <conditionalFormatting sqref="BA1">
    <cfRule type="duplicateValues" dxfId="497" priority="17"/>
  </conditionalFormatting>
  <conditionalFormatting sqref="BA4">
    <cfRule type="duplicateValues" dxfId="496" priority="16"/>
  </conditionalFormatting>
  <conditionalFormatting sqref="CE6">
    <cfRule type="expression" dxfId="495" priority="15">
      <formula>CE318=0</formula>
    </cfRule>
  </conditionalFormatting>
  <conditionalFormatting sqref="CE1">
    <cfRule type="duplicateValues" dxfId="494" priority="14"/>
  </conditionalFormatting>
  <conditionalFormatting sqref="CE4">
    <cfRule type="duplicateValues" dxfId="493" priority="13"/>
  </conditionalFormatting>
  <conditionalFormatting sqref="CM6">
    <cfRule type="expression" dxfId="492" priority="12">
      <formula>CM318=0</formula>
    </cfRule>
  </conditionalFormatting>
  <conditionalFormatting sqref="CM1">
    <cfRule type="duplicateValues" dxfId="491" priority="11"/>
  </conditionalFormatting>
  <conditionalFormatting sqref="CM4">
    <cfRule type="duplicateValues" dxfId="490" priority="10"/>
  </conditionalFormatting>
  <conditionalFormatting sqref="CO6">
    <cfRule type="expression" dxfId="489" priority="9">
      <formula>CO318=0</formula>
    </cfRule>
  </conditionalFormatting>
  <conditionalFormatting sqref="CO1">
    <cfRule type="duplicateValues" dxfId="488" priority="8"/>
  </conditionalFormatting>
  <conditionalFormatting sqref="CO4">
    <cfRule type="duplicateValues" dxfId="487" priority="7"/>
  </conditionalFormatting>
  <conditionalFormatting sqref="DO6">
    <cfRule type="expression" dxfId="486" priority="6">
      <formula>DO318=0</formula>
    </cfRule>
  </conditionalFormatting>
  <conditionalFormatting sqref="DO1">
    <cfRule type="duplicateValues" dxfId="485" priority="5"/>
  </conditionalFormatting>
  <conditionalFormatting sqref="DO4">
    <cfRule type="duplicateValues" dxfId="484" priority="4"/>
  </conditionalFormatting>
  <conditionalFormatting sqref="EM6">
    <cfRule type="expression" dxfId="483" priority="1">
      <formula>EM318=0</formula>
    </cfRule>
  </conditionalFormatting>
  <conditionalFormatting sqref="EM1">
    <cfRule type="duplicateValues" dxfId="482" priority="2"/>
  </conditionalFormatting>
  <conditionalFormatting sqref="EM4">
    <cfRule type="duplicateValues" dxfId="481" priority="3"/>
  </conditionalFormatting>
  <conditionalFormatting sqref="BA6">
    <cfRule type="expression" dxfId="480" priority="229">
      <formula>BA$319&gt;0</formula>
    </cfRule>
    <cfRule type="duplicateValues" dxfId="479" priority="230"/>
  </conditionalFormatting>
  <conditionalFormatting sqref="CE6">
    <cfRule type="expression" dxfId="478" priority="231">
      <formula>CE$319&gt;0</formula>
    </cfRule>
    <cfRule type="duplicateValues" dxfId="477" priority="232"/>
  </conditionalFormatting>
  <conditionalFormatting sqref="CM6">
    <cfRule type="expression" dxfId="476" priority="233">
      <formula>CM$319&gt;0</formula>
    </cfRule>
    <cfRule type="duplicateValues" dxfId="475" priority="234"/>
  </conditionalFormatting>
  <conditionalFormatting sqref="CO6">
    <cfRule type="expression" dxfId="474" priority="235">
      <formula>CO$319&gt;0</formula>
    </cfRule>
    <cfRule type="duplicateValues" dxfId="473" priority="236"/>
  </conditionalFormatting>
  <conditionalFormatting sqref="DO6">
    <cfRule type="expression" dxfId="472" priority="237">
      <formula>DO$319&gt;0</formula>
    </cfRule>
    <cfRule type="duplicateValues" dxfId="471" priority="238"/>
  </conditionalFormatting>
  <conditionalFormatting sqref="I6:AZ6 BB6:CD6 CF6:CL6 CN6 CP6:DN6 DP6:EE6">
    <cfRule type="expression" dxfId="470" priority="239">
      <formula>I$319&gt;0</formula>
    </cfRule>
    <cfRule type="duplicateValues" dxfId="469" priority="240"/>
  </conditionalFormatting>
  <conditionalFormatting sqref="EM6">
    <cfRule type="expression" dxfId="468" priority="241">
      <formula>EM$319&gt;0</formula>
    </cfRule>
    <cfRule type="duplicateValues" dxfId="467" priority="242"/>
  </conditionalFormatting>
  <conditionalFormatting sqref="EF6:EL6 EN6:FO6">
    <cfRule type="expression" dxfId="466" priority="243">
      <formula>EF$319&gt;0</formula>
    </cfRule>
    <cfRule type="duplicateValues" dxfId="465" priority="244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FW108"/>
  <sheetViews>
    <sheetView zoomScale="90" zoomScaleNormal="90" workbookViewId="0">
      <pane xSplit="7" ySplit="6" topLeftCell="BC52" activePane="bottomRight" state="frozen"/>
      <selection pane="topRight" activeCell="H1" sqref="H1"/>
      <selection pane="bottomLeft" activeCell="A7" sqref="A7"/>
      <selection pane="bottomRight" activeCell="E101" sqref="E101:E106"/>
    </sheetView>
  </sheetViews>
  <sheetFormatPr defaultColWidth="9" defaultRowHeight="10"/>
  <cols>
    <col min="1" max="1" width="4.69921875" style="92" bestFit="1" customWidth="1"/>
    <col min="2" max="2" width="8.8984375" style="92" bestFit="1" customWidth="1"/>
    <col min="3" max="3" width="5.8984375" style="92" bestFit="1" customWidth="1"/>
    <col min="4" max="4" width="5.19921875" style="92" bestFit="1" customWidth="1"/>
    <col min="5" max="5" width="12.19921875" style="92" bestFit="1" customWidth="1"/>
    <col min="6" max="6" width="10.3984375" style="92" bestFit="1" customWidth="1"/>
    <col min="7" max="7" width="10.59765625" style="92" bestFit="1" customWidth="1"/>
    <col min="8" max="8" width="9.5" style="92" bestFit="1" customWidth="1"/>
    <col min="9" max="9" width="12.5" style="92" bestFit="1" customWidth="1"/>
    <col min="10" max="11" width="11" style="92" bestFit="1" customWidth="1"/>
    <col min="12" max="12" width="9.5" style="92" bestFit="1" customWidth="1"/>
    <col min="13" max="13" width="10.19921875" style="92" bestFit="1" customWidth="1"/>
    <col min="14" max="14" width="12.19921875" style="92" bestFit="1" customWidth="1"/>
    <col min="15" max="16" width="11" style="92" bestFit="1" customWidth="1"/>
    <col min="17" max="17" width="9.59765625" style="92" bestFit="1" customWidth="1"/>
    <col min="18" max="18" width="8" style="92" bestFit="1" customWidth="1"/>
    <col min="19" max="19" width="8.5" style="92" bestFit="1" customWidth="1"/>
    <col min="20" max="21" width="9.09765625" style="92" bestFit="1" customWidth="1"/>
    <col min="22" max="22" width="8.5" style="92" bestFit="1" customWidth="1"/>
    <col min="23" max="23" width="9.5" style="92" bestFit="1" customWidth="1"/>
    <col min="24" max="24" width="10.19921875" style="92" bestFit="1" customWidth="1"/>
    <col min="25" max="25" width="10.59765625" style="92" bestFit="1" customWidth="1"/>
    <col min="26" max="26" width="11" style="92" bestFit="1" customWidth="1"/>
    <col min="27" max="27" width="10.8984375" style="92" bestFit="1" customWidth="1"/>
    <col min="28" max="28" width="9.5" style="92" bestFit="1" customWidth="1"/>
    <col min="29" max="29" width="12.19921875" style="92" bestFit="1" customWidth="1"/>
    <col min="30" max="30" width="11" style="92" bestFit="1" customWidth="1"/>
    <col min="31" max="31" width="9.5" style="92" bestFit="1" customWidth="1"/>
    <col min="32" max="32" width="8.69921875" style="92" bestFit="1" customWidth="1"/>
    <col min="33" max="33" width="9.5" style="92" bestFit="1" customWidth="1"/>
    <col min="34" max="34" width="11" style="92" bestFit="1" customWidth="1"/>
    <col min="35" max="35" width="9.59765625" style="92" bestFit="1" customWidth="1"/>
    <col min="36" max="36" width="9.09765625" style="92" bestFit="1" customWidth="1"/>
    <col min="37" max="37" width="8.5" style="92" bestFit="1" customWidth="1"/>
    <col min="38" max="38" width="11" style="92" bestFit="1" customWidth="1"/>
    <col min="39" max="39" width="11.3984375" style="92" bestFit="1" customWidth="1"/>
    <col min="40" max="40" width="11.09765625" style="92" bestFit="1" customWidth="1"/>
    <col min="41" max="41" width="10.8984375" style="92" bestFit="1" customWidth="1"/>
    <col min="42" max="42" width="10.3984375" style="92" bestFit="1" customWidth="1"/>
    <col min="43" max="43" width="11.8984375" style="92" bestFit="1" customWidth="1"/>
    <col min="44" max="44" width="11.3984375" style="92" bestFit="1" customWidth="1"/>
    <col min="45" max="46" width="10.5" style="92" bestFit="1" customWidth="1"/>
    <col min="47" max="47" width="9.8984375" style="92" bestFit="1" customWidth="1"/>
    <col min="48" max="48" width="10.3984375" style="92" bestFit="1" customWidth="1"/>
    <col min="49" max="49" width="11.19921875" style="92" bestFit="1" customWidth="1"/>
    <col min="50" max="50" width="12.5" style="92" bestFit="1" customWidth="1"/>
    <col min="51" max="51" width="10.3984375" style="92" bestFit="1" customWidth="1"/>
    <col min="52" max="53" width="11" style="92" bestFit="1" customWidth="1"/>
    <col min="54" max="55" width="10.8984375" style="92" bestFit="1" customWidth="1"/>
    <col min="56" max="56" width="9.5" style="92" bestFit="1" customWidth="1"/>
    <col min="57" max="57" width="9.19921875" style="92" bestFit="1" customWidth="1"/>
    <col min="58" max="58" width="9.69921875" style="92" bestFit="1" customWidth="1"/>
    <col min="59" max="59" width="9.8984375" style="92" bestFit="1" customWidth="1"/>
    <col min="60" max="60" width="10.19921875" style="92" bestFit="1" customWidth="1"/>
    <col min="61" max="61" width="11.5" style="92" bestFit="1" customWidth="1"/>
    <col min="62" max="62" width="9.5" style="92" bestFit="1" customWidth="1"/>
    <col min="63" max="64" width="10" style="92" bestFit="1" customWidth="1"/>
    <col min="65" max="65" width="11.19921875" style="92" bestFit="1" customWidth="1"/>
    <col min="66" max="66" width="9.8984375" style="92" bestFit="1" customWidth="1"/>
    <col min="67" max="67" width="8.8984375" style="92" bestFit="1" customWidth="1"/>
    <col min="68" max="68" width="9.8984375" style="92" bestFit="1" customWidth="1"/>
    <col min="69" max="70" width="10.3984375" style="92" bestFit="1" customWidth="1"/>
    <col min="71" max="72" width="11.19921875" style="92" bestFit="1" customWidth="1"/>
    <col min="73" max="74" width="12.5" style="92" bestFit="1" customWidth="1"/>
    <col min="75" max="75" width="10.3984375" style="92" bestFit="1" customWidth="1"/>
    <col min="76" max="78" width="11" style="92" bestFit="1" customWidth="1"/>
    <col min="79" max="79" width="12.59765625" style="92" bestFit="1" customWidth="1"/>
    <col min="80" max="81" width="11" style="92" bestFit="1" customWidth="1"/>
    <col min="82" max="83" width="10.8984375" style="92" bestFit="1" customWidth="1"/>
    <col min="84" max="85" width="9.5" style="92" bestFit="1" customWidth="1"/>
    <col min="86" max="86" width="9.19921875" style="92" bestFit="1" customWidth="1"/>
    <col min="87" max="88" width="11" style="92" bestFit="1" customWidth="1"/>
    <col min="89" max="90" width="10.8984375" style="92" bestFit="1" customWidth="1"/>
    <col min="91" max="91" width="9.5" style="92" bestFit="1" customWidth="1"/>
    <col min="92" max="93" width="11" style="92" bestFit="1" customWidth="1"/>
    <col min="94" max="96" width="10.8984375" style="92" bestFit="1" customWidth="1"/>
    <col min="97" max="97" width="9.5" style="92" bestFit="1" customWidth="1"/>
    <col min="98" max="98" width="11" style="92" bestFit="1" customWidth="1"/>
    <col min="99" max="99" width="10.59765625" style="92" bestFit="1" customWidth="1"/>
    <col min="100" max="100" width="12.19921875" style="92" bestFit="1" customWidth="1"/>
    <col min="101" max="102" width="11" style="92" bestFit="1" customWidth="1"/>
    <col min="103" max="105" width="10.8984375" style="92" bestFit="1" customWidth="1"/>
    <col min="106" max="106" width="9.59765625" style="92" bestFit="1" customWidth="1"/>
    <col min="107" max="107" width="9.5" style="92" bestFit="1" customWidth="1"/>
    <col min="108" max="108" width="11" style="92" bestFit="1" customWidth="1"/>
    <col min="109" max="109" width="10" style="92" bestFit="1" customWidth="1"/>
    <col min="110" max="110" width="10.59765625" style="92" bestFit="1" customWidth="1"/>
    <col min="111" max="111" width="11" style="92" bestFit="1" customWidth="1"/>
    <col min="112" max="113" width="10.8984375" style="92" bestFit="1" customWidth="1"/>
    <col min="114" max="114" width="11" style="92" bestFit="1" customWidth="1"/>
    <col min="115" max="115" width="10.8984375" style="92" bestFit="1" customWidth="1"/>
    <col min="116" max="116" width="11" style="92" bestFit="1" customWidth="1"/>
    <col min="117" max="117" width="10" style="92" bestFit="1" customWidth="1"/>
    <col min="118" max="118" width="9.5" style="92" bestFit="1" customWidth="1"/>
    <col min="119" max="119" width="12.3984375" style="92" bestFit="1" customWidth="1"/>
    <col min="120" max="120" width="10.5" style="92" bestFit="1" customWidth="1"/>
    <col min="121" max="121" width="11.8984375" style="92" bestFit="1" customWidth="1"/>
    <col min="122" max="122" width="11" style="92" bestFit="1" customWidth="1"/>
    <col min="123" max="123" width="10.5" style="92" bestFit="1" customWidth="1"/>
    <col min="124" max="124" width="11.8984375" style="92" bestFit="1" customWidth="1"/>
    <col min="125" max="125" width="10.3984375" style="92" bestFit="1" customWidth="1"/>
    <col min="126" max="126" width="10.5" style="92" bestFit="1" customWidth="1"/>
    <col min="127" max="128" width="10.8984375" style="92" bestFit="1" customWidth="1"/>
    <col min="129" max="129" width="11" style="92" bestFit="1" customWidth="1"/>
    <col min="130" max="130" width="10.8984375" style="92" bestFit="1" customWidth="1"/>
    <col min="131" max="131" width="10.5" style="92" bestFit="1" customWidth="1"/>
    <col min="132" max="132" width="10.3984375" style="92" bestFit="1" customWidth="1"/>
    <col min="133" max="133" width="12.59765625" style="92" bestFit="1" customWidth="1"/>
    <col min="134" max="134" width="10.8984375" style="92" bestFit="1" customWidth="1"/>
    <col min="135" max="135" width="10.59765625" style="92" bestFit="1" customWidth="1"/>
    <col min="136" max="136" width="11.69921875" style="92" bestFit="1" customWidth="1"/>
    <col min="137" max="137" width="12.3984375" style="92" bestFit="1" customWidth="1"/>
    <col min="138" max="138" width="10.5" style="92" bestFit="1" customWidth="1"/>
    <col min="139" max="139" width="11.5" style="92" bestFit="1" customWidth="1"/>
    <col min="140" max="140" width="10.3984375" style="92" bestFit="1" customWidth="1"/>
    <col min="141" max="141" width="11.8984375" style="92" bestFit="1" customWidth="1"/>
    <col min="142" max="142" width="11.3984375" style="92" bestFit="1" customWidth="1"/>
    <col min="143" max="143" width="10.3984375" style="92" bestFit="1" customWidth="1"/>
    <col min="144" max="144" width="11.8984375" style="92" bestFit="1" customWidth="1"/>
    <col min="145" max="145" width="10.5" style="92" bestFit="1" customWidth="1"/>
    <col min="146" max="146" width="11.5" style="92" bestFit="1" customWidth="1"/>
    <col min="147" max="147" width="11" style="92" bestFit="1" customWidth="1"/>
    <col min="148" max="148" width="11.8984375" style="92" bestFit="1" customWidth="1"/>
    <col min="149" max="149" width="11.3984375" style="92" bestFit="1" customWidth="1"/>
    <col min="150" max="150" width="10.5" style="92" bestFit="1" customWidth="1"/>
    <col min="151" max="151" width="11.69921875" style="92" bestFit="1" customWidth="1"/>
    <col min="152" max="152" width="11.59765625" style="92" bestFit="1" customWidth="1"/>
    <col min="153" max="153" width="11.5" style="92" bestFit="1" customWidth="1"/>
    <col min="154" max="154" width="10.09765625" style="92" bestFit="1" customWidth="1"/>
    <col min="155" max="155" width="11" style="92" bestFit="1" customWidth="1"/>
    <col min="156" max="156" width="11.3984375" style="92" bestFit="1" customWidth="1"/>
    <col min="157" max="157" width="11.09765625" style="92" bestFit="1" customWidth="1"/>
    <col min="158" max="158" width="11.3984375" style="92" bestFit="1" customWidth="1"/>
    <col min="159" max="159" width="10.8984375" style="92" bestFit="1" customWidth="1"/>
    <col min="160" max="160" width="11.3984375" style="92" bestFit="1" customWidth="1"/>
    <col min="161" max="161" width="10.8984375" style="92" bestFit="1" customWidth="1"/>
    <col min="162" max="162" width="11.3984375" style="92" bestFit="1" customWidth="1"/>
    <col min="163" max="163" width="10.5" style="92" bestFit="1" customWidth="1"/>
    <col min="164" max="164" width="11.3984375" style="92" bestFit="1" customWidth="1"/>
    <col min="165" max="165" width="11.69921875" style="92" bestFit="1" customWidth="1"/>
    <col min="166" max="166" width="11.3984375" style="92" bestFit="1" customWidth="1"/>
    <col min="167" max="168" width="10.09765625" style="92" bestFit="1" customWidth="1"/>
    <col min="169" max="170" width="7.5" style="92" bestFit="1" customWidth="1"/>
    <col min="171" max="172" width="9" style="92"/>
    <col min="173" max="173" width="4.69921875" style="92" bestFit="1" customWidth="1"/>
    <col min="174" max="174" width="9.5" style="92" bestFit="1" customWidth="1"/>
    <col min="175" max="175" width="5.19921875" style="92" bestFit="1" customWidth="1"/>
    <col min="176" max="176" width="10.3984375" style="92" bestFit="1" customWidth="1"/>
    <col min="177" max="177" width="18.8984375" style="92" bestFit="1" customWidth="1"/>
    <col min="178" max="178" width="6.3984375" style="92" bestFit="1" customWidth="1"/>
    <col min="179" max="179" width="14.09765625" style="92" bestFit="1" customWidth="1"/>
    <col min="180" max="16384" width="9" style="92"/>
  </cols>
  <sheetData>
    <row r="1" spans="1:179" s="102" customFormat="1" ht="11">
      <c r="A1" s="366"/>
      <c r="D1" s="128"/>
      <c r="E1" s="95"/>
      <c r="F1" s="95"/>
      <c r="G1" s="94" t="s">
        <v>0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6" t="s">
        <v>1081</v>
      </c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427" t="s">
        <v>1016</v>
      </c>
      <c r="FL1" s="427" t="s">
        <v>1016</v>
      </c>
      <c r="FM1" s="95"/>
      <c r="FN1" s="95"/>
      <c r="FO1" s="427" t="s">
        <v>1016</v>
      </c>
      <c r="FP1" s="95"/>
      <c r="FQ1" s="99"/>
      <c r="FR1" s="100"/>
      <c r="FS1" s="101"/>
    </row>
    <row r="2" spans="1:179" s="108" customFormat="1" ht="11">
      <c r="A2" s="112"/>
      <c r="E2" s="94"/>
      <c r="F2" s="94"/>
      <c r="G2" s="94" t="s">
        <v>2</v>
      </c>
      <c r="H2" s="103" t="s">
        <v>850</v>
      </c>
      <c r="I2" s="103" t="s">
        <v>4</v>
      </c>
      <c r="J2" s="103" t="s">
        <v>850</v>
      </c>
      <c r="K2" s="103" t="s">
        <v>850</v>
      </c>
      <c r="L2" s="103" t="s">
        <v>850</v>
      </c>
      <c r="M2" s="103" t="s">
        <v>850</v>
      </c>
      <c r="N2" s="103" t="s">
        <v>850</v>
      </c>
      <c r="O2" s="103" t="s">
        <v>4</v>
      </c>
      <c r="P2" s="103" t="s">
        <v>850</v>
      </c>
      <c r="Q2" s="103" t="s">
        <v>4</v>
      </c>
      <c r="R2" s="103" t="s">
        <v>850</v>
      </c>
      <c r="S2" s="103" t="s">
        <v>850</v>
      </c>
      <c r="T2" s="103" t="s">
        <v>5</v>
      </c>
      <c r="U2" s="103" t="s">
        <v>5</v>
      </c>
      <c r="V2" s="103" t="s">
        <v>4</v>
      </c>
      <c r="W2" s="103" t="s">
        <v>850</v>
      </c>
      <c r="X2" s="103" t="s">
        <v>850</v>
      </c>
      <c r="Y2" s="103" t="s">
        <v>850</v>
      </c>
      <c r="Z2" s="103" t="s">
        <v>5</v>
      </c>
      <c r="AA2" s="103" t="s">
        <v>850</v>
      </c>
      <c r="AB2" s="103" t="s">
        <v>4</v>
      </c>
      <c r="AC2" s="103" t="s">
        <v>850</v>
      </c>
      <c r="AD2" s="103" t="s">
        <v>4</v>
      </c>
      <c r="AE2" s="103" t="s">
        <v>4</v>
      </c>
      <c r="AF2" s="103" t="s">
        <v>5</v>
      </c>
      <c r="AG2" s="103" t="s">
        <v>850</v>
      </c>
      <c r="AH2" s="103" t="s">
        <v>4</v>
      </c>
      <c r="AI2" s="103" t="s">
        <v>850</v>
      </c>
      <c r="AJ2" s="103" t="s">
        <v>850</v>
      </c>
      <c r="AK2" s="103" t="s">
        <v>850</v>
      </c>
      <c r="AL2" s="103" t="s">
        <v>850</v>
      </c>
      <c r="AM2" s="103" t="s">
        <v>850</v>
      </c>
      <c r="AN2" s="103" t="s">
        <v>850</v>
      </c>
      <c r="AO2" s="103" t="s">
        <v>850</v>
      </c>
      <c r="AP2" s="103" t="s">
        <v>850</v>
      </c>
      <c r="AQ2" s="103" t="s">
        <v>850</v>
      </c>
      <c r="AR2" s="103" t="s">
        <v>850</v>
      </c>
      <c r="AS2" s="103" t="s">
        <v>850</v>
      </c>
      <c r="AT2" s="103" t="s">
        <v>850</v>
      </c>
      <c r="AU2" s="103" t="s">
        <v>850</v>
      </c>
      <c r="AV2" s="103" t="s">
        <v>850</v>
      </c>
      <c r="AW2" s="103" t="s">
        <v>850</v>
      </c>
      <c r="AX2" s="103" t="s">
        <v>5</v>
      </c>
      <c r="AY2" s="103" t="s">
        <v>5</v>
      </c>
      <c r="AZ2" s="103" t="s">
        <v>850</v>
      </c>
      <c r="BA2" s="103" t="s">
        <v>5</v>
      </c>
      <c r="BB2" s="103" t="s">
        <v>850</v>
      </c>
      <c r="BC2" s="103" t="s">
        <v>4</v>
      </c>
      <c r="BD2" s="103" t="s">
        <v>850</v>
      </c>
      <c r="BE2" s="103" t="s">
        <v>4</v>
      </c>
      <c r="BF2" s="103" t="s">
        <v>850</v>
      </c>
      <c r="BG2" s="103" t="s">
        <v>850</v>
      </c>
      <c r="BH2" s="103" t="s">
        <v>850</v>
      </c>
      <c r="BI2" s="103" t="s">
        <v>850</v>
      </c>
      <c r="BJ2" s="103" t="s">
        <v>5</v>
      </c>
      <c r="BK2" s="103" t="s">
        <v>5</v>
      </c>
      <c r="BL2" s="103" t="s">
        <v>5</v>
      </c>
      <c r="BM2" s="103" t="s">
        <v>5</v>
      </c>
      <c r="BN2" s="103" t="s">
        <v>850</v>
      </c>
      <c r="BO2" s="103" t="s">
        <v>5</v>
      </c>
      <c r="BP2" s="103" t="s">
        <v>5</v>
      </c>
      <c r="BQ2" s="103" t="s">
        <v>850</v>
      </c>
      <c r="BR2" s="103" t="s">
        <v>850</v>
      </c>
      <c r="BS2" s="103" t="s">
        <v>5</v>
      </c>
      <c r="BT2" s="103" t="s">
        <v>4</v>
      </c>
      <c r="BU2" s="103" t="s">
        <v>5</v>
      </c>
      <c r="BV2" s="103" t="s">
        <v>4</v>
      </c>
      <c r="BW2" s="103" t="s">
        <v>5</v>
      </c>
      <c r="BX2" s="103" t="s">
        <v>5</v>
      </c>
      <c r="BY2" s="103" t="s">
        <v>5</v>
      </c>
      <c r="BZ2" s="103" t="s">
        <v>4</v>
      </c>
      <c r="CA2" s="103" t="s">
        <v>4</v>
      </c>
      <c r="CB2" s="103" t="s">
        <v>5</v>
      </c>
      <c r="CC2" s="103" t="s">
        <v>5</v>
      </c>
      <c r="CD2" s="103" t="s">
        <v>850</v>
      </c>
      <c r="CE2" s="103" t="s">
        <v>850</v>
      </c>
      <c r="CF2" s="103" t="s">
        <v>4</v>
      </c>
      <c r="CG2" s="103" t="s">
        <v>4</v>
      </c>
      <c r="CH2" s="103" t="s">
        <v>5</v>
      </c>
      <c r="CI2" s="103" t="s">
        <v>5</v>
      </c>
      <c r="CJ2" s="103" t="s">
        <v>5</v>
      </c>
      <c r="CK2" s="103" t="s">
        <v>850</v>
      </c>
      <c r="CL2" s="103" t="s">
        <v>850</v>
      </c>
      <c r="CM2" s="103" t="s">
        <v>5</v>
      </c>
      <c r="CN2" s="103" t="s">
        <v>5</v>
      </c>
      <c r="CO2" s="103" t="s">
        <v>5</v>
      </c>
      <c r="CP2" s="103" t="s">
        <v>5</v>
      </c>
      <c r="CQ2" s="103" t="s">
        <v>4</v>
      </c>
      <c r="CR2" s="103" t="s">
        <v>5</v>
      </c>
      <c r="CS2" s="103" t="s">
        <v>4</v>
      </c>
      <c r="CT2" s="103" t="s">
        <v>850</v>
      </c>
      <c r="CU2" s="103" t="s">
        <v>5</v>
      </c>
      <c r="CV2" s="103" t="s">
        <v>5</v>
      </c>
      <c r="CW2" s="103" t="s">
        <v>5</v>
      </c>
      <c r="CX2" s="103" t="s">
        <v>4</v>
      </c>
      <c r="CY2" s="103" t="s">
        <v>5</v>
      </c>
      <c r="CZ2" s="103" t="s">
        <v>5</v>
      </c>
      <c r="DA2" s="103" t="s">
        <v>4</v>
      </c>
      <c r="DB2" s="103" t="s">
        <v>850</v>
      </c>
      <c r="DC2" s="103" t="s">
        <v>850</v>
      </c>
      <c r="DD2" s="103" t="s">
        <v>6</v>
      </c>
      <c r="DE2" s="103" t="s">
        <v>850</v>
      </c>
      <c r="DF2" s="103" t="s">
        <v>5</v>
      </c>
      <c r="DG2" s="103" t="s">
        <v>6</v>
      </c>
      <c r="DH2" s="103" t="s">
        <v>5</v>
      </c>
      <c r="DI2" s="103" t="s">
        <v>4</v>
      </c>
      <c r="DJ2" s="103" t="s">
        <v>6</v>
      </c>
      <c r="DK2" s="103" t="s">
        <v>4</v>
      </c>
      <c r="DL2" s="103" t="s">
        <v>6</v>
      </c>
      <c r="DM2" s="103" t="s">
        <v>850</v>
      </c>
      <c r="DN2" s="103" t="s">
        <v>4</v>
      </c>
      <c r="DO2" s="103" t="s">
        <v>850</v>
      </c>
      <c r="DP2" s="103" t="s">
        <v>850</v>
      </c>
      <c r="DQ2" s="103" t="s">
        <v>4</v>
      </c>
      <c r="DR2" s="103" t="s">
        <v>6</v>
      </c>
      <c r="DS2" s="103" t="s">
        <v>850</v>
      </c>
      <c r="DT2" s="103" t="s">
        <v>850</v>
      </c>
      <c r="DU2" s="103" t="s">
        <v>9</v>
      </c>
      <c r="DV2" s="103" t="s">
        <v>850</v>
      </c>
      <c r="DW2" s="103" t="s">
        <v>4</v>
      </c>
      <c r="DX2" s="103" t="s">
        <v>4</v>
      </c>
      <c r="DY2" s="103" t="s">
        <v>6</v>
      </c>
      <c r="DZ2" s="103" t="s">
        <v>4</v>
      </c>
      <c r="EA2" s="103" t="s">
        <v>9</v>
      </c>
      <c r="EB2" s="103" t="s">
        <v>9</v>
      </c>
      <c r="EC2" s="103" t="s">
        <v>8</v>
      </c>
      <c r="ED2" s="103" t="s">
        <v>9</v>
      </c>
      <c r="EE2" s="103" t="s">
        <v>9</v>
      </c>
      <c r="EF2" s="103" t="s">
        <v>850</v>
      </c>
      <c r="EG2" s="103" t="s">
        <v>8</v>
      </c>
      <c r="EH2" s="103" t="s">
        <v>8</v>
      </c>
      <c r="EI2" s="103" t="s">
        <v>850</v>
      </c>
      <c r="EJ2" s="103" t="s">
        <v>4</v>
      </c>
      <c r="EK2" s="103" t="s">
        <v>850</v>
      </c>
      <c r="EL2" s="103" t="s">
        <v>850</v>
      </c>
      <c r="EM2" s="103" t="s">
        <v>4</v>
      </c>
      <c r="EN2" s="103" t="s">
        <v>850</v>
      </c>
      <c r="EO2" s="103" t="s">
        <v>3</v>
      </c>
      <c r="EP2" s="103" t="s">
        <v>4</v>
      </c>
      <c r="EQ2" s="103" t="s">
        <v>850</v>
      </c>
      <c r="ER2" s="103" t="s">
        <v>850</v>
      </c>
      <c r="ES2" s="103" t="s">
        <v>850</v>
      </c>
      <c r="ET2" s="103" t="s">
        <v>850</v>
      </c>
      <c r="EU2" s="103" t="s">
        <v>8</v>
      </c>
      <c r="EV2" s="103" t="s">
        <v>4</v>
      </c>
      <c r="EW2" s="103" t="s">
        <v>850</v>
      </c>
      <c r="EX2" s="103" t="s">
        <v>4</v>
      </c>
      <c r="EY2" s="103" t="s">
        <v>4</v>
      </c>
      <c r="EZ2" s="103" t="s">
        <v>8</v>
      </c>
      <c r="FA2" s="103" t="s">
        <v>850</v>
      </c>
      <c r="FB2" s="103" t="s">
        <v>4</v>
      </c>
      <c r="FC2" s="103" t="s">
        <v>850</v>
      </c>
      <c r="FD2" s="103" t="s">
        <v>8</v>
      </c>
      <c r="FE2" s="103" t="s">
        <v>9</v>
      </c>
      <c r="FF2" s="103" t="s">
        <v>850</v>
      </c>
      <c r="FG2" s="103" t="s">
        <v>850</v>
      </c>
      <c r="FH2" s="103" t="s">
        <v>850</v>
      </c>
      <c r="FI2" s="103" t="s">
        <v>850</v>
      </c>
      <c r="FJ2" s="103" t="s">
        <v>850</v>
      </c>
      <c r="FK2" s="103" t="s">
        <v>3</v>
      </c>
      <c r="FL2" s="103" t="s">
        <v>3</v>
      </c>
      <c r="FM2" s="103" t="s">
        <v>850</v>
      </c>
      <c r="FN2" s="103" t="s">
        <v>850</v>
      </c>
      <c r="FO2" s="103" t="s">
        <v>3</v>
      </c>
      <c r="FP2" s="103" t="s">
        <v>850</v>
      </c>
      <c r="FQ2" s="99"/>
      <c r="FR2" s="106"/>
      <c r="FS2" s="107"/>
    </row>
    <row r="3" spans="1:179" s="108" customFormat="1">
      <c r="A3" s="112"/>
      <c r="E3" s="94"/>
      <c r="F3" s="94"/>
      <c r="G3" s="94" t="s">
        <v>10</v>
      </c>
      <c r="H3" s="103">
        <v>10</v>
      </c>
      <c r="I3" s="103">
        <v>5</v>
      </c>
      <c r="J3" s="103">
        <v>5</v>
      </c>
      <c r="K3" s="103">
        <v>10</v>
      </c>
      <c r="L3" s="103">
        <v>10</v>
      </c>
      <c r="M3" s="103"/>
      <c r="N3" s="103">
        <v>5</v>
      </c>
      <c r="O3" s="103">
        <v>5</v>
      </c>
      <c r="P3" s="103">
        <v>10</v>
      </c>
      <c r="Q3" s="103">
        <v>10</v>
      </c>
      <c r="R3" s="103">
        <v>10</v>
      </c>
      <c r="S3" s="103">
        <v>10</v>
      </c>
      <c r="T3" s="103">
        <v>5</v>
      </c>
      <c r="U3" s="103">
        <v>10</v>
      </c>
      <c r="V3" s="103">
        <v>10</v>
      </c>
      <c r="W3" s="103">
        <v>10</v>
      </c>
      <c r="X3" s="103">
        <v>10</v>
      </c>
      <c r="Y3" s="103">
        <v>10</v>
      </c>
      <c r="Z3" s="103">
        <v>10</v>
      </c>
      <c r="AA3" s="103">
        <v>10</v>
      </c>
      <c r="AB3" s="103">
        <v>10</v>
      </c>
      <c r="AC3" s="103">
        <v>10</v>
      </c>
      <c r="AD3" s="103">
        <v>10</v>
      </c>
      <c r="AE3" s="103">
        <v>10</v>
      </c>
      <c r="AF3" s="103">
        <v>10</v>
      </c>
      <c r="AG3" s="103">
        <v>10</v>
      </c>
      <c r="AH3" s="103">
        <v>10</v>
      </c>
      <c r="AI3" s="103">
        <v>10</v>
      </c>
      <c r="AJ3" s="103">
        <v>10</v>
      </c>
      <c r="AK3" s="103">
        <v>10</v>
      </c>
      <c r="AL3" s="103">
        <v>10</v>
      </c>
      <c r="AM3" s="103">
        <v>10</v>
      </c>
      <c r="AN3" s="103">
        <v>10</v>
      </c>
      <c r="AO3" s="103">
        <v>10</v>
      </c>
      <c r="AP3" s="103">
        <v>10</v>
      </c>
      <c r="AQ3" s="103">
        <v>10</v>
      </c>
      <c r="AR3" s="103">
        <v>10</v>
      </c>
      <c r="AS3" s="103">
        <v>10</v>
      </c>
      <c r="AT3" s="103">
        <v>10</v>
      </c>
      <c r="AU3" s="103">
        <v>1</v>
      </c>
      <c r="AV3" s="103">
        <v>1</v>
      </c>
      <c r="AW3" s="103">
        <v>4</v>
      </c>
      <c r="AX3" s="103">
        <v>5</v>
      </c>
      <c r="AY3" s="103">
        <v>5</v>
      </c>
      <c r="AZ3" s="103">
        <v>5</v>
      </c>
      <c r="BA3" s="103">
        <v>10</v>
      </c>
      <c r="BB3" s="103">
        <v>10</v>
      </c>
      <c r="BC3" s="103">
        <v>10</v>
      </c>
      <c r="BD3" s="103">
        <v>10</v>
      </c>
      <c r="BE3" s="103">
        <v>10</v>
      </c>
      <c r="BF3" s="103">
        <v>5</v>
      </c>
      <c r="BG3" s="103">
        <v>1</v>
      </c>
      <c r="BH3" s="103">
        <v>4</v>
      </c>
      <c r="BI3" s="103">
        <v>5</v>
      </c>
      <c r="BJ3" s="103">
        <v>5</v>
      </c>
      <c r="BK3" s="103">
        <v>5</v>
      </c>
      <c r="BL3" s="103">
        <v>10</v>
      </c>
      <c r="BM3" s="103">
        <v>10</v>
      </c>
      <c r="BN3" s="103">
        <v>10</v>
      </c>
      <c r="BO3" s="103">
        <v>10</v>
      </c>
      <c r="BP3" s="103">
        <v>1</v>
      </c>
      <c r="BQ3" s="103">
        <v>1</v>
      </c>
      <c r="BR3" s="103">
        <v>1</v>
      </c>
      <c r="BS3" s="103">
        <v>4</v>
      </c>
      <c r="BT3" s="103">
        <v>4</v>
      </c>
      <c r="BU3" s="103">
        <v>5</v>
      </c>
      <c r="BV3" s="103">
        <v>5</v>
      </c>
      <c r="BW3" s="103">
        <v>5</v>
      </c>
      <c r="BX3" s="103">
        <v>5</v>
      </c>
      <c r="BY3" s="103">
        <v>5</v>
      </c>
      <c r="BZ3" s="103">
        <v>5</v>
      </c>
      <c r="CA3" s="103">
        <v>10</v>
      </c>
      <c r="CB3" s="103">
        <v>10</v>
      </c>
      <c r="CC3" s="103">
        <v>10</v>
      </c>
      <c r="CD3" s="103">
        <v>10</v>
      </c>
      <c r="CE3" s="103">
        <v>10</v>
      </c>
      <c r="CF3" s="103">
        <v>10</v>
      </c>
      <c r="CG3" s="103">
        <v>10</v>
      </c>
      <c r="CH3" s="103">
        <v>10</v>
      </c>
      <c r="CI3" s="103">
        <v>5</v>
      </c>
      <c r="CJ3" s="103">
        <v>10</v>
      </c>
      <c r="CK3" s="103">
        <v>10</v>
      </c>
      <c r="CL3" s="103">
        <v>10</v>
      </c>
      <c r="CM3" s="103">
        <v>10</v>
      </c>
      <c r="CN3" s="103">
        <v>5</v>
      </c>
      <c r="CO3" s="103">
        <v>10</v>
      </c>
      <c r="CP3" s="103">
        <v>10</v>
      </c>
      <c r="CQ3" s="103">
        <v>10</v>
      </c>
      <c r="CR3" s="103">
        <v>10</v>
      </c>
      <c r="CS3" s="103">
        <v>10</v>
      </c>
      <c r="CT3" s="103">
        <v>5</v>
      </c>
      <c r="CU3" s="103">
        <v>10</v>
      </c>
      <c r="CV3" s="103">
        <v>10</v>
      </c>
      <c r="CW3" s="103">
        <v>10</v>
      </c>
      <c r="CX3" s="103">
        <v>10</v>
      </c>
      <c r="CY3" s="103">
        <v>10</v>
      </c>
      <c r="CZ3" s="103">
        <v>10</v>
      </c>
      <c r="DA3" s="103">
        <v>10</v>
      </c>
      <c r="DB3" s="103">
        <v>10</v>
      </c>
      <c r="DC3" s="103">
        <v>10</v>
      </c>
      <c r="DD3" s="103">
        <v>10</v>
      </c>
      <c r="DE3" s="103">
        <v>5</v>
      </c>
      <c r="DF3" s="103">
        <v>10</v>
      </c>
      <c r="DG3" s="103">
        <v>10</v>
      </c>
      <c r="DH3" s="103">
        <v>10</v>
      </c>
      <c r="DI3" s="103">
        <v>10</v>
      </c>
      <c r="DJ3" s="103">
        <v>10</v>
      </c>
      <c r="DK3" s="103">
        <v>10</v>
      </c>
      <c r="DL3" s="103">
        <v>10</v>
      </c>
      <c r="DM3" s="103">
        <v>5</v>
      </c>
      <c r="DN3" s="103">
        <v>5</v>
      </c>
      <c r="DO3" s="103">
        <v>10</v>
      </c>
      <c r="DP3" s="103">
        <v>10</v>
      </c>
      <c r="DQ3" s="103">
        <v>10</v>
      </c>
      <c r="DR3" s="103">
        <v>10</v>
      </c>
      <c r="DS3" s="103">
        <v>10</v>
      </c>
      <c r="DT3" s="103">
        <v>10</v>
      </c>
      <c r="DU3" s="103">
        <v>10</v>
      </c>
      <c r="DV3" s="103">
        <v>20</v>
      </c>
      <c r="DW3" s="103">
        <v>10</v>
      </c>
      <c r="DX3" s="103">
        <v>10</v>
      </c>
      <c r="DY3" s="103">
        <v>10</v>
      </c>
      <c r="DZ3" s="103">
        <v>20</v>
      </c>
      <c r="EA3" s="103">
        <v>10</v>
      </c>
      <c r="EB3" s="103">
        <v>10</v>
      </c>
      <c r="EC3" s="103">
        <v>10</v>
      </c>
      <c r="ED3" s="103">
        <v>20</v>
      </c>
      <c r="EE3" s="103">
        <v>20</v>
      </c>
      <c r="EF3" s="103">
        <v>10</v>
      </c>
      <c r="EG3" s="103">
        <v>20</v>
      </c>
      <c r="EH3" s="103">
        <v>20</v>
      </c>
      <c r="EI3" s="103">
        <v>20</v>
      </c>
      <c r="EJ3" s="103">
        <v>10</v>
      </c>
      <c r="EK3" s="103">
        <v>20</v>
      </c>
      <c r="EL3" s="103">
        <v>20</v>
      </c>
      <c r="EM3" s="103">
        <v>20</v>
      </c>
      <c r="EN3" s="103">
        <v>10</v>
      </c>
      <c r="EO3" s="103">
        <v>20</v>
      </c>
      <c r="EP3" s="103">
        <v>20</v>
      </c>
      <c r="EQ3" s="103">
        <v>20</v>
      </c>
      <c r="ER3" s="103">
        <v>10</v>
      </c>
      <c r="ES3" s="103">
        <v>20</v>
      </c>
      <c r="ET3" s="103">
        <v>20</v>
      </c>
      <c r="EU3" s="103">
        <v>20</v>
      </c>
      <c r="EV3" s="103">
        <v>20</v>
      </c>
      <c r="EW3" s="103">
        <v>20</v>
      </c>
      <c r="EX3" s="103">
        <v>20</v>
      </c>
      <c r="EY3" s="103">
        <v>20</v>
      </c>
      <c r="EZ3" s="103">
        <v>20</v>
      </c>
      <c r="FA3" s="103">
        <v>20</v>
      </c>
      <c r="FB3" s="103">
        <v>20</v>
      </c>
      <c r="FC3" s="103">
        <v>20</v>
      </c>
      <c r="FD3" s="103">
        <v>30</v>
      </c>
      <c r="FE3" s="103">
        <v>20</v>
      </c>
      <c r="FF3" s="103">
        <v>30</v>
      </c>
      <c r="FG3" s="103">
        <v>30</v>
      </c>
      <c r="FH3" s="103">
        <v>20</v>
      </c>
      <c r="FI3" s="103">
        <v>30</v>
      </c>
      <c r="FJ3" s="103">
        <v>30</v>
      </c>
      <c r="FK3" s="103"/>
      <c r="FL3" s="103"/>
      <c r="FM3" s="103"/>
      <c r="FN3" s="103"/>
      <c r="FO3" s="103"/>
      <c r="FP3" s="103"/>
      <c r="FQ3" s="111"/>
      <c r="FR3" s="112"/>
      <c r="FT3" s="106"/>
      <c r="FU3" s="107"/>
    </row>
    <row r="4" spans="1:179" s="93" customFormat="1" ht="40">
      <c r="A4" s="113"/>
      <c r="E4" s="113"/>
      <c r="F4" s="113"/>
      <c r="G4" s="113" t="s">
        <v>12</v>
      </c>
      <c r="H4" s="114" t="s">
        <v>13</v>
      </c>
      <c r="I4" s="114" t="s">
        <v>14</v>
      </c>
      <c r="J4" s="114" t="s">
        <v>15</v>
      </c>
      <c r="K4" s="114" t="s">
        <v>16</v>
      </c>
      <c r="L4" s="114" t="s">
        <v>17</v>
      </c>
      <c r="M4" s="114" t="s">
        <v>17</v>
      </c>
      <c r="N4" s="114" t="s">
        <v>18</v>
      </c>
      <c r="O4" s="114" t="s">
        <v>19</v>
      </c>
      <c r="P4" s="114" t="s">
        <v>20</v>
      </c>
      <c r="Q4" s="114" t="s">
        <v>21</v>
      </c>
      <c r="R4" s="114" t="s">
        <v>22</v>
      </c>
      <c r="S4" s="114" t="s">
        <v>22</v>
      </c>
      <c r="T4" s="114" t="s">
        <v>23</v>
      </c>
      <c r="U4" s="114" t="s">
        <v>24</v>
      </c>
      <c r="V4" s="114" t="s">
        <v>25</v>
      </c>
      <c r="W4" s="114" t="s">
        <v>26</v>
      </c>
      <c r="X4" s="114" t="s">
        <v>26</v>
      </c>
      <c r="Y4" s="114" t="s">
        <v>27</v>
      </c>
      <c r="Z4" s="114" t="s">
        <v>28</v>
      </c>
      <c r="AA4" s="114" t="s">
        <v>637</v>
      </c>
      <c r="AB4" s="114" t="s">
        <v>29</v>
      </c>
      <c r="AC4" s="114" t="s">
        <v>30</v>
      </c>
      <c r="AD4" s="114" t="s">
        <v>31</v>
      </c>
      <c r="AE4" s="114" t="s">
        <v>32</v>
      </c>
      <c r="AF4" s="114" t="s">
        <v>33</v>
      </c>
      <c r="AG4" s="114" t="s">
        <v>34</v>
      </c>
      <c r="AH4" s="114" t="s">
        <v>35</v>
      </c>
      <c r="AI4" s="114" t="s">
        <v>36</v>
      </c>
      <c r="AJ4" s="114" t="s">
        <v>37</v>
      </c>
      <c r="AK4" s="114" t="s">
        <v>38</v>
      </c>
      <c r="AL4" s="114" t="s">
        <v>39</v>
      </c>
      <c r="AM4" s="114" t="s">
        <v>638</v>
      </c>
      <c r="AN4" s="114" t="s">
        <v>851</v>
      </c>
      <c r="AO4" s="114" t="s">
        <v>41</v>
      </c>
      <c r="AP4" s="114" t="s">
        <v>42</v>
      </c>
      <c r="AQ4" s="114" t="s">
        <v>43</v>
      </c>
      <c r="AR4" s="114" t="s">
        <v>45</v>
      </c>
      <c r="AS4" s="114" t="s">
        <v>46</v>
      </c>
      <c r="AT4" s="114" t="s">
        <v>47</v>
      </c>
      <c r="AU4" s="114" t="s">
        <v>48</v>
      </c>
      <c r="AV4" s="114" t="s">
        <v>48</v>
      </c>
      <c r="AW4" s="114" t="s">
        <v>49</v>
      </c>
      <c r="AX4" s="114" t="s">
        <v>50</v>
      </c>
      <c r="AY4" s="114" t="s">
        <v>51</v>
      </c>
      <c r="AZ4" s="114" t="s">
        <v>52</v>
      </c>
      <c r="BA4" s="114" t="s">
        <v>53</v>
      </c>
      <c r="BB4" s="114" t="s">
        <v>54</v>
      </c>
      <c r="BC4" s="114" t="s">
        <v>55</v>
      </c>
      <c r="BD4" s="114" t="s">
        <v>56</v>
      </c>
      <c r="BE4" s="114" t="s">
        <v>57</v>
      </c>
      <c r="BF4" s="114" t="s">
        <v>57</v>
      </c>
      <c r="BG4" s="114" t="s">
        <v>58</v>
      </c>
      <c r="BH4" s="114" t="s">
        <v>59</v>
      </c>
      <c r="BI4" s="114" t="s">
        <v>60</v>
      </c>
      <c r="BJ4" s="114" t="s">
        <v>61</v>
      </c>
      <c r="BK4" s="114" t="s">
        <v>62</v>
      </c>
      <c r="BL4" s="114" t="s">
        <v>63</v>
      </c>
      <c r="BM4" s="114" t="s">
        <v>64</v>
      </c>
      <c r="BN4" s="114" t="s">
        <v>65</v>
      </c>
      <c r="BO4" s="114" t="s">
        <v>66</v>
      </c>
      <c r="BP4" s="114" t="s">
        <v>67</v>
      </c>
      <c r="BQ4" s="114" t="s">
        <v>67</v>
      </c>
      <c r="BR4" s="114" t="s">
        <v>67</v>
      </c>
      <c r="BS4" s="116" t="s">
        <v>68</v>
      </c>
      <c r="BT4" s="116" t="s">
        <v>68</v>
      </c>
      <c r="BU4" s="116" t="s">
        <v>69</v>
      </c>
      <c r="BV4" s="116" t="s">
        <v>69</v>
      </c>
      <c r="BW4" s="114" t="s">
        <v>70</v>
      </c>
      <c r="BX4" s="116" t="s">
        <v>71</v>
      </c>
      <c r="BY4" s="116" t="s">
        <v>71</v>
      </c>
      <c r="BZ4" s="116" t="s">
        <v>71</v>
      </c>
      <c r="CA4" s="114" t="s">
        <v>72</v>
      </c>
      <c r="CB4" s="116" t="s">
        <v>73</v>
      </c>
      <c r="CC4" s="116" t="s">
        <v>73</v>
      </c>
      <c r="CD4" s="114" t="s">
        <v>74</v>
      </c>
      <c r="CE4" s="114" t="s">
        <v>75</v>
      </c>
      <c r="CF4" s="116" t="s">
        <v>76</v>
      </c>
      <c r="CG4" s="116" t="s">
        <v>76</v>
      </c>
      <c r="CH4" s="114" t="s">
        <v>77</v>
      </c>
      <c r="CI4" s="114" t="s">
        <v>78</v>
      </c>
      <c r="CJ4" s="114" t="s">
        <v>79</v>
      </c>
      <c r="CK4" s="114" t="s">
        <v>80</v>
      </c>
      <c r="CL4" s="114" t="s">
        <v>81</v>
      </c>
      <c r="CM4" s="114" t="s">
        <v>82</v>
      </c>
      <c r="CN4" s="114" t="s">
        <v>83</v>
      </c>
      <c r="CO4" s="114" t="s">
        <v>84</v>
      </c>
      <c r="CP4" s="116" t="s">
        <v>85</v>
      </c>
      <c r="CQ4" s="116" t="s">
        <v>85</v>
      </c>
      <c r="CR4" s="114" t="s">
        <v>86</v>
      </c>
      <c r="CS4" s="114" t="s">
        <v>87</v>
      </c>
      <c r="CT4" s="114" t="s">
        <v>88</v>
      </c>
      <c r="CU4" s="114" t="s">
        <v>89</v>
      </c>
      <c r="CV4" s="114" t="s">
        <v>90</v>
      </c>
      <c r="CW4" s="116" t="s">
        <v>91</v>
      </c>
      <c r="CX4" s="116" t="s">
        <v>91</v>
      </c>
      <c r="CY4" s="114" t="s">
        <v>92</v>
      </c>
      <c r="CZ4" s="114" t="s">
        <v>93</v>
      </c>
      <c r="DA4" s="114" t="s">
        <v>94</v>
      </c>
      <c r="DB4" s="114" t="s">
        <v>95</v>
      </c>
      <c r="DC4" s="114" t="s">
        <v>96</v>
      </c>
      <c r="DD4" s="114" t="s">
        <v>97</v>
      </c>
      <c r="DE4" s="114" t="s">
        <v>97</v>
      </c>
      <c r="DF4" s="114" t="s">
        <v>98</v>
      </c>
      <c r="DG4" s="114" t="s">
        <v>99</v>
      </c>
      <c r="DH4" s="116" t="s">
        <v>100</v>
      </c>
      <c r="DI4" s="116" t="s">
        <v>100</v>
      </c>
      <c r="DJ4" s="116" t="s">
        <v>101</v>
      </c>
      <c r="DK4" s="116" t="s">
        <v>101</v>
      </c>
      <c r="DL4" s="114" t="s">
        <v>102</v>
      </c>
      <c r="DM4" s="114" t="s">
        <v>102</v>
      </c>
      <c r="DN4" s="116" t="s">
        <v>1083</v>
      </c>
      <c r="DO4" s="114" t="s">
        <v>103</v>
      </c>
      <c r="DP4" s="114" t="s">
        <v>104</v>
      </c>
      <c r="DQ4" s="114" t="s">
        <v>105</v>
      </c>
      <c r="DR4" s="114" t="s">
        <v>106</v>
      </c>
      <c r="DS4" s="114" t="s">
        <v>107</v>
      </c>
      <c r="DT4" s="114" t="s">
        <v>108</v>
      </c>
      <c r="DU4" s="114" t="s">
        <v>109</v>
      </c>
      <c r="DV4" s="114" t="s">
        <v>110</v>
      </c>
      <c r="DW4" s="114" t="s">
        <v>1027</v>
      </c>
      <c r="DX4" s="114" t="s">
        <v>114</v>
      </c>
      <c r="DY4" s="114" t="s">
        <v>115</v>
      </c>
      <c r="DZ4" s="114" t="s">
        <v>116</v>
      </c>
      <c r="EA4" s="114" t="s">
        <v>1084</v>
      </c>
      <c r="EB4" s="114" t="s">
        <v>119</v>
      </c>
      <c r="EC4" s="114" t="s">
        <v>120</v>
      </c>
      <c r="ED4" s="114" t="s">
        <v>121</v>
      </c>
      <c r="EE4" s="114" t="s">
        <v>122</v>
      </c>
      <c r="EF4" s="114" t="s">
        <v>123</v>
      </c>
      <c r="EG4" s="114" t="s">
        <v>124</v>
      </c>
      <c r="EH4" s="114" t="s">
        <v>125</v>
      </c>
      <c r="EI4" s="114" t="s">
        <v>126</v>
      </c>
      <c r="EJ4" s="114" t="s">
        <v>127</v>
      </c>
      <c r="EK4" s="114" t="s">
        <v>128</v>
      </c>
      <c r="EL4" s="114" t="s">
        <v>129</v>
      </c>
      <c r="EM4" s="114" t="s">
        <v>130</v>
      </c>
      <c r="EN4" s="114" t="s">
        <v>131</v>
      </c>
      <c r="EO4" s="114" t="s">
        <v>132</v>
      </c>
      <c r="EP4" s="114" t="s">
        <v>133</v>
      </c>
      <c r="EQ4" s="114" t="s">
        <v>134</v>
      </c>
      <c r="ER4" s="114" t="s">
        <v>135</v>
      </c>
      <c r="ES4" s="114" t="s">
        <v>136</v>
      </c>
      <c r="ET4" s="114" t="s">
        <v>137</v>
      </c>
      <c r="EU4" s="114" t="s">
        <v>138</v>
      </c>
      <c r="EV4" s="114" t="s">
        <v>139</v>
      </c>
      <c r="EW4" s="114" t="s">
        <v>140</v>
      </c>
      <c r="EX4" s="114" t="s">
        <v>141</v>
      </c>
      <c r="EY4" s="114" t="s">
        <v>142</v>
      </c>
      <c r="EZ4" s="114" t="s">
        <v>143</v>
      </c>
      <c r="FA4" s="114" t="s">
        <v>144</v>
      </c>
      <c r="FB4" s="114" t="s">
        <v>145</v>
      </c>
      <c r="FC4" s="114" t="s">
        <v>146</v>
      </c>
      <c r="FD4" s="114" t="s">
        <v>147</v>
      </c>
      <c r="FE4" s="114" t="s">
        <v>148</v>
      </c>
      <c r="FF4" s="114" t="s">
        <v>149</v>
      </c>
      <c r="FG4" s="114" t="s">
        <v>150</v>
      </c>
      <c r="FH4" s="114" t="s">
        <v>151</v>
      </c>
      <c r="FI4" s="114" t="s">
        <v>152</v>
      </c>
      <c r="FJ4" s="114" t="s">
        <v>645</v>
      </c>
      <c r="FK4" s="123" t="s">
        <v>156</v>
      </c>
      <c r="FL4" s="123" t="s">
        <v>157</v>
      </c>
      <c r="FM4" s="123" t="s">
        <v>648</v>
      </c>
      <c r="FN4" s="123" t="s">
        <v>649</v>
      </c>
      <c r="FO4" s="123" t="s">
        <v>159</v>
      </c>
      <c r="FP4" s="123" t="s">
        <v>859</v>
      </c>
      <c r="FQ4" s="125"/>
      <c r="FR4" s="113"/>
      <c r="FT4" s="126"/>
    </row>
    <row r="5" spans="1:179" s="102" customFormat="1" ht="20">
      <c r="A5" s="127"/>
      <c r="D5" s="128"/>
      <c r="E5" s="95" t="s">
        <v>162</v>
      </c>
      <c r="F5" s="129" t="s">
        <v>163</v>
      </c>
      <c r="G5" s="95" t="s">
        <v>164</v>
      </c>
      <c r="H5" s="130" t="s">
        <v>165</v>
      </c>
      <c r="I5" s="130" t="s">
        <v>166</v>
      </c>
      <c r="J5" s="130" t="s">
        <v>167</v>
      </c>
      <c r="K5" s="130" t="s">
        <v>168</v>
      </c>
      <c r="L5" s="130" t="s">
        <v>169</v>
      </c>
      <c r="M5" s="130" t="s">
        <v>1039</v>
      </c>
      <c r="N5" s="130" t="s">
        <v>170</v>
      </c>
      <c r="O5" s="130" t="s">
        <v>171</v>
      </c>
      <c r="P5" s="130" t="s">
        <v>172</v>
      </c>
      <c r="Q5" s="130" t="s">
        <v>173</v>
      </c>
      <c r="R5" s="130" t="s">
        <v>174</v>
      </c>
      <c r="S5" s="130" t="s">
        <v>860</v>
      </c>
      <c r="T5" s="130" t="s">
        <v>175</v>
      </c>
      <c r="U5" s="130" t="s">
        <v>176</v>
      </c>
      <c r="V5" s="130" t="s">
        <v>177</v>
      </c>
      <c r="W5" s="130" t="s">
        <v>178</v>
      </c>
      <c r="X5" s="130" t="s">
        <v>861</v>
      </c>
      <c r="Y5" s="130" t="s">
        <v>179</v>
      </c>
      <c r="Z5" s="130" t="s">
        <v>180</v>
      </c>
      <c r="AA5" s="130" t="s">
        <v>650</v>
      </c>
      <c r="AB5" s="130" t="s">
        <v>181</v>
      </c>
      <c r="AC5" s="130" t="s">
        <v>182</v>
      </c>
      <c r="AD5" s="130" t="s">
        <v>183</v>
      </c>
      <c r="AE5" s="130" t="s">
        <v>184</v>
      </c>
      <c r="AF5" s="130" t="s">
        <v>185</v>
      </c>
      <c r="AG5" s="130" t="s">
        <v>186</v>
      </c>
      <c r="AH5" s="130" t="s">
        <v>187</v>
      </c>
      <c r="AI5" s="130" t="s">
        <v>188</v>
      </c>
      <c r="AJ5" s="130" t="s">
        <v>189</v>
      </c>
      <c r="AK5" s="130" t="s">
        <v>190</v>
      </c>
      <c r="AL5" s="130" t="s">
        <v>191</v>
      </c>
      <c r="AM5" s="130" t="s">
        <v>193</v>
      </c>
      <c r="AN5" s="130" t="s">
        <v>862</v>
      </c>
      <c r="AO5" s="130" t="s">
        <v>194</v>
      </c>
      <c r="AP5" s="130" t="s">
        <v>195</v>
      </c>
      <c r="AQ5" s="130" t="s">
        <v>196</v>
      </c>
      <c r="AR5" s="130" t="s">
        <v>198</v>
      </c>
      <c r="AS5" s="130" t="s">
        <v>199</v>
      </c>
      <c r="AT5" s="130" t="s">
        <v>200</v>
      </c>
      <c r="AU5" s="130" t="s">
        <v>201</v>
      </c>
      <c r="AV5" s="130" t="s">
        <v>202</v>
      </c>
      <c r="AW5" s="130" t="s">
        <v>204</v>
      </c>
      <c r="AX5" s="130" t="s">
        <v>205</v>
      </c>
      <c r="AY5" s="130" t="s">
        <v>206</v>
      </c>
      <c r="AZ5" s="130" t="s">
        <v>208</v>
      </c>
      <c r="BA5" s="130" t="s">
        <v>209</v>
      </c>
      <c r="BB5" s="130" t="s">
        <v>210</v>
      </c>
      <c r="BC5" s="130" t="s">
        <v>211</v>
      </c>
      <c r="BD5" s="130" t="s">
        <v>212</v>
      </c>
      <c r="BE5" s="130" t="s">
        <v>213</v>
      </c>
      <c r="BF5" s="130" t="s">
        <v>214</v>
      </c>
      <c r="BG5" s="130" t="s">
        <v>215</v>
      </c>
      <c r="BH5" s="130" t="s">
        <v>218</v>
      </c>
      <c r="BI5" s="130" t="s">
        <v>219</v>
      </c>
      <c r="BJ5" s="130" t="s">
        <v>220</v>
      </c>
      <c r="BK5" s="130" t="s">
        <v>221</v>
      </c>
      <c r="BL5" s="130" t="s">
        <v>222</v>
      </c>
      <c r="BM5" s="130" t="s">
        <v>223</v>
      </c>
      <c r="BN5" s="130" t="s">
        <v>224</v>
      </c>
      <c r="BO5" s="130" t="s">
        <v>225</v>
      </c>
      <c r="BP5" s="130" t="s">
        <v>226</v>
      </c>
      <c r="BQ5" s="130" t="s">
        <v>968</v>
      </c>
      <c r="BR5" s="130" t="s">
        <v>1040</v>
      </c>
      <c r="BS5" s="130" t="s">
        <v>863</v>
      </c>
      <c r="BT5" s="130" t="s">
        <v>232</v>
      </c>
      <c r="BU5" s="130" t="s">
        <v>233</v>
      </c>
      <c r="BV5" s="130" t="s">
        <v>660</v>
      </c>
      <c r="BW5" s="130" t="s">
        <v>235</v>
      </c>
      <c r="BX5" s="130" t="s">
        <v>236</v>
      </c>
      <c r="BY5" s="130" t="s">
        <v>237</v>
      </c>
      <c r="BZ5" s="130" t="s">
        <v>238</v>
      </c>
      <c r="CA5" s="130" t="s">
        <v>239</v>
      </c>
      <c r="CB5" s="130" t="s">
        <v>240</v>
      </c>
      <c r="CC5" s="130" t="s">
        <v>1041</v>
      </c>
      <c r="CD5" s="130" t="s">
        <v>241</v>
      </c>
      <c r="CE5" s="130" t="s">
        <v>969</v>
      </c>
      <c r="CF5" s="130" t="s">
        <v>243</v>
      </c>
      <c r="CG5" s="130" t="s">
        <v>244</v>
      </c>
      <c r="CH5" s="130" t="s">
        <v>245</v>
      </c>
      <c r="CI5" s="130" t="s">
        <v>247</v>
      </c>
      <c r="CJ5" s="130" t="s">
        <v>248</v>
      </c>
      <c r="CK5" s="130" t="s">
        <v>249</v>
      </c>
      <c r="CL5" s="130" t="s">
        <v>250</v>
      </c>
      <c r="CM5" s="130" t="s">
        <v>251</v>
      </c>
      <c r="CN5" s="130" t="s">
        <v>252</v>
      </c>
      <c r="CO5" s="130" t="s">
        <v>254</v>
      </c>
      <c r="CP5" s="130" t="s">
        <v>256</v>
      </c>
      <c r="CQ5" s="130" t="s">
        <v>1042</v>
      </c>
      <c r="CR5" s="130" t="s">
        <v>257</v>
      </c>
      <c r="CS5" s="130" t="s">
        <v>1043</v>
      </c>
      <c r="CT5" s="130" t="s">
        <v>260</v>
      </c>
      <c r="CU5" s="130" t="s">
        <v>261</v>
      </c>
      <c r="CV5" s="130" t="s">
        <v>262</v>
      </c>
      <c r="CW5" s="130" t="s">
        <v>263</v>
      </c>
      <c r="CX5" s="130" t="s">
        <v>264</v>
      </c>
      <c r="CY5" s="130" t="s">
        <v>265</v>
      </c>
      <c r="CZ5" s="130" t="s">
        <v>266</v>
      </c>
      <c r="DA5" s="130" t="s">
        <v>268</v>
      </c>
      <c r="DB5" s="130" t="s">
        <v>269</v>
      </c>
      <c r="DC5" s="130" t="s">
        <v>270</v>
      </c>
      <c r="DD5" s="130" t="s">
        <v>271</v>
      </c>
      <c r="DE5" s="130" t="s">
        <v>670</v>
      </c>
      <c r="DF5" s="130" t="s">
        <v>273</v>
      </c>
      <c r="DG5" s="130" t="s">
        <v>274</v>
      </c>
      <c r="DH5" s="130" t="s">
        <v>671</v>
      </c>
      <c r="DI5" s="130" t="s">
        <v>276</v>
      </c>
      <c r="DJ5" s="130" t="s">
        <v>277</v>
      </c>
      <c r="DK5" s="130" t="s">
        <v>673</v>
      </c>
      <c r="DL5" s="130" t="s">
        <v>278</v>
      </c>
      <c r="DM5" s="130" t="s">
        <v>279</v>
      </c>
      <c r="DN5" s="130" t="s">
        <v>280</v>
      </c>
      <c r="DO5" s="130" t="s">
        <v>281</v>
      </c>
      <c r="DP5" s="130" t="s">
        <v>282</v>
      </c>
      <c r="DQ5" s="130" t="s">
        <v>283</v>
      </c>
      <c r="DR5" s="130" t="s">
        <v>284</v>
      </c>
      <c r="DS5" s="130" t="s">
        <v>285</v>
      </c>
      <c r="DT5" s="130" t="s">
        <v>286</v>
      </c>
      <c r="DU5" s="130" t="s">
        <v>287</v>
      </c>
      <c r="DV5" s="130" t="s">
        <v>288</v>
      </c>
      <c r="DW5" s="130" t="s">
        <v>290</v>
      </c>
      <c r="DX5" s="130" t="s">
        <v>292</v>
      </c>
      <c r="DY5" s="130" t="s">
        <v>293</v>
      </c>
      <c r="DZ5" s="130" t="s">
        <v>294</v>
      </c>
      <c r="EA5" s="130" t="s">
        <v>295</v>
      </c>
      <c r="EB5" s="130" t="s">
        <v>297</v>
      </c>
      <c r="EC5" s="130" t="s">
        <v>298</v>
      </c>
      <c r="ED5" s="130" t="s">
        <v>299</v>
      </c>
      <c r="EE5" s="130" t="s">
        <v>300</v>
      </c>
      <c r="EF5" s="130" t="s">
        <v>301</v>
      </c>
      <c r="EG5" s="130" t="s">
        <v>1044</v>
      </c>
      <c r="EH5" s="130" t="s">
        <v>869</v>
      </c>
      <c r="EI5" s="130" t="s">
        <v>304</v>
      </c>
      <c r="EJ5" s="130" t="s">
        <v>305</v>
      </c>
      <c r="EK5" s="130" t="s">
        <v>306</v>
      </c>
      <c r="EL5" s="130" t="s">
        <v>307</v>
      </c>
      <c r="EM5" s="130" t="s">
        <v>308</v>
      </c>
      <c r="EN5" s="130" t="s">
        <v>310</v>
      </c>
      <c r="EO5" s="130" t="s">
        <v>311</v>
      </c>
      <c r="EP5" s="130" t="s">
        <v>312</v>
      </c>
      <c r="EQ5" s="130" t="s">
        <v>313</v>
      </c>
      <c r="ER5" s="130" t="s">
        <v>314</v>
      </c>
      <c r="ES5" s="130" t="s">
        <v>315</v>
      </c>
      <c r="ET5" s="130" t="s">
        <v>316</v>
      </c>
      <c r="EU5" s="130" t="s">
        <v>317</v>
      </c>
      <c r="EV5" s="130" t="s">
        <v>318</v>
      </c>
      <c r="EW5" s="130" t="s">
        <v>319</v>
      </c>
      <c r="EX5" s="130" t="s">
        <v>320</v>
      </c>
      <c r="EY5" s="130" t="s">
        <v>321</v>
      </c>
      <c r="EZ5" s="130" t="s">
        <v>322</v>
      </c>
      <c r="FA5" s="130" t="s">
        <v>323</v>
      </c>
      <c r="FB5" s="130" t="s">
        <v>324</v>
      </c>
      <c r="FC5" s="130" t="s">
        <v>325</v>
      </c>
      <c r="FD5" s="130" t="s">
        <v>326</v>
      </c>
      <c r="FE5" s="130" t="s">
        <v>327</v>
      </c>
      <c r="FF5" s="130" t="s">
        <v>328</v>
      </c>
      <c r="FG5" s="130" t="s">
        <v>329</v>
      </c>
      <c r="FH5" s="130" t="s">
        <v>330</v>
      </c>
      <c r="FI5" s="130" t="s">
        <v>1045</v>
      </c>
      <c r="FJ5" s="130" t="s">
        <v>1046</v>
      </c>
      <c r="FK5" s="130" t="s">
        <v>336</v>
      </c>
      <c r="FL5" s="130" t="s">
        <v>337</v>
      </c>
      <c r="FM5" s="130" t="s">
        <v>688</v>
      </c>
      <c r="FN5" s="130" t="s">
        <v>341</v>
      </c>
      <c r="FO5" s="130" t="s">
        <v>339</v>
      </c>
      <c r="FP5" s="130" t="s">
        <v>873</v>
      </c>
      <c r="FQ5" s="131"/>
      <c r="FR5" s="100"/>
      <c r="FS5" s="101"/>
    </row>
    <row r="6" spans="1:179" s="112" customFormat="1" ht="11">
      <c r="A6" s="132" t="s">
        <v>743</v>
      </c>
      <c r="B6" s="128" t="s">
        <v>744</v>
      </c>
      <c r="C6" s="128" t="s">
        <v>745</v>
      </c>
      <c r="D6" s="128" t="s">
        <v>746</v>
      </c>
      <c r="E6" s="133" t="s">
        <v>346</v>
      </c>
      <c r="F6" s="133"/>
      <c r="G6" s="134" t="s">
        <v>347</v>
      </c>
      <c r="H6" s="135" t="s">
        <v>348</v>
      </c>
      <c r="I6" s="135" t="s">
        <v>349</v>
      </c>
      <c r="J6" s="135" t="s">
        <v>350</v>
      </c>
      <c r="K6" s="135" t="s">
        <v>351</v>
      </c>
      <c r="L6" s="135" t="s">
        <v>352</v>
      </c>
      <c r="M6" s="135" t="s">
        <v>1047</v>
      </c>
      <c r="N6" s="135" t="s">
        <v>353</v>
      </c>
      <c r="O6" s="135" t="s">
        <v>354</v>
      </c>
      <c r="P6" s="135" t="s">
        <v>355</v>
      </c>
      <c r="Q6" s="135" t="s">
        <v>356</v>
      </c>
      <c r="R6" s="135" t="s">
        <v>357</v>
      </c>
      <c r="S6" s="135" t="s">
        <v>874</v>
      </c>
      <c r="T6" s="135" t="s">
        <v>358</v>
      </c>
      <c r="U6" s="135" t="s">
        <v>359</v>
      </c>
      <c r="V6" s="135" t="s">
        <v>360</v>
      </c>
      <c r="W6" s="135" t="s">
        <v>361</v>
      </c>
      <c r="X6" s="135" t="s">
        <v>875</v>
      </c>
      <c r="Y6" s="135" t="s">
        <v>362</v>
      </c>
      <c r="Z6" s="135" t="s">
        <v>363</v>
      </c>
      <c r="AA6" s="135" t="s">
        <v>689</v>
      </c>
      <c r="AB6" s="135" t="s">
        <v>364</v>
      </c>
      <c r="AC6" s="135" t="s">
        <v>365</v>
      </c>
      <c r="AD6" s="135" t="s">
        <v>366</v>
      </c>
      <c r="AE6" s="135" t="s">
        <v>367</v>
      </c>
      <c r="AF6" s="135" t="s">
        <v>368</v>
      </c>
      <c r="AG6" s="135" t="s">
        <v>369</v>
      </c>
      <c r="AH6" s="135" t="s">
        <v>370</v>
      </c>
      <c r="AI6" s="135" t="s">
        <v>371</v>
      </c>
      <c r="AJ6" s="135" t="s">
        <v>372</v>
      </c>
      <c r="AK6" s="135" t="s">
        <v>373</v>
      </c>
      <c r="AL6" s="135" t="s">
        <v>374</v>
      </c>
      <c r="AM6" s="135" t="s">
        <v>376</v>
      </c>
      <c r="AN6" s="135" t="s">
        <v>876</v>
      </c>
      <c r="AO6" s="135" t="s">
        <v>377</v>
      </c>
      <c r="AP6" s="135" t="s">
        <v>378</v>
      </c>
      <c r="AQ6" s="135" t="s">
        <v>379</v>
      </c>
      <c r="AR6" s="135" t="s">
        <v>381</v>
      </c>
      <c r="AS6" s="135" t="s">
        <v>382</v>
      </c>
      <c r="AT6" s="135" t="s">
        <v>383</v>
      </c>
      <c r="AU6" s="135" t="s">
        <v>384</v>
      </c>
      <c r="AV6" s="135" t="s">
        <v>385</v>
      </c>
      <c r="AW6" s="135" t="s">
        <v>387</v>
      </c>
      <c r="AX6" s="135" t="s">
        <v>388</v>
      </c>
      <c r="AY6" s="135" t="s">
        <v>389</v>
      </c>
      <c r="AZ6" s="135" t="s">
        <v>390</v>
      </c>
      <c r="BA6" s="135" t="s">
        <v>391</v>
      </c>
      <c r="BB6" s="135" t="s">
        <v>392</v>
      </c>
      <c r="BC6" s="135" t="s">
        <v>393</v>
      </c>
      <c r="BD6" s="135" t="s">
        <v>394</v>
      </c>
      <c r="BE6" s="135" t="s">
        <v>395</v>
      </c>
      <c r="BF6" s="135" t="s">
        <v>396</v>
      </c>
      <c r="BG6" s="135" t="s">
        <v>397</v>
      </c>
      <c r="BH6" s="135" t="s">
        <v>400</v>
      </c>
      <c r="BI6" s="135" t="s">
        <v>401</v>
      </c>
      <c r="BJ6" s="135" t="s">
        <v>402</v>
      </c>
      <c r="BK6" s="135" t="s">
        <v>403</v>
      </c>
      <c r="BL6" s="135" t="s">
        <v>404</v>
      </c>
      <c r="BM6" s="135" t="s">
        <v>405</v>
      </c>
      <c r="BN6" s="135" t="s">
        <v>406</v>
      </c>
      <c r="BO6" s="135" t="s">
        <v>407</v>
      </c>
      <c r="BP6" s="135" t="s">
        <v>408</v>
      </c>
      <c r="BQ6" s="135" t="s">
        <v>412</v>
      </c>
      <c r="BR6" s="135" t="s">
        <v>409</v>
      </c>
      <c r="BS6" s="135" t="s">
        <v>413</v>
      </c>
      <c r="BT6" s="135" t="s">
        <v>413</v>
      </c>
      <c r="BU6" s="135" t="s">
        <v>414</v>
      </c>
      <c r="BV6" s="135" t="s">
        <v>414</v>
      </c>
      <c r="BW6" s="135" t="s">
        <v>415</v>
      </c>
      <c r="BX6" s="135" t="s">
        <v>416</v>
      </c>
      <c r="BY6" s="135" t="s">
        <v>416</v>
      </c>
      <c r="BZ6" s="135" t="s">
        <v>416</v>
      </c>
      <c r="CA6" s="135" t="s">
        <v>417</v>
      </c>
      <c r="CB6" s="135" t="s">
        <v>418</v>
      </c>
      <c r="CC6" s="135" t="s">
        <v>418</v>
      </c>
      <c r="CD6" s="135" t="s">
        <v>419</v>
      </c>
      <c r="CE6" s="135" t="s">
        <v>420</v>
      </c>
      <c r="CF6" s="135" t="s">
        <v>421</v>
      </c>
      <c r="CG6" s="135" t="s">
        <v>421</v>
      </c>
      <c r="CH6" s="135" t="s">
        <v>422</v>
      </c>
      <c r="CI6" s="135" t="s">
        <v>423</v>
      </c>
      <c r="CJ6" s="135" t="s">
        <v>424</v>
      </c>
      <c r="CK6" s="135" t="s">
        <v>425</v>
      </c>
      <c r="CL6" s="135" t="s">
        <v>426</v>
      </c>
      <c r="CM6" s="135" t="s">
        <v>427</v>
      </c>
      <c r="CN6" s="135" t="s">
        <v>428</v>
      </c>
      <c r="CO6" s="135" t="s">
        <v>429</v>
      </c>
      <c r="CP6" s="135" t="s">
        <v>430</v>
      </c>
      <c r="CQ6" s="135" t="s">
        <v>430</v>
      </c>
      <c r="CR6" s="135" t="s">
        <v>431</v>
      </c>
      <c r="CS6" s="135" t="s">
        <v>432</v>
      </c>
      <c r="CT6" s="135" t="s">
        <v>434</v>
      </c>
      <c r="CU6" s="135" t="s">
        <v>435</v>
      </c>
      <c r="CV6" s="135" t="s">
        <v>436</v>
      </c>
      <c r="CW6" s="135" t="s">
        <v>437</v>
      </c>
      <c r="CX6" s="135" t="s">
        <v>437</v>
      </c>
      <c r="CY6" s="135" t="s">
        <v>438</v>
      </c>
      <c r="CZ6" s="135" t="s">
        <v>439</v>
      </c>
      <c r="DA6" s="135" t="s">
        <v>441</v>
      </c>
      <c r="DB6" s="135" t="s">
        <v>442</v>
      </c>
      <c r="DC6" s="135" t="s">
        <v>443</v>
      </c>
      <c r="DD6" s="135" t="s">
        <v>444</v>
      </c>
      <c r="DE6" s="135" t="s">
        <v>445</v>
      </c>
      <c r="DF6" s="135" t="s">
        <v>446</v>
      </c>
      <c r="DG6" s="135" t="s">
        <v>447</v>
      </c>
      <c r="DH6" s="135" t="s">
        <v>448</v>
      </c>
      <c r="DI6" s="135" t="s">
        <v>448</v>
      </c>
      <c r="DJ6" s="135" t="s">
        <v>449</v>
      </c>
      <c r="DK6" s="135" t="s">
        <v>449</v>
      </c>
      <c r="DL6" s="135" t="s">
        <v>450</v>
      </c>
      <c r="DM6" s="135" t="s">
        <v>451</v>
      </c>
      <c r="DN6" s="135" t="s">
        <v>450</v>
      </c>
      <c r="DO6" s="135" t="s">
        <v>452</v>
      </c>
      <c r="DP6" s="135" t="s">
        <v>453</v>
      </c>
      <c r="DQ6" s="135" t="s">
        <v>454</v>
      </c>
      <c r="DR6" s="135" t="s">
        <v>455</v>
      </c>
      <c r="DS6" s="135" t="s">
        <v>456</v>
      </c>
      <c r="DT6" s="135" t="s">
        <v>457</v>
      </c>
      <c r="DU6" s="135" t="s">
        <v>458</v>
      </c>
      <c r="DV6" s="135" t="s">
        <v>459</v>
      </c>
      <c r="DW6" s="135" t="s">
        <v>461</v>
      </c>
      <c r="DX6" s="135" t="s">
        <v>463</v>
      </c>
      <c r="DY6" s="135" t="s">
        <v>464</v>
      </c>
      <c r="DZ6" s="135" t="s">
        <v>465</v>
      </c>
      <c r="EA6" s="135" t="s">
        <v>466</v>
      </c>
      <c r="EB6" s="135" t="s">
        <v>468</v>
      </c>
      <c r="EC6" s="135" t="s">
        <v>469</v>
      </c>
      <c r="ED6" s="135" t="s">
        <v>470</v>
      </c>
      <c r="EE6" s="135" t="s">
        <v>471</v>
      </c>
      <c r="EF6" s="135" t="s">
        <v>472</v>
      </c>
      <c r="EG6" s="135" t="s">
        <v>473</v>
      </c>
      <c r="EH6" s="135" t="s">
        <v>474</v>
      </c>
      <c r="EI6" s="135" t="s">
        <v>475</v>
      </c>
      <c r="EJ6" s="135" t="s">
        <v>476</v>
      </c>
      <c r="EK6" s="135" t="s">
        <v>477</v>
      </c>
      <c r="EL6" s="135" t="s">
        <v>478</v>
      </c>
      <c r="EM6" s="135" t="s">
        <v>479</v>
      </c>
      <c r="EN6" s="135" t="s">
        <v>480</v>
      </c>
      <c r="EO6" s="135" t="s">
        <v>481</v>
      </c>
      <c r="EP6" s="135" t="s">
        <v>482</v>
      </c>
      <c r="EQ6" s="135" t="s">
        <v>483</v>
      </c>
      <c r="ER6" s="135" t="s">
        <v>484</v>
      </c>
      <c r="ES6" s="135" t="s">
        <v>485</v>
      </c>
      <c r="ET6" s="135" t="s">
        <v>486</v>
      </c>
      <c r="EU6" s="135" t="s">
        <v>487</v>
      </c>
      <c r="EV6" s="135" t="s">
        <v>488</v>
      </c>
      <c r="EW6" s="135" t="s">
        <v>489</v>
      </c>
      <c r="EX6" s="135" t="s">
        <v>490</v>
      </c>
      <c r="EY6" s="135" t="s">
        <v>491</v>
      </c>
      <c r="EZ6" s="135" t="s">
        <v>492</v>
      </c>
      <c r="FA6" s="135" t="s">
        <v>493</v>
      </c>
      <c r="FB6" s="135" t="s">
        <v>494</v>
      </c>
      <c r="FC6" s="135" t="s">
        <v>495</v>
      </c>
      <c r="FD6" s="135" t="s">
        <v>496</v>
      </c>
      <c r="FE6" s="135" t="s">
        <v>497</v>
      </c>
      <c r="FF6" s="135" t="s">
        <v>498</v>
      </c>
      <c r="FG6" s="135" t="s">
        <v>499</v>
      </c>
      <c r="FH6" s="135" t="s">
        <v>500</v>
      </c>
      <c r="FI6" s="135" t="s">
        <v>501</v>
      </c>
      <c r="FJ6" s="135" t="s">
        <v>502</v>
      </c>
      <c r="FK6" s="135" t="s">
        <v>505</v>
      </c>
      <c r="FL6" s="135" t="s">
        <v>506</v>
      </c>
      <c r="FM6" s="135" t="s">
        <v>701</v>
      </c>
      <c r="FN6" s="135" t="s">
        <v>702</v>
      </c>
      <c r="FO6" s="135" t="s">
        <v>508</v>
      </c>
      <c r="FP6" s="135" t="s">
        <v>886</v>
      </c>
      <c r="FQ6" s="137" t="s">
        <v>511</v>
      </c>
      <c r="FR6" s="137" t="s">
        <v>512</v>
      </c>
      <c r="FS6" s="137" t="s">
        <v>513</v>
      </c>
      <c r="FT6" s="137" t="s">
        <v>514</v>
      </c>
      <c r="FU6" s="137" t="s">
        <v>515</v>
      </c>
      <c r="FV6" s="108"/>
      <c r="FW6" s="112" t="s">
        <v>516</v>
      </c>
    </row>
    <row r="7" spans="1:179" s="371" customFormat="1">
      <c r="A7" s="368" t="s">
        <v>926</v>
      </c>
      <c r="B7" s="369" t="s">
        <v>517</v>
      </c>
      <c r="C7" s="369" t="s">
        <v>518</v>
      </c>
      <c r="D7" s="369" t="s">
        <v>636</v>
      </c>
      <c r="E7" s="370" t="s">
        <v>519</v>
      </c>
      <c r="F7" s="369" t="s">
        <v>520</v>
      </c>
      <c r="G7" s="369" t="s">
        <v>1048</v>
      </c>
      <c r="DG7" s="373">
        <f>5000-5000+1070</f>
        <v>1070</v>
      </c>
      <c r="DL7" s="373">
        <f>1000-1000+215</f>
        <v>215</v>
      </c>
      <c r="EE7" s="416">
        <f>200-200+22-22</f>
        <v>0</v>
      </c>
      <c r="FQ7" s="375" t="s">
        <v>850</v>
      </c>
      <c r="FR7" s="376" t="s">
        <v>1049</v>
      </c>
      <c r="FS7" s="377" t="s">
        <v>522</v>
      </c>
      <c r="FT7" s="377" t="s">
        <v>850</v>
      </c>
      <c r="FU7" s="377" t="s">
        <v>523</v>
      </c>
      <c r="FV7" s="144">
        <f t="shared" ref="FV7:FV38" si="0">SUM(H7:FP7)</f>
        <v>1285</v>
      </c>
      <c r="FW7" s="371" t="s">
        <v>888</v>
      </c>
    </row>
    <row r="8" spans="1:179" s="371" customFormat="1">
      <c r="A8" s="368" t="s">
        <v>926</v>
      </c>
      <c r="B8" s="369" t="s">
        <v>517</v>
      </c>
      <c r="C8" s="369" t="s">
        <v>518</v>
      </c>
      <c r="D8" s="369" t="s">
        <v>633</v>
      </c>
      <c r="E8" s="370" t="s">
        <v>519</v>
      </c>
      <c r="F8" s="369" t="s">
        <v>520</v>
      </c>
      <c r="G8" s="369" t="s">
        <v>1048</v>
      </c>
      <c r="H8" s="372" t="s">
        <v>850</v>
      </c>
      <c r="I8" s="373">
        <f>50-50+50</f>
        <v>50</v>
      </c>
      <c r="J8" s="373">
        <f>200-200</f>
        <v>0</v>
      </c>
      <c r="K8" s="373">
        <f>500-500</f>
        <v>0</v>
      </c>
      <c r="L8" s="372" t="s">
        <v>850</v>
      </c>
      <c r="M8" s="372" t="s">
        <v>850</v>
      </c>
      <c r="N8" s="373">
        <f>500-500</f>
        <v>0</v>
      </c>
      <c r="O8" s="373">
        <f>800-800</f>
        <v>0</v>
      </c>
      <c r="P8" s="373">
        <f>1500-1500</f>
        <v>0</v>
      </c>
      <c r="Q8" s="416">
        <f>100-100+1-1</f>
        <v>0</v>
      </c>
      <c r="R8" s="372" t="s">
        <v>850</v>
      </c>
      <c r="S8" s="372" t="s">
        <v>850</v>
      </c>
      <c r="T8" s="416">
        <f>1000-1000+4-4</f>
        <v>0</v>
      </c>
      <c r="U8" s="416">
        <f>1000-1000+4-4</f>
        <v>0</v>
      </c>
      <c r="V8" s="416">
        <f>100-100+2-2</f>
        <v>0</v>
      </c>
      <c r="W8" s="372" t="s">
        <v>850</v>
      </c>
      <c r="X8" s="372" t="s">
        <v>850</v>
      </c>
      <c r="Y8" s="373">
        <f>1000-1000</f>
        <v>0</v>
      </c>
      <c r="Z8" s="416">
        <f>2000-2000+510-110</f>
        <v>400</v>
      </c>
      <c r="AA8" s="373">
        <f>2000-2000</f>
        <v>0</v>
      </c>
      <c r="AB8" s="416">
        <f>2000-2000+2-2</f>
        <v>0</v>
      </c>
      <c r="AC8" s="373">
        <f>2000-2000</f>
        <v>0</v>
      </c>
      <c r="AD8" s="373">
        <f>2000-2000+660</f>
        <v>660</v>
      </c>
      <c r="AE8" s="373">
        <f>3000-3000+380</f>
        <v>380</v>
      </c>
      <c r="AF8" s="373">
        <f>2000-2000+2870</f>
        <v>2870</v>
      </c>
      <c r="AG8" s="373">
        <f>200-200</f>
        <v>0</v>
      </c>
      <c r="AH8" s="416">
        <f>500-500+1-1</f>
        <v>0</v>
      </c>
      <c r="AI8" s="373">
        <f>200-200</f>
        <v>0</v>
      </c>
      <c r="AJ8" s="372" t="s">
        <v>850</v>
      </c>
      <c r="AK8" s="372" t="s">
        <v>850</v>
      </c>
      <c r="AL8" s="373">
        <f>100-100</f>
        <v>0</v>
      </c>
      <c r="AM8" s="373">
        <f>100-100</f>
        <v>0</v>
      </c>
      <c r="AN8" s="373">
        <f>100-100</f>
        <v>0</v>
      </c>
      <c r="AO8" s="372" t="s">
        <v>850</v>
      </c>
      <c r="AP8" s="372" t="s">
        <v>850</v>
      </c>
      <c r="AQ8" s="372" t="s">
        <v>850</v>
      </c>
      <c r="AR8" s="372" t="s">
        <v>850</v>
      </c>
      <c r="AS8" s="372" t="s">
        <v>850</v>
      </c>
      <c r="AT8" s="372" t="s">
        <v>850</v>
      </c>
      <c r="AU8" s="372" t="s">
        <v>850</v>
      </c>
      <c r="AV8" s="372" t="s">
        <v>850</v>
      </c>
      <c r="AW8" s="373">
        <f>200-200</f>
        <v>0</v>
      </c>
      <c r="AX8" s="373">
        <f>200-200+35+15</f>
        <v>50</v>
      </c>
      <c r="AY8" s="373">
        <f>400-400+45</f>
        <v>45</v>
      </c>
      <c r="AZ8" s="373">
        <f>500-500</f>
        <v>0</v>
      </c>
      <c r="BA8" s="373">
        <f>1000-1000+515</f>
        <v>515</v>
      </c>
      <c r="BB8" s="373">
        <f>800-800</f>
        <v>0</v>
      </c>
      <c r="BC8" s="373">
        <f>800-800+1</f>
        <v>1</v>
      </c>
      <c r="BD8" s="373">
        <f>500-500</f>
        <v>0</v>
      </c>
      <c r="BE8" s="373">
        <f>1000-1000+150</f>
        <v>150</v>
      </c>
      <c r="BF8" s="372" t="s">
        <v>850</v>
      </c>
      <c r="BG8" s="372" t="s">
        <v>850</v>
      </c>
      <c r="BH8" s="373">
        <f>200-200</f>
        <v>0</v>
      </c>
      <c r="BI8" s="373">
        <f>200-200</f>
        <v>0</v>
      </c>
      <c r="BJ8" s="373">
        <f>500-500+4</f>
        <v>4</v>
      </c>
      <c r="BK8" s="373">
        <f>500-500+180</f>
        <v>180</v>
      </c>
      <c r="BL8" s="373">
        <f>800-800+990</f>
        <v>990</v>
      </c>
      <c r="BM8" s="373">
        <f>300-300+570</f>
        <v>570</v>
      </c>
      <c r="BN8" s="373">
        <f>300-300</f>
        <v>0</v>
      </c>
      <c r="BO8" s="373">
        <f>1000-1000+360</f>
        <v>360</v>
      </c>
      <c r="BP8" s="416">
        <f>100-100+8-8</f>
        <v>0</v>
      </c>
      <c r="BQ8" s="372" t="s">
        <v>850</v>
      </c>
      <c r="BR8" s="372" t="s">
        <v>850</v>
      </c>
      <c r="BS8" s="373">
        <f>500-500+75</f>
        <v>75</v>
      </c>
      <c r="BT8" s="373">
        <f>500-500+5</f>
        <v>5</v>
      </c>
      <c r="BU8" s="373">
        <f>500-500+6</f>
        <v>6</v>
      </c>
      <c r="BV8" s="373">
        <v>3</v>
      </c>
      <c r="BW8" s="373">
        <f>1000-1000+2</f>
        <v>2</v>
      </c>
      <c r="BX8" s="373">
        <f>1200-1200+400</f>
        <v>400</v>
      </c>
      <c r="BY8" s="417">
        <v>2</v>
      </c>
      <c r="BZ8" s="417">
        <v>12</v>
      </c>
      <c r="CA8" s="373">
        <f>500-500+1</f>
        <v>1</v>
      </c>
      <c r="CB8" s="373">
        <f>3000-3000+825</f>
        <v>825</v>
      </c>
      <c r="CC8" s="417">
        <v>5</v>
      </c>
      <c r="CD8" s="373">
        <f>800-800</f>
        <v>0</v>
      </c>
      <c r="CE8" s="373">
        <f>2000-2000</f>
        <v>0</v>
      </c>
      <c r="CG8" s="373">
        <f>1000-1000+2</f>
        <v>2</v>
      </c>
      <c r="CH8" s="373">
        <f>1000-1000+360</f>
        <v>360</v>
      </c>
      <c r="CI8" s="373">
        <f>1000-1000+495</f>
        <v>495</v>
      </c>
      <c r="CJ8" s="373">
        <f>3000-3000+735</f>
        <v>735</v>
      </c>
      <c r="CK8" s="373">
        <f>1000-1000</f>
        <v>0</v>
      </c>
      <c r="CL8" s="373">
        <f>2000-2000</f>
        <v>0</v>
      </c>
      <c r="CN8" s="373">
        <f>2000-2000+570</f>
        <v>570</v>
      </c>
      <c r="CO8" s="373">
        <f>5000-5000+1760</f>
        <v>1760</v>
      </c>
      <c r="CP8" s="373">
        <f>1500-1500+27</f>
        <v>27</v>
      </c>
      <c r="CQ8" s="372" t="s">
        <v>850</v>
      </c>
      <c r="CR8" s="373">
        <f>4000-4000+1</f>
        <v>1</v>
      </c>
      <c r="CS8" s="373">
        <f>1000-1000+2</f>
        <v>2</v>
      </c>
      <c r="CT8" s="373">
        <f>1000-1000</f>
        <v>0</v>
      </c>
      <c r="CU8" s="373">
        <f>1000-1000+1070</f>
        <v>1070</v>
      </c>
      <c r="CV8" s="373">
        <f>3000-3000+1270</f>
        <v>1270</v>
      </c>
      <c r="CW8" s="373">
        <f>4000-4000+3980</f>
        <v>3980</v>
      </c>
      <c r="CX8" s="417">
        <v>2</v>
      </c>
      <c r="CY8" s="373">
        <f>2000-2000+700</f>
        <v>700</v>
      </c>
      <c r="CZ8" s="373">
        <f>5000-5000+950</f>
        <v>950</v>
      </c>
      <c r="DA8" s="373">
        <f>200-200+2</f>
        <v>2</v>
      </c>
      <c r="DB8" s="373">
        <f>200-200</f>
        <v>0</v>
      </c>
      <c r="DC8" s="372" t="s">
        <v>850</v>
      </c>
      <c r="DD8" s="373">
        <f>2000-2000+560</f>
        <v>560</v>
      </c>
      <c r="DE8" s="372" t="s">
        <v>850</v>
      </c>
      <c r="DI8" s="372" t="s">
        <v>850</v>
      </c>
      <c r="DJ8" s="373">
        <f>5000-5000+960</f>
        <v>960</v>
      </c>
      <c r="DK8" s="372" t="s">
        <v>850</v>
      </c>
      <c r="DM8" s="372" t="s">
        <v>850</v>
      </c>
      <c r="DN8" s="373">
        <v>20</v>
      </c>
      <c r="DO8" s="372" t="s">
        <v>850</v>
      </c>
      <c r="DP8" s="373">
        <f>1000-1000</f>
        <v>0</v>
      </c>
      <c r="DQ8" s="372" t="s">
        <v>850</v>
      </c>
      <c r="DR8" s="416">
        <f>7500-7500+5890-2310-300</f>
        <v>3280</v>
      </c>
      <c r="DS8" s="373">
        <f>1500-1500</f>
        <v>0</v>
      </c>
      <c r="DT8" s="372" t="s">
        <v>850</v>
      </c>
      <c r="DU8" s="418">
        <f>15-15</f>
        <v>0</v>
      </c>
      <c r="DV8" s="372" t="s">
        <v>850</v>
      </c>
      <c r="DW8" s="416">
        <f>6000-6000+1680-570</f>
        <v>1110</v>
      </c>
      <c r="DX8" s="416">
        <f>10-10</f>
        <v>0</v>
      </c>
      <c r="DY8" s="416">
        <f>1000-1000+25-25</f>
        <v>0</v>
      </c>
      <c r="DZ8" s="372" t="s">
        <v>850</v>
      </c>
      <c r="EA8" s="416">
        <f>3000-3000+1830-590</f>
        <v>1240</v>
      </c>
      <c r="EB8" s="416">
        <f>500-500+8-8</f>
        <v>0</v>
      </c>
      <c r="EC8" s="373">
        <f>5000-5000</f>
        <v>0</v>
      </c>
      <c r="ED8" s="416">
        <f>2000-2000+30-30</f>
        <v>0</v>
      </c>
      <c r="EF8" s="373">
        <f>1000-1000</f>
        <v>0</v>
      </c>
      <c r="EG8" s="373">
        <f>3000-3000</f>
        <v>0</v>
      </c>
      <c r="EH8" s="373">
        <f>5000-5000</f>
        <v>0</v>
      </c>
      <c r="EI8" s="373">
        <f>3000-3000</f>
        <v>0</v>
      </c>
      <c r="EJ8" s="373">
        <f>50-50</f>
        <v>0</v>
      </c>
      <c r="EK8" s="373">
        <f>500-500</f>
        <v>0</v>
      </c>
      <c r="EL8" s="373">
        <f>1000-1000</f>
        <v>0</v>
      </c>
      <c r="EM8" s="416">
        <f>200-200+30-30</f>
        <v>0</v>
      </c>
      <c r="EN8" s="372" t="s">
        <v>850</v>
      </c>
      <c r="EP8" s="416">
        <f>1000-1000+360-120</f>
        <v>240</v>
      </c>
      <c r="EQ8" s="373">
        <f>500-500</f>
        <v>0</v>
      </c>
      <c r="ER8" s="373">
        <f>50-50</f>
        <v>0</v>
      </c>
      <c r="ES8" s="372" t="s">
        <v>850</v>
      </c>
      <c r="ET8" s="373">
        <f>50-50</f>
        <v>0</v>
      </c>
      <c r="EU8" s="372" t="s">
        <v>850</v>
      </c>
      <c r="EV8" s="372" t="s">
        <v>850</v>
      </c>
      <c r="EW8" s="372" t="s">
        <v>850</v>
      </c>
      <c r="EX8" s="372" t="s">
        <v>850</v>
      </c>
      <c r="EY8" s="372" t="s">
        <v>850</v>
      </c>
      <c r="EZ8" s="372" t="s">
        <v>850</v>
      </c>
      <c r="FA8" s="372" t="s">
        <v>850</v>
      </c>
      <c r="FB8" s="372" t="s">
        <v>850</v>
      </c>
      <c r="FC8" s="372" t="s">
        <v>850</v>
      </c>
      <c r="FD8" s="372" t="s">
        <v>850</v>
      </c>
      <c r="FE8" s="372" t="s">
        <v>850</v>
      </c>
      <c r="FF8" s="372" t="s">
        <v>850</v>
      </c>
      <c r="FG8" s="372" t="s">
        <v>850</v>
      </c>
      <c r="FH8" s="372" t="s">
        <v>850</v>
      </c>
      <c r="FI8" s="372" t="s">
        <v>850</v>
      </c>
      <c r="FJ8" s="372" t="s">
        <v>850</v>
      </c>
      <c r="FK8" s="372" t="s">
        <v>850</v>
      </c>
      <c r="FL8" s="372" t="s">
        <v>850</v>
      </c>
      <c r="FM8" s="372" t="s">
        <v>850</v>
      </c>
      <c r="FN8" s="372" t="s">
        <v>850</v>
      </c>
      <c r="FO8" s="372" t="s">
        <v>850</v>
      </c>
      <c r="FP8" s="372" t="s">
        <v>850</v>
      </c>
      <c r="FQ8" s="375" t="s">
        <v>850</v>
      </c>
      <c r="FR8" s="376" t="s">
        <v>1049</v>
      </c>
      <c r="FS8" s="377" t="s">
        <v>522</v>
      </c>
      <c r="FT8" s="377" t="s">
        <v>850</v>
      </c>
      <c r="FU8" s="377" t="s">
        <v>523</v>
      </c>
      <c r="FV8" s="144">
        <f t="shared" si="0"/>
        <v>27897</v>
      </c>
      <c r="FW8" s="371" t="s">
        <v>888</v>
      </c>
    </row>
    <row r="9" spans="1:179" s="371" customFormat="1">
      <c r="A9" s="368" t="s">
        <v>926</v>
      </c>
      <c r="B9" s="369" t="s">
        <v>517</v>
      </c>
      <c r="C9" s="369" t="s">
        <v>518</v>
      </c>
      <c r="D9" s="369" t="s">
        <v>632</v>
      </c>
      <c r="E9" s="370" t="s">
        <v>519</v>
      </c>
      <c r="F9" s="369" t="s">
        <v>520</v>
      </c>
      <c r="G9" s="369" t="s">
        <v>1050</v>
      </c>
      <c r="H9" s="372"/>
      <c r="I9" s="372"/>
      <c r="J9" s="372"/>
      <c r="K9" s="372"/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372"/>
      <c r="X9" s="372"/>
      <c r="Y9" s="372"/>
      <c r="Z9" s="372"/>
      <c r="AA9" s="372"/>
      <c r="AB9" s="372"/>
      <c r="AC9" s="372"/>
      <c r="AD9" s="372"/>
      <c r="AE9" s="372"/>
      <c r="AF9" s="372"/>
      <c r="AG9" s="372"/>
      <c r="AH9" s="372"/>
      <c r="AI9" s="372"/>
      <c r="AJ9" s="372"/>
      <c r="AK9" s="372"/>
      <c r="AL9" s="372"/>
      <c r="AM9" s="372"/>
      <c r="AN9" s="372"/>
      <c r="AO9" s="372"/>
      <c r="AP9" s="372"/>
      <c r="AQ9" s="372"/>
      <c r="AR9" s="372"/>
      <c r="AS9" s="372"/>
      <c r="AT9" s="372"/>
      <c r="AU9" s="372"/>
      <c r="AV9" s="372"/>
      <c r="AW9" s="372"/>
      <c r="AX9" s="372"/>
      <c r="AY9" s="372"/>
      <c r="AZ9" s="372"/>
      <c r="BA9" s="372"/>
      <c r="BB9" s="372"/>
      <c r="BC9" s="372"/>
      <c r="BD9" s="372"/>
      <c r="BE9" s="372"/>
      <c r="BF9" s="372"/>
      <c r="BG9" s="372"/>
      <c r="BH9" s="372"/>
      <c r="BI9" s="372"/>
      <c r="BJ9" s="372"/>
      <c r="BK9" s="373">
        <v>110</v>
      </c>
      <c r="BL9" s="372"/>
      <c r="BM9" s="372"/>
      <c r="BN9" s="372"/>
      <c r="BO9" s="372"/>
      <c r="BP9" s="372"/>
      <c r="BQ9" s="372"/>
      <c r="BR9" s="372"/>
      <c r="BS9" s="373">
        <v>5</v>
      </c>
      <c r="BT9" s="372"/>
      <c r="BU9" s="372"/>
      <c r="BV9" s="372"/>
      <c r="BW9" s="372"/>
      <c r="BX9" s="372"/>
      <c r="BY9" s="417">
        <v>2</v>
      </c>
      <c r="CA9" s="372"/>
      <c r="CB9" s="372"/>
      <c r="CC9" s="417">
        <v>3</v>
      </c>
      <c r="CD9" s="372"/>
      <c r="CE9" s="372"/>
      <c r="CG9" s="372"/>
      <c r="CH9" s="372"/>
      <c r="CI9" s="372"/>
      <c r="CJ9" s="372"/>
      <c r="CK9" s="372"/>
      <c r="CL9" s="372"/>
      <c r="CM9" s="373">
        <f>3000-3000+3</f>
        <v>3</v>
      </c>
      <c r="CN9" s="372"/>
      <c r="CO9" s="372"/>
      <c r="CP9" s="372"/>
      <c r="CQ9" s="372"/>
      <c r="CR9" s="372"/>
      <c r="CS9" s="372"/>
      <c r="CT9" s="372"/>
      <c r="CU9" s="372"/>
      <c r="CV9" s="372"/>
      <c r="CW9" s="372"/>
      <c r="CY9" s="372"/>
      <c r="CZ9" s="372"/>
      <c r="DA9" s="372"/>
      <c r="DB9" s="372"/>
      <c r="DC9" s="372"/>
      <c r="DD9" s="372"/>
      <c r="DE9" s="372"/>
      <c r="DF9" s="373">
        <f>2000-2000+25</f>
        <v>25</v>
      </c>
      <c r="DG9" s="372"/>
      <c r="DH9" s="373">
        <f>1000-1000+20</f>
        <v>20</v>
      </c>
      <c r="DI9" s="372" t="s">
        <v>850</v>
      </c>
      <c r="DJ9" s="372"/>
      <c r="DK9" s="372" t="s">
        <v>850</v>
      </c>
      <c r="DL9" s="372"/>
      <c r="DM9" s="372"/>
      <c r="DN9" s="372"/>
      <c r="DO9" s="372"/>
      <c r="DP9" s="372"/>
      <c r="DQ9" s="372"/>
      <c r="DR9" s="372"/>
      <c r="DS9" s="372"/>
      <c r="DT9" s="372"/>
      <c r="DU9" s="372"/>
      <c r="DV9" s="372"/>
      <c r="DW9" s="372"/>
      <c r="DX9" s="372"/>
      <c r="DY9" s="372"/>
      <c r="DZ9" s="372"/>
      <c r="EA9" s="372"/>
      <c r="EB9" s="372"/>
      <c r="EC9" s="372"/>
      <c r="ED9" s="372"/>
      <c r="EE9" s="372"/>
      <c r="EF9" s="372"/>
      <c r="EG9" s="372"/>
      <c r="EH9" s="372"/>
      <c r="EI9" s="372"/>
      <c r="EJ9" s="372"/>
      <c r="EK9" s="372"/>
      <c r="EL9" s="372"/>
      <c r="EM9" s="372"/>
      <c r="EN9" s="372"/>
      <c r="EO9" s="416">
        <f>3000-3000+620-250</f>
        <v>370</v>
      </c>
      <c r="EP9" s="372"/>
      <c r="EQ9" s="372"/>
      <c r="ER9" s="372"/>
      <c r="ES9" s="372"/>
      <c r="ET9" s="372"/>
      <c r="EU9" s="372"/>
      <c r="EV9" s="372"/>
      <c r="EW9" s="372"/>
      <c r="EX9" s="372"/>
      <c r="EY9" s="372"/>
      <c r="EZ9" s="372"/>
      <c r="FA9" s="372"/>
      <c r="FB9" s="372"/>
      <c r="FC9" s="372"/>
      <c r="FD9" s="372"/>
      <c r="FE9" s="372"/>
      <c r="FF9" s="372"/>
      <c r="FG9" s="372"/>
      <c r="FH9" s="372"/>
      <c r="FI9" s="372"/>
      <c r="FJ9" s="372"/>
      <c r="FK9" s="372"/>
      <c r="FL9" s="372"/>
      <c r="FM9" s="372"/>
      <c r="FN9" s="372"/>
      <c r="FO9" s="372"/>
      <c r="FP9" s="372"/>
      <c r="FQ9" s="375" t="s">
        <v>850</v>
      </c>
      <c r="FR9" s="376" t="s">
        <v>1049</v>
      </c>
      <c r="FS9" s="377" t="s">
        <v>522</v>
      </c>
      <c r="FT9" s="377" t="s">
        <v>850</v>
      </c>
      <c r="FU9" s="377" t="s">
        <v>523</v>
      </c>
      <c r="FV9" s="144">
        <f t="shared" si="0"/>
        <v>538</v>
      </c>
      <c r="FW9" s="371" t="s">
        <v>888</v>
      </c>
    </row>
    <row r="10" spans="1:179" s="371" customFormat="1">
      <c r="A10" s="368" t="s">
        <v>926</v>
      </c>
      <c r="B10" s="369" t="s">
        <v>525</v>
      </c>
      <c r="C10" s="369" t="s">
        <v>518</v>
      </c>
      <c r="D10" s="369" t="s">
        <v>8</v>
      </c>
      <c r="E10" s="379" t="s">
        <v>519</v>
      </c>
      <c r="F10" s="369" t="s">
        <v>520</v>
      </c>
      <c r="G10" s="369" t="s">
        <v>1051</v>
      </c>
      <c r="BV10" s="372"/>
      <c r="DF10" s="417"/>
      <c r="DI10" s="372" t="s">
        <v>850</v>
      </c>
      <c r="DK10" s="372" t="s">
        <v>850</v>
      </c>
      <c r="EU10" s="416">
        <f>4000-4000+30-30</f>
        <v>0</v>
      </c>
      <c r="EZ10" s="416">
        <f>2000-2000+950-340</f>
        <v>610</v>
      </c>
      <c r="FD10" s="416">
        <f>500-500+400+205-60</f>
        <v>545</v>
      </c>
      <c r="FQ10" s="375" t="s">
        <v>850</v>
      </c>
      <c r="FR10" s="376" t="s">
        <v>1049</v>
      </c>
      <c r="FS10" s="377" t="s">
        <v>522</v>
      </c>
      <c r="FT10" s="377" t="s">
        <v>850</v>
      </c>
      <c r="FU10" s="377" t="s">
        <v>523</v>
      </c>
      <c r="FV10" s="144">
        <f t="shared" si="0"/>
        <v>1155</v>
      </c>
      <c r="FW10" s="371" t="s">
        <v>888</v>
      </c>
    </row>
    <row r="11" spans="1:179" s="371" customFormat="1">
      <c r="A11" s="368" t="s">
        <v>926</v>
      </c>
      <c r="B11" s="369" t="s">
        <v>525</v>
      </c>
      <c r="C11" s="369" t="s">
        <v>518</v>
      </c>
      <c r="D11" s="369" t="s">
        <v>4</v>
      </c>
      <c r="E11" s="379" t="s">
        <v>519</v>
      </c>
      <c r="F11" s="369" t="s">
        <v>520</v>
      </c>
      <c r="G11" s="369" t="s">
        <v>1051</v>
      </c>
      <c r="H11" s="372" t="s">
        <v>850</v>
      </c>
      <c r="I11" s="372" t="s">
        <v>850</v>
      </c>
      <c r="J11" s="372" t="s">
        <v>850</v>
      </c>
      <c r="K11" s="372" t="s">
        <v>850</v>
      </c>
      <c r="L11" s="372" t="s">
        <v>850</v>
      </c>
      <c r="M11" s="372" t="s">
        <v>850</v>
      </c>
      <c r="N11" s="372" t="s">
        <v>850</v>
      </c>
      <c r="O11" s="372" t="s">
        <v>850</v>
      </c>
      <c r="P11" s="372" t="s">
        <v>850</v>
      </c>
      <c r="Q11" s="372"/>
      <c r="R11" s="372" t="s">
        <v>850</v>
      </c>
      <c r="S11" s="372" t="s">
        <v>850</v>
      </c>
      <c r="T11" s="372"/>
      <c r="U11" s="372"/>
      <c r="V11" s="372"/>
      <c r="W11" s="372"/>
      <c r="X11" s="372" t="s">
        <v>850</v>
      </c>
      <c r="Y11" s="372" t="s">
        <v>850</v>
      </c>
      <c r="Z11" s="372"/>
      <c r="AA11" s="372" t="s">
        <v>850</v>
      </c>
      <c r="AB11" s="372" t="s">
        <v>850</v>
      </c>
      <c r="AC11" s="372" t="s">
        <v>850</v>
      </c>
      <c r="AD11" s="372" t="s">
        <v>850</v>
      </c>
      <c r="AE11" s="372" t="s">
        <v>850</v>
      </c>
      <c r="AF11" s="372" t="s">
        <v>850</v>
      </c>
      <c r="AG11" s="372" t="s">
        <v>850</v>
      </c>
      <c r="AH11" s="372" t="s">
        <v>850</v>
      </c>
      <c r="AI11" s="372" t="s">
        <v>850</v>
      </c>
      <c r="AJ11" s="372" t="s">
        <v>850</v>
      </c>
      <c r="AK11" s="372" t="s">
        <v>850</v>
      </c>
      <c r="AL11" s="372" t="s">
        <v>850</v>
      </c>
      <c r="AM11" s="372" t="s">
        <v>850</v>
      </c>
      <c r="AN11" s="372" t="s">
        <v>850</v>
      </c>
      <c r="AO11" s="372" t="s">
        <v>850</v>
      </c>
      <c r="AP11" s="372" t="s">
        <v>850</v>
      </c>
      <c r="AQ11" s="372" t="s">
        <v>850</v>
      </c>
      <c r="AR11" s="372" t="s">
        <v>850</v>
      </c>
      <c r="AS11" s="373">
        <f>1000-1000</f>
        <v>0</v>
      </c>
      <c r="AT11" s="372" t="s">
        <v>850</v>
      </c>
      <c r="AU11" s="372" t="s">
        <v>850</v>
      </c>
      <c r="AV11" s="372" t="s">
        <v>850</v>
      </c>
      <c r="AW11" s="372" t="s">
        <v>850</v>
      </c>
      <c r="AX11" s="372"/>
      <c r="AY11" s="372" t="s">
        <v>850</v>
      </c>
      <c r="AZ11" s="372" t="s">
        <v>850</v>
      </c>
      <c r="BA11" s="372" t="s">
        <v>850</v>
      </c>
      <c r="BB11" s="372" t="s">
        <v>850</v>
      </c>
      <c r="BC11" s="372" t="s">
        <v>850</v>
      </c>
      <c r="BD11" s="372" t="s">
        <v>850</v>
      </c>
      <c r="BE11" s="372"/>
      <c r="BF11" s="372" t="s">
        <v>850</v>
      </c>
      <c r="BG11" s="372" t="s">
        <v>850</v>
      </c>
      <c r="BH11" s="372" t="s">
        <v>850</v>
      </c>
      <c r="BI11" s="372" t="s">
        <v>850</v>
      </c>
      <c r="BJ11" s="372" t="s">
        <v>850</v>
      </c>
      <c r="BK11" s="372" t="s">
        <v>850</v>
      </c>
      <c r="BL11" s="372" t="s">
        <v>850</v>
      </c>
      <c r="BM11" s="372" t="s">
        <v>850</v>
      </c>
      <c r="BN11" s="372" t="s">
        <v>850</v>
      </c>
      <c r="BO11" s="372" t="s">
        <v>850</v>
      </c>
      <c r="BP11" s="372"/>
      <c r="BQ11" s="372" t="s">
        <v>850</v>
      </c>
      <c r="BR11" s="372" t="s">
        <v>850</v>
      </c>
      <c r="BS11" s="372"/>
      <c r="BT11" s="372"/>
      <c r="BU11" s="372" t="s">
        <v>850</v>
      </c>
      <c r="BV11" s="372"/>
      <c r="BW11" s="372" t="s">
        <v>850</v>
      </c>
      <c r="BX11" s="372"/>
      <c r="CA11" s="372" t="s">
        <v>850</v>
      </c>
      <c r="CB11" s="372" t="s">
        <v>850</v>
      </c>
      <c r="CD11" s="372" t="s">
        <v>850</v>
      </c>
      <c r="CE11" s="372" t="s">
        <v>850</v>
      </c>
      <c r="CG11" s="372" t="s">
        <v>850</v>
      </c>
      <c r="CH11" s="372"/>
      <c r="CI11" s="372" t="s">
        <v>850</v>
      </c>
      <c r="CJ11" s="372" t="s">
        <v>850</v>
      </c>
      <c r="CK11" s="372" t="s">
        <v>850</v>
      </c>
      <c r="CL11" s="372" t="s">
        <v>850</v>
      </c>
      <c r="CM11" s="372"/>
      <c r="CN11" s="372" t="s">
        <v>850</v>
      </c>
      <c r="CO11" s="372" t="s">
        <v>850</v>
      </c>
      <c r="CP11" s="372" t="s">
        <v>850</v>
      </c>
      <c r="CQ11" s="372" t="s">
        <v>850</v>
      </c>
      <c r="CR11" s="372" t="s">
        <v>850</v>
      </c>
      <c r="CS11" s="372" t="s">
        <v>850</v>
      </c>
      <c r="CT11" s="372" t="s">
        <v>850</v>
      </c>
      <c r="CU11" s="372" t="s">
        <v>850</v>
      </c>
      <c r="CV11" s="372"/>
      <c r="CW11" s="372" t="s">
        <v>850</v>
      </c>
      <c r="CY11" s="372" t="s">
        <v>850</v>
      </c>
      <c r="CZ11" s="372" t="s">
        <v>850</v>
      </c>
      <c r="DA11" s="372" t="s">
        <v>850</v>
      </c>
      <c r="DB11" s="372" t="s">
        <v>850</v>
      </c>
      <c r="DC11" s="372" t="s">
        <v>850</v>
      </c>
      <c r="DD11" s="372" t="s">
        <v>850</v>
      </c>
      <c r="DE11" s="372" t="s">
        <v>850</v>
      </c>
      <c r="DF11" s="372" t="s">
        <v>850</v>
      </c>
      <c r="DG11" s="372" t="s">
        <v>850</v>
      </c>
      <c r="DH11" s="372" t="s">
        <v>850</v>
      </c>
      <c r="DI11" s="372" t="s">
        <v>850</v>
      </c>
      <c r="DJ11" s="372" t="s">
        <v>850</v>
      </c>
      <c r="DK11" s="372" t="s">
        <v>850</v>
      </c>
      <c r="DL11" s="372"/>
      <c r="DM11" s="372" t="s">
        <v>850</v>
      </c>
      <c r="DN11" s="372"/>
      <c r="DO11" s="372" t="s">
        <v>850</v>
      </c>
      <c r="DP11" s="372" t="s">
        <v>850</v>
      </c>
      <c r="DQ11" s="372" t="s">
        <v>850</v>
      </c>
      <c r="DR11" s="372"/>
      <c r="DS11" s="372" t="s">
        <v>850</v>
      </c>
      <c r="DT11" s="372" t="s">
        <v>850</v>
      </c>
      <c r="DU11" s="372"/>
      <c r="DV11" s="372" t="s">
        <v>850</v>
      </c>
      <c r="DW11" s="372"/>
      <c r="DX11" s="372"/>
      <c r="DY11" s="372" t="s">
        <v>850</v>
      </c>
      <c r="DZ11" s="372" t="s">
        <v>850</v>
      </c>
      <c r="EA11" s="372"/>
      <c r="EB11" s="372" t="s">
        <v>850</v>
      </c>
      <c r="EC11" s="372" t="s">
        <v>850</v>
      </c>
      <c r="ED11" s="372" t="s">
        <v>850</v>
      </c>
      <c r="EE11" s="372" t="s">
        <v>850</v>
      </c>
      <c r="EF11" s="372" t="s">
        <v>850</v>
      </c>
      <c r="EG11" s="372" t="s">
        <v>850</v>
      </c>
      <c r="EH11" s="372" t="s">
        <v>850</v>
      </c>
      <c r="EI11" s="372" t="s">
        <v>850</v>
      </c>
      <c r="EJ11" s="372" t="s">
        <v>850</v>
      </c>
      <c r="EK11" s="372" t="s">
        <v>850</v>
      </c>
      <c r="EL11" s="372" t="s">
        <v>850</v>
      </c>
      <c r="EM11" s="372" t="s">
        <v>850</v>
      </c>
      <c r="EN11" s="372" t="s">
        <v>850</v>
      </c>
      <c r="EO11" s="372" t="s">
        <v>850</v>
      </c>
      <c r="EP11" s="372" t="s">
        <v>850</v>
      </c>
      <c r="EQ11" s="372" t="s">
        <v>850</v>
      </c>
      <c r="ER11" s="372" t="s">
        <v>850</v>
      </c>
      <c r="ES11" s="372" t="s">
        <v>850</v>
      </c>
      <c r="ET11" s="372" t="s">
        <v>850</v>
      </c>
      <c r="EV11" s="416">
        <f>10000-10000+1620-620</f>
        <v>1000</v>
      </c>
      <c r="EW11" s="373">
        <f>5000-5000</f>
        <v>0</v>
      </c>
      <c r="EX11" s="416">
        <f>500-500+3-3</f>
        <v>0</v>
      </c>
      <c r="EY11" s="416">
        <f>2000-2000+630-280</f>
        <v>350</v>
      </c>
      <c r="FA11" s="373">
        <f>2000-2000</f>
        <v>0</v>
      </c>
      <c r="FB11" s="416">
        <f>1000-1000+800-240</f>
        <v>560</v>
      </c>
      <c r="FC11" s="373">
        <f>500-500</f>
        <v>0</v>
      </c>
      <c r="FE11" s="416">
        <f>500-500+480-40</f>
        <v>440</v>
      </c>
      <c r="FF11" s="373">
        <f>3000-3000</f>
        <v>0</v>
      </c>
      <c r="FG11" s="373">
        <f>3000-3000</f>
        <v>0</v>
      </c>
      <c r="FH11" s="373">
        <f>3000-3000</f>
        <v>0</v>
      </c>
      <c r="FI11" s="373">
        <f>5000-5000</f>
        <v>0</v>
      </c>
      <c r="FJ11" s="373">
        <f>4000-4000</f>
        <v>0</v>
      </c>
      <c r="FK11" s="372" t="s">
        <v>850</v>
      </c>
      <c r="FL11" s="372" t="s">
        <v>850</v>
      </c>
      <c r="FM11" s="372" t="s">
        <v>850</v>
      </c>
      <c r="FN11" s="372" t="s">
        <v>850</v>
      </c>
      <c r="FO11" s="372" t="s">
        <v>850</v>
      </c>
      <c r="FP11" s="372" t="s">
        <v>850</v>
      </c>
      <c r="FQ11" s="375" t="s">
        <v>850</v>
      </c>
      <c r="FR11" s="376" t="s">
        <v>1049</v>
      </c>
      <c r="FS11" s="377" t="s">
        <v>522</v>
      </c>
      <c r="FT11" s="377" t="s">
        <v>850</v>
      </c>
      <c r="FU11" s="377" t="s">
        <v>523</v>
      </c>
      <c r="FV11" s="144">
        <f t="shared" si="0"/>
        <v>2350</v>
      </c>
      <c r="FW11" s="371" t="s">
        <v>888</v>
      </c>
    </row>
    <row r="12" spans="1:179" s="371" customFormat="1">
      <c r="A12" s="368" t="s">
        <v>926</v>
      </c>
      <c r="B12" s="369" t="s">
        <v>525</v>
      </c>
      <c r="C12" s="369" t="s">
        <v>518</v>
      </c>
      <c r="D12" s="369" t="s">
        <v>3</v>
      </c>
      <c r="E12" s="379" t="s">
        <v>519</v>
      </c>
      <c r="F12" s="369" t="s">
        <v>520</v>
      </c>
      <c r="G12" s="369" t="s">
        <v>1052</v>
      </c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  <c r="AE12" s="372"/>
      <c r="AF12" s="372"/>
      <c r="AG12" s="372"/>
      <c r="AH12" s="372"/>
      <c r="AI12" s="372"/>
      <c r="AJ12" s="372"/>
      <c r="AK12" s="372"/>
      <c r="AL12" s="372"/>
      <c r="AM12" s="372"/>
      <c r="AN12" s="372"/>
      <c r="AO12" s="372"/>
      <c r="AP12" s="372"/>
      <c r="AQ12" s="372"/>
      <c r="AR12" s="372"/>
      <c r="AS12" s="372"/>
      <c r="AT12" s="372"/>
      <c r="AU12" s="372"/>
      <c r="AV12" s="372"/>
      <c r="AW12" s="372"/>
      <c r="AX12" s="372"/>
      <c r="AY12" s="372"/>
      <c r="AZ12" s="372"/>
      <c r="BA12" s="372"/>
      <c r="BB12" s="372"/>
      <c r="BC12" s="372"/>
      <c r="BD12" s="372"/>
      <c r="BE12" s="372"/>
      <c r="BF12" s="372"/>
      <c r="BG12" s="372"/>
      <c r="BH12" s="372"/>
      <c r="BI12" s="372"/>
      <c r="BJ12" s="372"/>
      <c r="BK12" s="372"/>
      <c r="BL12" s="372"/>
      <c r="BM12" s="372"/>
      <c r="BN12" s="372"/>
      <c r="BO12" s="372"/>
      <c r="BP12" s="372"/>
      <c r="BQ12" s="372"/>
      <c r="BR12" s="372"/>
      <c r="BS12" s="372"/>
      <c r="BT12" s="372"/>
      <c r="BU12" s="372"/>
      <c r="BV12" s="372"/>
      <c r="BW12" s="372"/>
      <c r="BX12" s="372"/>
      <c r="CA12" s="372"/>
      <c r="CB12" s="372"/>
      <c r="CD12" s="372"/>
      <c r="CE12" s="372"/>
      <c r="CG12" s="372"/>
      <c r="CH12" s="372"/>
      <c r="CI12" s="372"/>
      <c r="CJ12" s="372"/>
      <c r="CK12" s="372"/>
      <c r="CL12" s="372"/>
      <c r="CM12" s="372"/>
      <c r="CN12" s="372"/>
      <c r="CO12" s="372"/>
      <c r="CP12" s="372"/>
      <c r="CQ12" s="372"/>
      <c r="CR12" s="372"/>
      <c r="CS12" s="372"/>
      <c r="CT12" s="372"/>
      <c r="CU12" s="372"/>
      <c r="CV12" s="372"/>
      <c r="CW12" s="372"/>
      <c r="CY12" s="372"/>
      <c r="CZ12" s="372"/>
      <c r="DA12" s="372"/>
      <c r="DB12" s="372"/>
      <c r="DC12" s="372"/>
      <c r="DD12" s="372"/>
      <c r="DE12" s="372"/>
      <c r="DF12" s="372"/>
      <c r="DG12" s="372"/>
      <c r="DH12" s="372"/>
      <c r="DI12" s="372" t="s">
        <v>850</v>
      </c>
      <c r="DJ12" s="372"/>
      <c r="DK12" s="372" t="s">
        <v>850</v>
      </c>
      <c r="DL12" s="372"/>
      <c r="DM12" s="372"/>
      <c r="DN12" s="372"/>
      <c r="DO12" s="372"/>
      <c r="DP12" s="372"/>
      <c r="DQ12" s="372"/>
      <c r="DR12" s="372"/>
      <c r="DS12" s="372"/>
      <c r="DT12" s="372"/>
      <c r="DU12" s="372"/>
      <c r="DV12" s="372"/>
      <c r="DW12" s="372"/>
      <c r="DX12" s="372"/>
      <c r="DY12" s="372"/>
      <c r="DZ12" s="372"/>
      <c r="EA12" s="372"/>
      <c r="EB12" s="372"/>
      <c r="EC12" s="372"/>
      <c r="ED12" s="372"/>
      <c r="EE12" s="372"/>
      <c r="EF12" s="372"/>
      <c r="EG12" s="372"/>
      <c r="EH12" s="372"/>
      <c r="EI12" s="372"/>
      <c r="EJ12" s="372"/>
      <c r="EK12" s="372"/>
      <c r="EL12" s="372"/>
      <c r="EM12" s="372"/>
      <c r="EN12" s="372"/>
      <c r="EO12" s="372"/>
      <c r="EP12" s="372"/>
      <c r="EQ12" s="372"/>
      <c r="ER12" s="372"/>
      <c r="ES12" s="372"/>
      <c r="ET12" s="372"/>
      <c r="EU12" s="372"/>
      <c r="EV12" s="372"/>
      <c r="EW12" s="372"/>
      <c r="EX12" s="372"/>
      <c r="EY12" s="372"/>
      <c r="EZ12" s="372"/>
      <c r="FA12" s="372"/>
      <c r="FB12" s="372"/>
      <c r="FC12" s="372"/>
      <c r="FD12" s="372"/>
      <c r="FE12" s="372"/>
      <c r="FF12" s="372"/>
      <c r="FG12" s="372"/>
      <c r="FH12" s="372"/>
      <c r="FI12" s="372"/>
      <c r="FJ12" s="372"/>
      <c r="FK12" s="372"/>
      <c r="FL12" s="372"/>
      <c r="FM12" s="372"/>
      <c r="FN12" s="372"/>
      <c r="FO12" s="372"/>
      <c r="FP12" s="372"/>
      <c r="FQ12" s="375" t="s">
        <v>850</v>
      </c>
      <c r="FR12" s="376" t="s">
        <v>1049</v>
      </c>
      <c r="FS12" s="377" t="s">
        <v>522</v>
      </c>
      <c r="FT12" s="377" t="s">
        <v>850</v>
      </c>
      <c r="FU12" s="377" t="s">
        <v>523</v>
      </c>
      <c r="FV12" s="144">
        <f t="shared" si="0"/>
        <v>0</v>
      </c>
      <c r="FW12" s="371" t="s">
        <v>888</v>
      </c>
    </row>
    <row r="13" spans="1:179" s="371" customFormat="1" hidden="1">
      <c r="A13" s="368" t="s">
        <v>526</v>
      </c>
      <c r="B13" s="369" t="s">
        <v>517</v>
      </c>
      <c r="C13" s="369" t="s">
        <v>527</v>
      </c>
      <c r="D13" s="369" t="s">
        <v>8</v>
      </c>
      <c r="E13" s="370" t="s">
        <v>528</v>
      </c>
      <c r="F13" s="369" t="s">
        <v>520</v>
      </c>
      <c r="G13" s="369" t="s">
        <v>1053</v>
      </c>
      <c r="BV13" s="372" t="s">
        <v>850</v>
      </c>
      <c r="DI13" s="372" t="s">
        <v>850</v>
      </c>
      <c r="DK13" s="372" t="s">
        <v>850</v>
      </c>
      <c r="EE13" s="418">
        <f>22</f>
        <v>22</v>
      </c>
      <c r="FQ13" s="375" t="s">
        <v>850</v>
      </c>
      <c r="FR13" s="376" t="s">
        <v>1049</v>
      </c>
      <c r="FS13" s="377" t="s">
        <v>522</v>
      </c>
      <c r="FT13" s="377" t="s">
        <v>850</v>
      </c>
      <c r="FU13" s="377" t="s">
        <v>529</v>
      </c>
      <c r="FV13" s="144">
        <f t="shared" si="0"/>
        <v>22</v>
      </c>
      <c r="FW13" s="371" t="s">
        <v>888</v>
      </c>
    </row>
    <row r="14" spans="1:179" s="371" customFormat="1" hidden="1">
      <c r="A14" s="368" t="s">
        <v>526</v>
      </c>
      <c r="B14" s="369" t="s">
        <v>517</v>
      </c>
      <c r="C14" s="369" t="s">
        <v>527</v>
      </c>
      <c r="D14" s="369" t="s">
        <v>4</v>
      </c>
      <c r="E14" s="370" t="s">
        <v>528</v>
      </c>
      <c r="F14" s="369" t="s">
        <v>520</v>
      </c>
      <c r="G14" s="369" t="s">
        <v>1053</v>
      </c>
      <c r="H14" s="372" t="s">
        <v>850</v>
      </c>
      <c r="I14" s="372" t="s">
        <v>850</v>
      </c>
      <c r="J14" s="372" t="s">
        <v>850</v>
      </c>
      <c r="K14" s="372" t="s">
        <v>850</v>
      </c>
      <c r="L14" s="372" t="s">
        <v>850</v>
      </c>
      <c r="M14" s="372" t="s">
        <v>850</v>
      </c>
      <c r="N14" s="372" t="s">
        <v>850</v>
      </c>
      <c r="O14" s="372" t="s">
        <v>850</v>
      </c>
      <c r="P14" s="372" t="s">
        <v>850</v>
      </c>
      <c r="Q14" s="372" t="s">
        <v>850</v>
      </c>
      <c r="R14" s="372" t="s">
        <v>850</v>
      </c>
      <c r="S14" s="372" t="s">
        <v>850</v>
      </c>
      <c r="T14" s="372" t="s">
        <v>850</v>
      </c>
      <c r="U14" s="372" t="s">
        <v>850</v>
      </c>
      <c r="V14" s="372" t="s">
        <v>850</v>
      </c>
      <c r="W14" s="372" t="s">
        <v>850</v>
      </c>
      <c r="X14" s="372" t="s">
        <v>850</v>
      </c>
      <c r="Y14" s="372" t="s">
        <v>850</v>
      </c>
      <c r="Z14" s="372" t="s">
        <v>850</v>
      </c>
      <c r="AA14" s="372" t="s">
        <v>850</v>
      </c>
      <c r="AB14" s="372" t="s">
        <v>850</v>
      </c>
      <c r="AC14" s="372" t="s">
        <v>850</v>
      </c>
      <c r="AD14" s="372" t="s">
        <v>850</v>
      </c>
      <c r="AE14" s="372" t="s">
        <v>850</v>
      </c>
      <c r="AF14" s="372" t="s">
        <v>850</v>
      </c>
      <c r="AG14" s="372" t="s">
        <v>850</v>
      </c>
      <c r="AH14" s="372" t="s">
        <v>850</v>
      </c>
      <c r="AI14" s="372" t="s">
        <v>850</v>
      </c>
      <c r="AJ14" s="372" t="s">
        <v>850</v>
      </c>
      <c r="AK14" s="372" t="s">
        <v>850</v>
      </c>
      <c r="AL14" s="372" t="s">
        <v>850</v>
      </c>
      <c r="AM14" s="372" t="s">
        <v>850</v>
      </c>
      <c r="AN14" s="372" t="s">
        <v>850</v>
      </c>
      <c r="AO14" s="372" t="s">
        <v>850</v>
      </c>
      <c r="AP14" s="372" t="s">
        <v>850</v>
      </c>
      <c r="AQ14" s="372" t="s">
        <v>850</v>
      </c>
      <c r="AR14" s="372" t="s">
        <v>850</v>
      </c>
      <c r="AS14" s="372" t="s">
        <v>850</v>
      </c>
      <c r="AT14" s="372" t="s">
        <v>850</v>
      </c>
      <c r="AU14" s="372" t="s">
        <v>850</v>
      </c>
      <c r="AV14" s="372" t="s">
        <v>850</v>
      </c>
      <c r="AW14" s="372" t="s">
        <v>850</v>
      </c>
      <c r="AX14" s="372" t="s">
        <v>850</v>
      </c>
      <c r="AY14" s="372" t="s">
        <v>850</v>
      </c>
      <c r="AZ14" s="372" t="s">
        <v>850</v>
      </c>
      <c r="BA14" s="372" t="s">
        <v>850</v>
      </c>
      <c r="BB14" s="372" t="s">
        <v>850</v>
      </c>
      <c r="BC14" s="372" t="s">
        <v>850</v>
      </c>
      <c r="BD14" s="372" t="s">
        <v>850</v>
      </c>
      <c r="BE14" s="372" t="s">
        <v>850</v>
      </c>
      <c r="BF14" s="372" t="s">
        <v>850</v>
      </c>
      <c r="BG14" s="372" t="s">
        <v>850</v>
      </c>
      <c r="BH14" s="372" t="s">
        <v>850</v>
      </c>
      <c r="BI14" s="372" t="s">
        <v>850</v>
      </c>
      <c r="BJ14" s="372" t="s">
        <v>850</v>
      </c>
      <c r="BK14" s="372" t="s">
        <v>850</v>
      </c>
      <c r="BL14" s="372" t="s">
        <v>850</v>
      </c>
      <c r="BM14" s="372" t="s">
        <v>850</v>
      </c>
      <c r="BN14" s="372" t="s">
        <v>850</v>
      </c>
      <c r="BO14" s="372" t="s">
        <v>850</v>
      </c>
      <c r="BP14" s="372" t="s">
        <v>850</v>
      </c>
      <c r="BQ14" s="372" t="s">
        <v>850</v>
      </c>
      <c r="BR14" s="372" t="s">
        <v>850</v>
      </c>
      <c r="BS14" s="372" t="s">
        <v>850</v>
      </c>
      <c r="BT14" s="372" t="s">
        <v>850</v>
      </c>
      <c r="BU14" s="372" t="s">
        <v>850</v>
      </c>
      <c r="BV14" s="372" t="s">
        <v>850</v>
      </c>
      <c r="BW14" s="372" t="s">
        <v>850</v>
      </c>
      <c r="BX14" s="372" t="s">
        <v>850</v>
      </c>
      <c r="CA14" s="372" t="s">
        <v>850</v>
      </c>
      <c r="CB14" s="372" t="s">
        <v>850</v>
      </c>
      <c r="CD14" s="372" t="s">
        <v>850</v>
      </c>
      <c r="CE14" s="372" t="s">
        <v>850</v>
      </c>
      <c r="CG14" s="372" t="s">
        <v>850</v>
      </c>
      <c r="CH14" s="372" t="s">
        <v>850</v>
      </c>
      <c r="CI14" s="372" t="s">
        <v>850</v>
      </c>
      <c r="CJ14" s="372" t="s">
        <v>850</v>
      </c>
      <c r="CK14" s="372" t="s">
        <v>850</v>
      </c>
      <c r="CL14" s="372" t="s">
        <v>850</v>
      </c>
      <c r="CM14" s="372" t="s">
        <v>850</v>
      </c>
      <c r="CN14" s="372" t="s">
        <v>850</v>
      </c>
      <c r="CO14" s="372" t="s">
        <v>850</v>
      </c>
      <c r="CP14" s="372" t="s">
        <v>850</v>
      </c>
      <c r="CQ14" s="372" t="s">
        <v>850</v>
      </c>
      <c r="CR14" s="372" t="s">
        <v>850</v>
      </c>
      <c r="CS14" s="372" t="s">
        <v>850</v>
      </c>
      <c r="CT14" s="372" t="s">
        <v>850</v>
      </c>
      <c r="CU14" s="372" t="s">
        <v>850</v>
      </c>
      <c r="CV14" s="372" t="s">
        <v>850</v>
      </c>
      <c r="CW14" s="372" t="s">
        <v>850</v>
      </c>
      <c r="CY14" s="372" t="s">
        <v>850</v>
      </c>
      <c r="CZ14" s="372" t="s">
        <v>850</v>
      </c>
      <c r="DA14" s="372" t="s">
        <v>850</v>
      </c>
      <c r="DB14" s="372" t="s">
        <v>850</v>
      </c>
      <c r="DC14" s="372" t="s">
        <v>850</v>
      </c>
      <c r="DD14" s="372" t="s">
        <v>850</v>
      </c>
      <c r="DE14" s="372" t="s">
        <v>850</v>
      </c>
      <c r="DF14" s="372" t="s">
        <v>850</v>
      </c>
      <c r="DG14" s="372" t="s">
        <v>850</v>
      </c>
      <c r="DH14" s="372" t="s">
        <v>850</v>
      </c>
      <c r="DI14" s="372" t="s">
        <v>850</v>
      </c>
      <c r="DJ14" s="372" t="s">
        <v>850</v>
      </c>
      <c r="DK14" s="372" t="s">
        <v>850</v>
      </c>
      <c r="DL14" s="372" t="s">
        <v>850</v>
      </c>
      <c r="DM14" s="372" t="s">
        <v>850</v>
      </c>
      <c r="DN14" s="372" t="s">
        <v>850</v>
      </c>
      <c r="DO14" s="372" t="s">
        <v>850</v>
      </c>
      <c r="DP14" s="372" t="s">
        <v>850</v>
      </c>
      <c r="DQ14" s="372" t="s">
        <v>850</v>
      </c>
      <c r="DR14" s="416">
        <f>100-100+100</f>
        <v>100</v>
      </c>
      <c r="DS14" s="372" t="s">
        <v>850</v>
      </c>
      <c r="DT14" s="372" t="s">
        <v>850</v>
      </c>
      <c r="DU14" s="372" t="s">
        <v>850</v>
      </c>
      <c r="DV14" s="372" t="s">
        <v>850</v>
      </c>
      <c r="DW14" s="372" t="s">
        <v>850</v>
      </c>
      <c r="DX14" s="372" t="s">
        <v>850</v>
      </c>
      <c r="DY14" s="372" t="s">
        <v>850</v>
      </c>
      <c r="DZ14" s="372" t="s">
        <v>850</v>
      </c>
      <c r="EA14" s="372" t="s">
        <v>850</v>
      </c>
      <c r="EB14" s="372" t="s">
        <v>850</v>
      </c>
      <c r="EC14" s="373">
        <f>100-100</f>
        <v>0</v>
      </c>
      <c r="ED14" s="373">
        <f>100-100</f>
        <v>0</v>
      </c>
      <c r="EE14" s="372" t="s">
        <v>850</v>
      </c>
      <c r="EF14" s="372" t="s">
        <v>850</v>
      </c>
      <c r="EG14" s="373">
        <f>200-200</f>
        <v>0</v>
      </c>
      <c r="EH14" s="373">
        <f>100-100</f>
        <v>0</v>
      </c>
      <c r="EI14" s="373">
        <f>20-20</f>
        <v>0</v>
      </c>
      <c r="EJ14" s="372" t="s">
        <v>850</v>
      </c>
      <c r="EK14" s="372" t="s">
        <v>850</v>
      </c>
      <c r="EL14" s="373">
        <f>50-50</f>
        <v>0</v>
      </c>
      <c r="EM14" s="373">
        <f>50-50</f>
        <v>0</v>
      </c>
      <c r="EN14" s="372" t="s">
        <v>850</v>
      </c>
      <c r="EO14" s="373">
        <f>200-200</f>
        <v>0</v>
      </c>
      <c r="EP14" s="372" t="s">
        <v>850</v>
      </c>
      <c r="EQ14" s="372" t="s">
        <v>850</v>
      </c>
      <c r="ER14" s="372" t="s">
        <v>850</v>
      </c>
      <c r="ES14" s="372" t="s">
        <v>850</v>
      </c>
      <c r="ET14" s="372" t="s">
        <v>850</v>
      </c>
      <c r="EU14" s="372" t="s">
        <v>850</v>
      </c>
      <c r="EV14" s="372" t="s">
        <v>850</v>
      </c>
      <c r="EW14" s="373">
        <f>80-80</f>
        <v>0</v>
      </c>
      <c r="EX14" s="372" t="s">
        <v>850</v>
      </c>
      <c r="EY14" s="372" t="s">
        <v>850</v>
      </c>
      <c r="EZ14" s="372" t="s">
        <v>850</v>
      </c>
      <c r="FA14" s="372" t="s">
        <v>850</v>
      </c>
      <c r="FB14" s="372" t="s">
        <v>850</v>
      </c>
      <c r="FC14" s="372" t="s">
        <v>850</v>
      </c>
      <c r="FD14" s="372" t="s">
        <v>850</v>
      </c>
      <c r="FE14" s="372" t="s">
        <v>850</v>
      </c>
      <c r="FF14" s="372" t="s">
        <v>850</v>
      </c>
      <c r="FG14" s="372" t="s">
        <v>850</v>
      </c>
      <c r="FH14" s="372" t="s">
        <v>850</v>
      </c>
      <c r="FI14" s="372" t="s">
        <v>850</v>
      </c>
      <c r="FJ14" s="372" t="s">
        <v>850</v>
      </c>
      <c r="FK14" s="372" t="s">
        <v>850</v>
      </c>
      <c r="FL14" s="372" t="s">
        <v>850</v>
      </c>
      <c r="FM14" s="372" t="s">
        <v>850</v>
      </c>
      <c r="FN14" s="372" t="s">
        <v>850</v>
      </c>
      <c r="FO14" s="372" t="s">
        <v>850</v>
      </c>
      <c r="FP14" s="372" t="s">
        <v>850</v>
      </c>
      <c r="FQ14" s="375" t="s">
        <v>850</v>
      </c>
      <c r="FR14" s="376" t="s">
        <v>1049</v>
      </c>
      <c r="FS14" s="377" t="s">
        <v>522</v>
      </c>
      <c r="FT14" s="377" t="s">
        <v>850</v>
      </c>
      <c r="FU14" s="377" t="s">
        <v>529</v>
      </c>
      <c r="FV14" s="144">
        <f t="shared" si="0"/>
        <v>100</v>
      </c>
      <c r="FW14" s="371" t="s">
        <v>888</v>
      </c>
    </row>
    <row r="15" spans="1:179" s="371" customFormat="1" hidden="1">
      <c r="A15" s="368" t="s">
        <v>526</v>
      </c>
      <c r="B15" s="369" t="s">
        <v>517</v>
      </c>
      <c r="C15" s="369" t="s">
        <v>527</v>
      </c>
      <c r="D15" s="369" t="s">
        <v>3</v>
      </c>
      <c r="E15" s="370" t="s">
        <v>528</v>
      </c>
      <c r="F15" s="369" t="s">
        <v>520</v>
      </c>
      <c r="G15" s="369"/>
      <c r="H15" s="372"/>
      <c r="I15" s="372"/>
      <c r="J15" s="372"/>
      <c r="K15" s="372"/>
      <c r="L15" s="372"/>
      <c r="M15" s="372"/>
      <c r="N15" s="372"/>
      <c r="O15" s="372"/>
      <c r="P15" s="372"/>
      <c r="Q15" s="372"/>
      <c r="R15" s="372"/>
      <c r="S15" s="372"/>
      <c r="T15" s="372"/>
      <c r="U15" s="372"/>
      <c r="V15" s="372"/>
      <c r="W15" s="372"/>
      <c r="X15" s="372"/>
      <c r="Y15" s="372"/>
      <c r="Z15" s="372"/>
      <c r="AA15" s="372"/>
      <c r="AB15" s="372"/>
      <c r="AC15" s="372"/>
      <c r="AD15" s="372"/>
      <c r="AE15" s="372"/>
      <c r="AF15" s="372"/>
      <c r="AG15" s="372"/>
      <c r="AH15" s="372"/>
      <c r="AI15" s="372"/>
      <c r="AJ15" s="372"/>
      <c r="AK15" s="372"/>
      <c r="AL15" s="372"/>
      <c r="AM15" s="372"/>
      <c r="AN15" s="372"/>
      <c r="AO15" s="372"/>
      <c r="AP15" s="372"/>
      <c r="AQ15" s="372"/>
      <c r="AR15" s="372"/>
      <c r="AS15" s="372"/>
      <c r="AT15" s="372"/>
      <c r="AU15" s="372"/>
      <c r="AV15" s="372"/>
      <c r="AW15" s="372"/>
      <c r="AX15" s="372"/>
      <c r="AY15" s="372"/>
      <c r="AZ15" s="372"/>
      <c r="BA15" s="372"/>
      <c r="BB15" s="372"/>
      <c r="BC15" s="372"/>
      <c r="BD15" s="372"/>
      <c r="BE15" s="372"/>
      <c r="BF15" s="372"/>
      <c r="BG15" s="372"/>
      <c r="BH15" s="372"/>
      <c r="BI15" s="372"/>
      <c r="BJ15" s="372"/>
      <c r="BK15" s="372"/>
      <c r="BL15" s="372"/>
      <c r="BM15" s="372"/>
      <c r="BN15" s="372"/>
      <c r="BO15" s="372"/>
      <c r="BP15" s="372"/>
      <c r="BQ15" s="372"/>
      <c r="BR15" s="372"/>
      <c r="BS15" s="372"/>
      <c r="BT15" s="372"/>
      <c r="BU15" s="372"/>
      <c r="BV15" s="372" t="s">
        <v>850</v>
      </c>
      <c r="BW15" s="372"/>
      <c r="BX15" s="372"/>
      <c r="CA15" s="372"/>
      <c r="CB15" s="372"/>
      <c r="CD15" s="372"/>
      <c r="CE15" s="372"/>
      <c r="CG15" s="372"/>
      <c r="CH15" s="372"/>
      <c r="CI15" s="372"/>
      <c r="CJ15" s="372"/>
      <c r="CK15" s="372"/>
      <c r="CL15" s="372"/>
      <c r="CM15" s="372"/>
      <c r="CN15" s="372"/>
      <c r="CO15" s="372"/>
      <c r="CP15" s="372"/>
      <c r="CQ15" s="372"/>
      <c r="CR15" s="372"/>
      <c r="CS15" s="372"/>
      <c r="CT15" s="372"/>
      <c r="CU15" s="372"/>
      <c r="CV15" s="372"/>
      <c r="CW15" s="372"/>
      <c r="CY15" s="372"/>
      <c r="CZ15" s="372"/>
      <c r="DA15" s="372"/>
      <c r="DB15" s="372"/>
      <c r="DC15" s="372"/>
      <c r="DD15" s="372"/>
      <c r="DE15" s="372"/>
      <c r="DF15" s="372"/>
      <c r="DG15" s="372"/>
      <c r="DH15" s="372"/>
      <c r="DI15" s="372" t="s">
        <v>850</v>
      </c>
      <c r="DJ15" s="372"/>
      <c r="DK15" s="372" t="s">
        <v>850</v>
      </c>
      <c r="DL15" s="372"/>
      <c r="DM15" s="372"/>
      <c r="DN15" s="372"/>
      <c r="DO15" s="372"/>
      <c r="DP15" s="372"/>
      <c r="DQ15" s="372"/>
      <c r="DR15" s="372"/>
      <c r="DS15" s="372"/>
      <c r="DT15" s="372"/>
      <c r="DU15" s="372"/>
      <c r="DV15" s="372"/>
      <c r="DW15" s="372"/>
      <c r="DX15" s="372"/>
      <c r="DY15" s="372"/>
      <c r="DZ15" s="372"/>
      <c r="EA15" s="372"/>
      <c r="EB15" s="372"/>
      <c r="EC15" s="372"/>
      <c r="ED15" s="372"/>
      <c r="EE15" s="372"/>
      <c r="EF15" s="372"/>
      <c r="EG15" s="372"/>
      <c r="EH15" s="372"/>
      <c r="EI15" s="372"/>
      <c r="EJ15" s="372"/>
      <c r="EK15" s="372"/>
      <c r="EL15" s="372"/>
      <c r="EM15" s="372"/>
      <c r="EN15" s="372"/>
      <c r="EO15" s="416">
        <f>10</f>
        <v>10</v>
      </c>
      <c r="EP15" s="372"/>
      <c r="EQ15" s="372"/>
      <c r="ER15" s="372"/>
      <c r="ES15" s="372"/>
      <c r="ET15" s="372"/>
      <c r="EU15" s="372"/>
      <c r="EV15" s="372"/>
      <c r="EW15" s="372"/>
      <c r="EX15" s="372"/>
      <c r="EY15" s="372"/>
      <c r="EZ15" s="372"/>
      <c r="FA15" s="372"/>
      <c r="FB15" s="372"/>
      <c r="FC15" s="372"/>
      <c r="FD15" s="372"/>
      <c r="FE15" s="372"/>
      <c r="FF15" s="372"/>
      <c r="FG15" s="372"/>
      <c r="FH15" s="372"/>
      <c r="FI15" s="372"/>
      <c r="FJ15" s="372"/>
      <c r="FK15" s="372"/>
      <c r="FL15" s="372"/>
      <c r="FM15" s="372"/>
      <c r="FN15" s="372"/>
      <c r="FO15" s="372"/>
      <c r="FP15" s="372"/>
      <c r="FQ15" s="375" t="s">
        <v>850</v>
      </c>
      <c r="FR15" s="376" t="s">
        <v>1049</v>
      </c>
      <c r="FS15" s="377" t="s">
        <v>522</v>
      </c>
      <c r="FT15" s="377" t="s">
        <v>850</v>
      </c>
      <c r="FU15" s="377" t="s">
        <v>529</v>
      </c>
      <c r="FV15" s="144">
        <f t="shared" si="0"/>
        <v>10</v>
      </c>
      <c r="FW15" s="371" t="s">
        <v>888</v>
      </c>
    </row>
    <row r="16" spans="1:179" s="371" customFormat="1" hidden="1">
      <c r="A16" s="368" t="s">
        <v>892</v>
      </c>
      <c r="B16" s="369" t="s">
        <v>517</v>
      </c>
      <c r="C16" s="369" t="s">
        <v>527</v>
      </c>
      <c r="D16" s="369" t="s">
        <v>8</v>
      </c>
      <c r="E16" s="370" t="s">
        <v>534</v>
      </c>
      <c r="F16" s="369" t="s">
        <v>520</v>
      </c>
      <c r="G16" s="369"/>
      <c r="BV16" s="372" t="s">
        <v>850</v>
      </c>
      <c r="DI16" s="372" t="s">
        <v>850</v>
      </c>
      <c r="DK16" s="372" t="s">
        <v>850</v>
      </c>
      <c r="FQ16" s="375" t="s">
        <v>850</v>
      </c>
      <c r="FR16" s="376" t="s">
        <v>1049</v>
      </c>
      <c r="FS16" s="377" t="s">
        <v>522</v>
      </c>
      <c r="FT16" s="377" t="s">
        <v>893</v>
      </c>
      <c r="FU16" s="377" t="s">
        <v>894</v>
      </c>
      <c r="FV16" s="144">
        <f t="shared" si="0"/>
        <v>0</v>
      </c>
      <c r="FW16" s="371" t="s">
        <v>888</v>
      </c>
    </row>
    <row r="17" spans="1:179" s="371" customFormat="1" hidden="1">
      <c r="A17" s="368" t="s">
        <v>892</v>
      </c>
      <c r="B17" s="369" t="s">
        <v>517</v>
      </c>
      <c r="C17" s="369" t="s">
        <v>527</v>
      </c>
      <c r="D17" s="369" t="s">
        <v>4</v>
      </c>
      <c r="E17" s="370" t="s">
        <v>534</v>
      </c>
      <c r="F17" s="369" t="s">
        <v>520</v>
      </c>
      <c r="G17" s="369"/>
      <c r="H17" s="372" t="s">
        <v>850</v>
      </c>
      <c r="I17" s="372" t="s">
        <v>850</v>
      </c>
      <c r="J17" s="372" t="s">
        <v>850</v>
      </c>
      <c r="K17" s="372" t="s">
        <v>850</v>
      </c>
      <c r="L17" s="372" t="s">
        <v>850</v>
      </c>
      <c r="M17" s="372" t="s">
        <v>850</v>
      </c>
      <c r="N17" s="372" t="s">
        <v>850</v>
      </c>
      <c r="O17" s="372" t="s">
        <v>850</v>
      </c>
      <c r="P17" s="372" t="s">
        <v>850</v>
      </c>
      <c r="Q17" s="372" t="s">
        <v>850</v>
      </c>
      <c r="R17" s="372" t="s">
        <v>850</v>
      </c>
      <c r="S17" s="372" t="s">
        <v>850</v>
      </c>
      <c r="T17" s="372" t="s">
        <v>850</v>
      </c>
      <c r="U17" s="372" t="s">
        <v>850</v>
      </c>
      <c r="V17" s="372" t="s">
        <v>850</v>
      </c>
      <c r="W17" s="372" t="s">
        <v>850</v>
      </c>
      <c r="X17" s="372" t="s">
        <v>850</v>
      </c>
      <c r="Y17" s="372" t="s">
        <v>850</v>
      </c>
      <c r="Z17" s="372" t="s">
        <v>850</v>
      </c>
      <c r="AA17" s="372" t="s">
        <v>850</v>
      </c>
      <c r="AB17" s="372" t="s">
        <v>850</v>
      </c>
      <c r="AC17" s="372" t="s">
        <v>850</v>
      </c>
      <c r="AD17" s="372" t="s">
        <v>850</v>
      </c>
      <c r="AE17" s="372" t="s">
        <v>850</v>
      </c>
      <c r="AF17" s="372" t="s">
        <v>850</v>
      </c>
      <c r="AG17" s="372" t="s">
        <v>850</v>
      </c>
      <c r="AH17" s="372" t="s">
        <v>850</v>
      </c>
      <c r="AI17" s="372" t="s">
        <v>850</v>
      </c>
      <c r="AJ17" s="372" t="s">
        <v>850</v>
      </c>
      <c r="AK17" s="372" t="s">
        <v>850</v>
      </c>
      <c r="AL17" s="372" t="s">
        <v>850</v>
      </c>
      <c r="AM17" s="372" t="s">
        <v>850</v>
      </c>
      <c r="AN17" s="372" t="s">
        <v>850</v>
      </c>
      <c r="AO17" s="372" t="s">
        <v>850</v>
      </c>
      <c r="AP17" s="372" t="s">
        <v>850</v>
      </c>
      <c r="AQ17" s="372" t="s">
        <v>850</v>
      </c>
      <c r="AR17" s="372" t="s">
        <v>850</v>
      </c>
      <c r="AS17" s="372" t="s">
        <v>850</v>
      </c>
      <c r="AT17" s="372" t="s">
        <v>850</v>
      </c>
      <c r="AU17" s="372" t="s">
        <v>850</v>
      </c>
      <c r="AV17" s="372" t="s">
        <v>850</v>
      </c>
      <c r="AW17" s="372" t="s">
        <v>850</v>
      </c>
      <c r="AX17" s="372" t="s">
        <v>850</v>
      </c>
      <c r="AY17" s="372" t="s">
        <v>850</v>
      </c>
      <c r="AZ17" s="372" t="s">
        <v>850</v>
      </c>
      <c r="BA17" s="372" t="s">
        <v>850</v>
      </c>
      <c r="BB17" s="372" t="s">
        <v>850</v>
      </c>
      <c r="BC17" s="372" t="s">
        <v>850</v>
      </c>
      <c r="BD17" s="372" t="s">
        <v>850</v>
      </c>
      <c r="BE17" s="372" t="s">
        <v>850</v>
      </c>
      <c r="BF17" s="372" t="s">
        <v>850</v>
      </c>
      <c r="BG17" s="372" t="s">
        <v>850</v>
      </c>
      <c r="BH17" s="372" t="s">
        <v>850</v>
      </c>
      <c r="BI17" s="372" t="s">
        <v>850</v>
      </c>
      <c r="BJ17" s="372" t="s">
        <v>850</v>
      </c>
      <c r="BK17" s="372" t="s">
        <v>850</v>
      </c>
      <c r="BL17" s="372" t="s">
        <v>850</v>
      </c>
      <c r="BM17" s="372" t="s">
        <v>850</v>
      </c>
      <c r="BN17" s="372" t="s">
        <v>850</v>
      </c>
      <c r="BO17" s="372" t="s">
        <v>850</v>
      </c>
      <c r="BP17" s="372" t="s">
        <v>850</v>
      </c>
      <c r="BQ17" s="372" t="s">
        <v>850</v>
      </c>
      <c r="BR17" s="372" t="s">
        <v>850</v>
      </c>
      <c r="BS17" s="372" t="s">
        <v>850</v>
      </c>
      <c r="BT17" s="372" t="s">
        <v>850</v>
      </c>
      <c r="BU17" s="372" t="s">
        <v>850</v>
      </c>
      <c r="BV17" s="372" t="s">
        <v>850</v>
      </c>
      <c r="BW17" s="372" t="s">
        <v>850</v>
      </c>
      <c r="BX17" s="372" t="s">
        <v>850</v>
      </c>
      <c r="CA17" s="372" t="s">
        <v>850</v>
      </c>
      <c r="CB17" s="372" t="s">
        <v>850</v>
      </c>
      <c r="CD17" s="372" t="s">
        <v>850</v>
      </c>
      <c r="CE17" s="372" t="s">
        <v>850</v>
      </c>
      <c r="CG17" s="372" t="s">
        <v>850</v>
      </c>
      <c r="CH17" s="372" t="s">
        <v>850</v>
      </c>
      <c r="CI17" s="372" t="s">
        <v>850</v>
      </c>
      <c r="CJ17" s="372" t="s">
        <v>850</v>
      </c>
      <c r="CK17" s="372" t="s">
        <v>850</v>
      </c>
      <c r="CL17" s="372" t="s">
        <v>850</v>
      </c>
      <c r="CM17" s="372" t="s">
        <v>850</v>
      </c>
      <c r="CN17" s="372" t="s">
        <v>850</v>
      </c>
      <c r="CO17" s="372" t="s">
        <v>850</v>
      </c>
      <c r="CP17" s="372" t="s">
        <v>850</v>
      </c>
      <c r="CQ17" s="372" t="s">
        <v>850</v>
      </c>
      <c r="CR17" s="372" t="s">
        <v>850</v>
      </c>
      <c r="CS17" s="372" t="s">
        <v>850</v>
      </c>
      <c r="CT17" s="372" t="s">
        <v>850</v>
      </c>
      <c r="CU17" s="372" t="s">
        <v>850</v>
      </c>
      <c r="CV17" s="372" t="s">
        <v>850</v>
      </c>
      <c r="CW17" s="372" t="s">
        <v>850</v>
      </c>
      <c r="CY17" s="372" t="s">
        <v>850</v>
      </c>
      <c r="CZ17" s="372" t="s">
        <v>850</v>
      </c>
      <c r="DA17" s="372" t="s">
        <v>850</v>
      </c>
      <c r="DB17" s="372" t="s">
        <v>850</v>
      </c>
      <c r="DC17" s="372" t="s">
        <v>850</v>
      </c>
      <c r="DD17" s="372" t="s">
        <v>850</v>
      </c>
      <c r="DE17" s="372" t="s">
        <v>850</v>
      </c>
      <c r="DF17" s="372" t="s">
        <v>850</v>
      </c>
      <c r="DG17" s="372" t="s">
        <v>850</v>
      </c>
      <c r="DH17" s="372" t="s">
        <v>850</v>
      </c>
      <c r="DI17" s="372" t="s">
        <v>850</v>
      </c>
      <c r="DJ17" s="372" t="s">
        <v>850</v>
      </c>
      <c r="DK17" s="372" t="s">
        <v>850</v>
      </c>
      <c r="DL17" s="372" t="s">
        <v>850</v>
      </c>
      <c r="DM17" s="372" t="s">
        <v>850</v>
      </c>
      <c r="DN17" s="372" t="s">
        <v>850</v>
      </c>
      <c r="DO17" s="372" t="s">
        <v>850</v>
      </c>
      <c r="DP17" s="372" t="s">
        <v>850</v>
      </c>
      <c r="DQ17" s="372" t="s">
        <v>850</v>
      </c>
      <c r="DR17" s="416">
        <f>100-100+100</f>
        <v>100</v>
      </c>
      <c r="DS17" s="372" t="s">
        <v>850</v>
      </c>
      <c r="DT17" s="372" t="s">
        <v>850</v>
      </c>
      <c r="DU17" s="372" t="s">
        <v>850</v>
      </c>
      <c r="DV17" s="372" t="s">
        <v>850</v>
      </c>
      <c r="DW17" s="372" t="s">
        <v>850</v>
      </c>
      <c r="DX17" s="372" t="s">
        <v>850</v>
      </c>
      <c r="DY17" s="372" t="s">
        <v>850</v>
      </c>
      <c r="DZ17" s="372" t="s">
        <v>850</v>
      </c>
      <c r="EA17" s="372" t="s">
        <v>850</v>
      </c>
      <c r="EB17" s="372" t="s">
        <v>850</v>
      </c>
      <c r="EC17" s="373">
        <f>50-50</f>
        <v>0</v>
      </c>
      <c r="ED17" s="373">
        <f>100-100</f>
        <v>0</v>
      </c>
      <c r="EE17" s="372" t="s">
        <v>850</v>
      </c>
      <c r="EF17" s="372" t="s">
        <v>850</v>
      </c>
      <c r="EG17" s="373">
        <f>200-200</f>
        <v>0</v>
      </c>
      <c r="EH17" s="373">
        <f>100-100</f>
        <v>0</v>
      </c>
      <c r="EI17" s="373">
        <f>50-50</f>
        <v>0</v>
      </c>
      <c r="EJ17" s="372" t="s">
        <v>850</v>
      </c>
      <c r="EK17" s="372" t="s">
        <v>850</v>
      </c>
      <c r="EL17" s="373">
        <f>50-50</f>
        <v>0</v>
      </c>
      <c r="EM17" s="373">
        <f>20-20</f>
        <v>0</v>
      </c>
      <c r="EN17" s="372" t="s">
        <v>850</v>
      </c>
      <c r="EO17" s="373">
        <f>50-50</f>
        <v>0</v>
      </c>
      <c r="EP17" s="372" t="s">
        <v>850</v>
      </c>
      <c r="EQ17" s="372" t="s">
        <v>850</v>
      </c>
      <c r="ER17" s="372" t="s">
        <v>850</v>
      </c>
      <c r="ES17" s="372" t="s">
        <v>850</v>
      </c>
      <c r="ET17" s="372" t="s">
        <v>850</v>
      </c>
      <c r="EU17" s="372" t="s">
        <v>850</v>
      </c>
      <c r="EV17" s="372" t="s">
        <v>850</v>
      </c>
      <c r="EW17" s="373">
        <f>50-50</f>
        <v>0</v>
      </c>
      <c r="EX17" s="372" t="s">
        <v>850</v>
      </c>
      <c r="EY17" s="372" t="s">
        <v>850</v>
      </c>
      <c r="EZ17" s="372" t="s">
        <v>850</v>
      </c>
      <c r="FA17" s="372" t="s">
        <v>850</v>
      </c>
      <c r="FB17" s="372" t="s">
        <v>850</v>
      </c>
      <c r="FC17" s="372" t="s">
        <v>850</v>
      </c>
      <c r="FD17" s="372" t="s">
        <v>850</v>
      </c>
      <c r="FE17" s="372" t="s">
        <v>850</v>
      </c>
      <c r="FF17" s="372" t="s">
        <v>850</v>
      </c>
      <c r="FG17" s="372" t="s">
        <v>850</v>
      </c>
      <c r="FH17" s="372" t="s">
        <v>850</v>
      </c>
      <c r="FI17" s="372" t="s">
        <v>850</v>
      </c>
      <c r="FJ17" s="372" t="s">
        <v>850</v>
      </c>
      <c r="FK17" s="372" t="s">
        <v>850</v>
      </c>
      <c r="FL17" s="372" t="s">
        <v>850</v>
      </c>
      <c r="FM17" s="372" t="s">
        <v>850</v>
      </c>
      <c r="FN17" s="372" t="s">
        <v>850</v>
      </c>
      <c r="FO17" s="372" t="s">
        <v>850</v>
      </c>
      <c r="FP17" s="372" t="s">
        <v>850</v>
      </c>
      <c r="FQ17" s="375" t="s">
        <v>850</v>
      </c>
      <c r="FR17" s="376" t="s">
        <v>1049</v>
      </c>
      <c r="FS17" s="377" t="s">
        <v>522</v>
      </c>
      <c r="FT17" s="377" t="s">
        <v>893</v>
      </c>
      <c r="FU17" s="377" t="s">
        <v>894</v>
      </c>
      <c r="FV17" s="144">
        <f t="shared" si="0"/>
        <v>100</v>
      </c>
      <c r="FW17" s="371" t="s">
        <v>888</v>
      </c>
    </row>
    <row r="18" spans="1:179" s="371" customFormat="1" hidden="1">
      <c r="A18" s="368" t="s">
        <v>892</v>
      </c>
      <c r="B18" s="369" t="s">
        <v>517</v>
      </c>
      <c r="C18" s="369" t="s">
        <v>527</v>
      </c>
      <c r="D18" s="369" t="s">
        <v>3</v>
      </c>
      <c r="E18" s="370" t="s">
        <v>534</v>
      </c>
      <c r="F18" s="369" t="s">
        <v>520</v>
      </c>
      <c r="G18" s="369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  <c r="AB18" s="372"/>
      <c r="AC18" s="372"/>
      <c r="AD18" s="372"/>
      <c r="AE18" s="372"/>
      <c r="AF18" s="372"/>
      <c r="AG18" s="372"/>
      <c r="AH18" s="372"/>
      <c r="AI18" s="372"/>
      <c r="AJ18" s="372"/>
      <c r="AK18" s="372"/>
      <c r="AL18" s="372"/>
      <c r="AM18" s="372"/>
      <c r="AN18" s="372"/>
      <c r="AO18" s="372"/>
      <c r="AP18" s="372"/>
      <c r="AQ18" s="372"/>
      <c r="AR18" s="372"/>
      <c r="AS18" s="372"/>
      <c r="AT18" s="372"/>
      <c r="AU18" s="372"/>
      <c r="AV18" s="372"/>
      <c r="AW18" s="372"/>
      <c r="AX18" s="372"/>
      <c r="AY18" s="372"/>
      <c r="AZ18" s="372"/>
      <c r="BA18" s="372"/>
      <c r="BB18" s="372"/>
      <c r="BC18" s="372"/>
      <c r="BD18" s="372"/>
      <c r="BE18" s="372"/>
      <c r="BF18" s="372"/>
      <c r="BG18" s="372"/>
      <c r="BH18" s="372"/>
      <c r="BI18" s="372"/>
      <c r="BJ18" s="372"/>
      <c r="BK18" s="372"/>
      <c r="BL18" s="372"/>
      <c r="BM18" s="372"/>
      <c r="BN18" s="372"/>
      <c r="BO18" s="372"/>
      <c r="BP18" s="372"/>
      <c r="BQ18" s="372"/>
      <c r="BR18" s="372"/>
      <c r="BS18" s="372"/>
      <c r="BT18" s="372"/>
      <c r="BU18" s="372"/>
      <c r="BV18" s="372" t="s">
        <v>850</v>
      </c>
      <c r="BW18" s="372"/>
      <c r="BX18" s="372"/>
      <c r="CA18" s="372"/>
      <c r="CB18" s="372"/>
      <c r="CD18" s="372"/>
      <c r="CE18" s="372"/>
      <c r="CG18" s="372"/>
      <c r="CH18" s="372"/>
      <c r="CI18" s="372"/>
      <c r="CJ18" s="372"/>
      <c r="CK18" s="372"/>
      <c r="CL18" s="372"/>
      <c r="CM18" s="372"/>
      <c r="CN18" s="372"/>
      <c r="CO18" s="372"/>
      <c r="CP18" s="372"/>
      <c r="CQ18" s="372"/>
      <c r="CR18" s="372"/>
      <c r="CS18" s="372"/>
      <c r="CT18" s="372"/>
      <c r="CU18" s="372"/>
      <c r="CV18" s="372"/>
      <c r="CW18" s="372"/>
      <c r="CY18" s="372"/>
      <c r="CZ18" s="372"/>
      <c r="DA18" s="372"/>
      <c r="DB18" s="372"/>
      <c r="DC18" s="372"/>
      <c r="DD18" s="372"/>
      <c r="DE18" s="372"/>
      <c r="DF18" s="372"/>
      <c r="DG18" s="372"/>
      <c r="DH18" s="372"/>
      <c r="DI18" s="372" t="s">
        <v>850</v>
      </c>
      <c r="DJ18" s="372"/>
      <c r="DK18" s="372" t="s">
        <v>850</v>
      </c>
      <c r="DL18" s="372"/>
      <c r="DM18" s="372"/>
      <c r="DN18" s="372"/>
      <c r="DO18" s="372"/>
      <c r="DP18" s="372"/>
      <c r="DQ18" s="372"/>
      <c r="DR18" s="372"/>
      <c r="DS18" s="372"/>
      <c r="DT18" s="372"/>
      <c r="DU18" s="372"/>
      <c r="DV18" s="372"/>
      <c r="DW18" s="372"/>
      <c r="DX18" s="372"/>
      <c r="DY18" s="372"/>
      <c r="DZ18" s="372"/>
      <c r="EA18" s="372"/>
      <c r="EB18" s="372"/>
      <c r="EC18" s="372"/>
      <c r="ED18" s="372"/>
      <c r="EE18" s="372"/>
      <c r="EF18" s="372"/>
      <c r="EG18" s="372"/>
      <c r="EH18" s="372"/>
      <c r="EI18" s="372"/>
      <c r="EJ18" s="372"/>
      <c r="EK18" s="372"/>
      <c r="EL18" s="372"/>
      <c r="EM18" s="372"/>
      <c r="EN18" s="372"/>
      <c r="EO18" s="372"/>
      <c r="EP18" s="372"/>
      <c r="EQ18" s="372"/>
      <c r="ER18" s="372"/>
      <c r="ES18" s="372"/>
      <c r="ET18" s="372"/>
      <c r="EU18" s="372"/>
      <c r="EV18" s="372"/>
      <c r="EW18" s="372"/>
      <c r="EX18" s="372"/>
      <c r="EY18" s="372"/>
      <c r="EZ18" s="372"/>
      <c r="FA18" s="372"/>
      <c r="FB18" s="372"/>
      <c r="FC18" s="372"/>
      <c r="FD18" s="372"/>
      <c r="FE18" s="372"/>
      <c r="FF18" s="372"/>
      <c r="FG18" s="372"/>
      <c r="FH18" s="372"/>
      <c r="FI18" s="372"/>
      <c r="FJ18" s="372"/>
      <c r="FK18" s="372"/>
      <c r="FL18" s="372"/>
      <c r="FM18" s="372"/>
      <c r="FN18" s="372"/>
      <c r="FO18" s="372"/>
      <c r="FP18" s="372"/>
      <c r="FQ18" s="375" t="s">
        <v>850</v>
      </c>
      <c r="FR18" s="376" t="s">
        <v>1049</v>
      </c>
      <c r="FS18" s="377" t="s">
        <v>522</v>
      </c>
      <c r="FT18" s="377" t="s">
        <v>893</v>
      </c>
      <c r="FU18" s="377" t="s">
        <v>894</v>
      </c>
      <c r="FV18" s="144">
        <f t="shared" si="0"/>
        <v>0</v>
      </c>
      <c r="FW18" s="371" t="s">
        <v>888</v>
      </c>
    </row>
    <row r="19" spans="1:179" s="371" customFormat="1" hidden="1">
      <c r="A19" s="368" t="s">
        <v>526</v>
      </c>
      <c r="B19" s="369" t="s">
        <v>517</v>
      </c>
      <c r="C19" s="369" t="s">
        <v>527</v>
      </c>
      <c r="D19" s="369" t="s">
        <v>8</v>
      </c>
      <c r="E19" s="370" t="s">
        <v>536</v>
      </c>
      <c r="F19" s="369" t="s">
        <v>520</v>
      </c>
      <c r="G19" s="369" t="s">
        <v>1054</v>
      </c>
      <c r="BV19" s="372" t="s">
        <v>850</v>
      </c>
      <c r="DI19" s="372" t="s">
        <v>850</v>
      </c>
      <c r="DK19" s="372" t="s">
        <v>850</v>
      </c>
      <c r="FQ19" s="375" t="s">
        <v>850</v>
      </c>
      <c r="FR19" s="376" t="s">
        <v>1049</v>
      </c>
      <c r="FS19" s="377" t="s">
        <v>522</v>
      </c>
      <c r="FT19" s="377" t="s">
        <v>537</v>
      </c>
      <c r="FU19" s="377" t="s">
        <v>895</v>
      </c>
      <c r="FV19" s="144">
        <f t="shared" si="0"/>
        <v>0</v>
      </c>
      <c r="FW19" s="371" t="s">
        <v>896</v>
      </c>
    </row>
    <row r="20" spans="1:179" s="371" customFormat="1" hidden="1">
      <c r="A20" s="368" t="s">
        <v>526</v>
      </c>
      <c r="B20" s="369" t="s">
        <v>517</v>
      </c>
      <c r="C20" s="369" t="s">
        <v>527</v>
      </c>
      <c r="D20" s="369" t="s">
        <v>4</v>
      </c>
      <c r="E20" s="370" t="s">
        <v>536</v>
      </c>
      <c r="F20" s="369" t="s">
        <v>520</v>
      </c>
      <c r="G20" s="369" t="s">
        <v>1054</v>
      </c>
      <c r="H20" s="372" t="s">
        <v>850</v>
      </c>
      <c r="I20" s="372" t="s">
        <v>850</v>
      </c>
      <c r="J20" s="373">
        <f>10-10</f>
        <v>0</v>
      </c>
      <c r="K20" s="373">
        <f>10-10</f>
        <v>0</v>
      </c>
      <c r="L20" s="372" t="s">
        <v>850</v>
      </c>
      <c r="M20" s="372" t="s">
        <v>850</v>
      </c>
      <c r="N20" s="373">
        <f>20-20</f>
        <v>0</v>
      </c>
      <c r="O20" s="373">
        <f>20-20</f>
        <v>0</v>
      </c>
      <c r="P20" s="373">
        <f>50-50</f>
        <v>0</v>
      </c>
      <c r="Q20" s="372" t="s">
        <v>850</v>
      </c>
      <c r="R20" s="372" t="s">
        <v>850</v>
      </c>
      <c r="S20" s="372" t="s">
        <v>850</v>
      </c>
      <c r="T20" s="373">
        <f>10-10</f>
        <v>0</v>
      </c>
      <c r="U20" s="373">
        <f>50-50</f>
        <v>0</v>
      </c>
      <c r="V20" s="372" t="s">
        <v>850</v>
      </c>
      <c r="W20" s="372" t="s">
        <v>850</v>
      </c>
      <c r="X20" s="372" t="s">
        <v>850</v>
      </c>
      <c r="Y20" s="373">
        <f>20-20</f>
        <v>0</v>
      </c>
      <c r="Z20" s="373">
        <f>50-50</f>
        <v>0</v>
      </c>
      <c r="AA20" s="372" t="s">
        <v>850</v>
      </c>
      <c r="AB20" s="373">
        <f>50-50</f>
        <v>0</v>
      </c>
      <c r="AC20" s="372" t="s">
        <v>850</v>
      </c>
      <c r="AD20" s="372" t="s">
        <v>850</v>
      </c>
      <c r="AE20" s="372" t="s">
        <v>850</v>
      </c>
      <c r="AF20" s="372" t="s">
        <v>850</v>
      </c>
      <c r="AG20" s="373">
        <f>500-500</f>
        <v>0</v>
      </c>
      <c r="AH20" s="373">
        <f>500-500</f>
        <v>0</v>
      </c>
      <c r="AI20" s="372" t="s">
        <v>850</v>
      </c>
      <c r="AJ20" s="372" t="s">
        <v>850</v>
      </c>
      <c r="AK20" s="372" t="s">
        <v>850</v>
      </c>
      <c r="AL20" s="373">
        <f>500-500</f>
        <v>0</v>
      </c>
      <c r="AM20" s="373">
        <f>500-500</f>
        <v>0</v>
      </c>
      <c r="AN20" s="372" t="s">
        <v>850</v>
      </c>
      <c r="AO20" s="373">
        <f>500-500</f>
        <v>0</v>
      </c>
      <c r="AP20" s="372" t="s">
        <v>850</v>
      </c>
      <c r="AQ20" s="373">
        <f>500-500</f>
        <v>0</v>
      </c>
      <c r="AR20" s="372" t="s">
        <v>850</v>
      </c>
      <c r="AS20" s="372" t="s">
        <v>850</v>
      </c>
      <c r="AT20" s="372" t="s">
        <v>850</v>
      </c>
      <c r="AU20" s="372" t="s">
        <v>850</v>
      </c>
      <c r="AV20" s="372" t="s">
        <v>850</v>
      </c>
      <c r="AW20" s="372" t="s">
        <v>850</v>
      </c>
      <c r="AX20" s="372" t="s">
        <v>850</v>
      </c>
      <c r="AY20" s="372" t="s">
        <v>850</v>
      </c>
      <c r="AZ20" s="372" t="s">
        <v>850</v>
      </c>
      <c r="BA20" s="372" t="s">
        <v>850</v>
      </c>
      <c r="BB20" s="372" t="s">
        <v>850</v>
      </c>
      <c r="BC20" s="372" t="s">
        <v>850</v>
      </c>
      <c r="BD20" s="372" t="s">
        <v>850</v>
      </c>
      <c r="BE20" s="372" t="s">
        <v>850</v>
      </c>
      <c r="BF20" s="372" t="s">
        <v>850</v>
      </c>
      <c r="BG20" s="372" t="s">
        <v>850</v>
      </c>
      <c r="BH20" s="372" t="s">
        <v>850</v>
      </c>
      <c r="BI20" s="372" t="s">
        <v>850</v>
      </c>
      <c r="BJ20" s="372" t="s">
        <v>850</v>
      </c>
      <c r="BK20" s="372" t="s">
        <v>850</v>
      </c>
      <c r="BL20" s="372" t="s">
        <v>850</v>
      </c>
      <c r="BM20" s="372" t="s">
        <v>850</v>
      </c>
      <c r="BN20" s="372" t="s">
        <v>850</v>
      </c>
      <c r="BO20" s="372" t="s">
        <v>850</v>
      </c>
      <c r="BP20" s="372" t="s">
        <v>850</v>
      </c>
      <c r="BQ20" s="372" t="s">
        <v>850</v>
      </c>
      <c r="BR20" s="372" t="s">
        <v>850</v>
      </c>
      <c r="BS20" s="372" t="s">
        <v>850</v>
      </c>
      <c r="BT20" s="372" t="s">
        <v>850</v>
      </c>
      <c r="BU20" s="372" t="s">
        <v>850</v>
      </c>
      <c r="BV20" s="372" t="s">
        <v>850</v>
      </c>
      <c r="BW20" s="372" t="s">
        <v>850</v>
      </c>
      <c r="BX20" s="372" t="s">
        <v>850</v>
      </c>
      <c r="CA20" s="372" t="s">
        <v>850</v>
      </c>
      <c r="CB20" s="372" t="s">
        <v>850</v>
      </c>
      <c r="CD20" s="372" t="s">
        <v>850</v>
      </c>
      <c r="CE20" s="372" t="s">
        <v>850</v>
      </c>
      <c r="CG20" s="372" t="s">
        <v>850</v>
      </c>
      <c r="CH20" s="372" t="s">
        <v>850</v>
      </c>
      <c r="CI20" s="372" t="s">
        <v>850</v>
      </c>
      <c r="CJ20" s="372" t="s">
        <v>850</v>
      </c>
      <c r="CK20" s="372" t="s">
        <v>850</v>
      </c>
      <c r="CL20" s="372" t="s">
        <v>850</v>
      </c>
      <c r="CM20" s="372" t="s">
        <v>850</v>
      </c>
      <c r="CN20" s="372" t="s">
        <v>850</v>
      </c>
      <c r="CO20" s="372" t="s">
        <v>850</v>
      </c>
      <c r="CP20" s="372" t="s">
        <v>850</v>
      </c>
      <c r="CQ20" s="372" t="s">
        <v>850</v>
      </c>
      <c r="CR20" s="372" t="s">
        <v>850</v>
      </c>
      <c r="CS20" s="372" t="s">
        <v>850</v>
      </c>
      <c r="CT20" s="372" t="s">
        <v>850</v>
      </c>
      <c r="CU20" s="372" t="s">
        <v>850</v>
      </c>
      <c r="CV20" s="372" t="s">
        <v>850</v>
      </c>
      <c r="CW20" s="372" t="s">
        <v>850</v>
      </c>
      <c r="CY20" s="372" t="s">
        <v>850</v>
      </c>
      <c r="CZ20" s="372" t="s">
        <v>850</v>
      </c>
      <c r="DA20" s="372" t="s">
        <v>850</v>
      </c>
      <c r="DB20" s="372" t="s">
        <v>850</v>
      </c>
      <c r="DC20" s="372" t="s">
        <v>850</v>
      </c>
      <c r="DD20" s="372" t="s">
        <v>850</v>
      </c>
      <c r="DE20" s="372" t="s">
        <v>850</v>
      </c>
      <c r="DF20" s="372" t="s">
        <v>850</v>
      </c>
      <c r="DG20" s="372" t="s">
        <v>850</v>
      </c>
      <c r="DH20" s="372" t="s">
        <v>850</v>
      </c>
      <c r="DI20" s="372" t="s">
        <v>850</v>
      </c>
      <c r="DJ20" s="372" t="s">
        <v>850</v>
      </c>
      <c r="DK20" s="372" t="s">
        <v>850</v>
      </c>
      <c r="DL20" s="372" t="s">
        <v>850</v>
      </c>
      <c r="DM20" s="372" t="s">
        <v>850</v>
      </c>
      <c r="DN20" s="372" t="s">
        <v>850</v>
      </c>
      <c r="DO20" s="372" t="s">
        <v>850</v>
      </c>
      <c r="DP20" s="372" t="s">
        <v>850</v>
      </c>
      <c r="DQ20" s="372" t="s">
        <v>850</v>
      </c>
      <c r="DR20" s="373">
        <f>600-600</f>
        <v>0</v>
      </c>
      <c r="DS20" s="372" t="s">
        <v>850</v>
      </c>
      <c r="DT20" s="372" t="s">
        <v>850</v>
      </c>
      <c r="DU20" s="372" t="s">
        <v>850</v>
      </c>
      <c r="DV20" s="372" t="s">
        <v>850</v>
      </c>
      <c r="DW20" s="372" t="s">
        <v>850</v>
      </c>
      <c r="DX20" s="373">
        <f>1000-1000</f>
        <v>0</v>
      </c>
      <c r="DY20" s="372" t="s">
        <v>850</v>
      </c>
      <c r="DZ20" s="372" t="s">
        <v>850</v>
      </c>
      <c r="EA20" s="373">
        <f>1000-1000</f>
        <v>0</v>
      </c>
      <c r="EB20" s="372" t="s">
        <v>850</v>
      </c>
      <c r="EC20" s="373">
        <f>1000-1000</f>
        <v>0</v>
      </c>
      <c r="ED20" s="372" t="s">
        <v>850</v>
      </c>
      <c r="EE20" s="372" t="s">
        <v>850</v>
      </c>
      <c r="EF20" s="373">
        <f>1000-1000</f>
        <v>0</v>
      </c>
      <c r="EG20" s="372" t="s">
        <v>850</v>
      </c>
      <c r="EH20" s="372" t="s">
        <v>850</v>
      </c>
      <c r="EI20" s="372" t="s">
        <v>850</v>
      </c>
      <c r="EJ20" s="373">
        <f>1000-1000</f>
        <v>0</v>
      </c>
      <c r="EK20" s="372" t="s">
        <v>850</v>
      </c>
      <c r="EL20" s="372" t="s">
        <v>850</v>
      </c>
      <c r="EM20" s="372" t="s">
        <v>850</v>
      </c>
      <c r="EN20" s="372" t="s">
        <v>850</v>
      </c>
      <c r="EO20" s="372" t="s">
        <v>850</v>
      </c>
      <c r="EP20" s="372" t="s">
        <v>850</v>
      </c>
      <c r="EQ20" s="372" t="s">
        <v>850</v>
      </c>
      <c r="ER20" s="372" t="s">
        <v>850</v>
      </c>
      <c r="ES20" s="372" t="s">
        <v>850</v>
      </c>
      <c r="ET20" s="372" t="s">
        <v>850</v>
      </c>
      <c r="EU20" s="373">
        <f>500-500</f>
        <v>0</v>
      </c>
      <c r="EV20" s="372" t="s">
        <v>850</v>
      </c>
      <c r="EW20" s="372" t="s">
        <v>850</v>
      </c>
      <c r="EX20" s="372" t="s">
        <v>850</v>
      </c>
      <c r="EY20" s="372" t="s">
        <v>850</v>
      </c>
      <c r="EZ20" s="372" t="s">
        <v>850</v>
      </c>
      <c r="FA20" s="372" t="s">
        <v>850</v>
      </c>
      <c r="FB20" s="372" t="s">
        <v>850</v>
      </c>
      <c r="FC20" s="372" t="s">
        <v>850</v>
      </c>
      <c r="FD20" s="372" t="s">
        <v>850</v>
      </c>
      <c r="FE20" s="372" t="s">
        <v>850</v>
      </c>
      <c r="FF20" s="372" t="s">
        <v>850</v>
      </c>
      <c r="FG20" s="372" t="s">
        <v>850</v>
      </c>
      <c r="FH20" s="372" t="s">
        <v>850</v>
      </c>
      <c r="FI20" s="372" t="s">
        <v>850</v>
      </c>
      <c r="FJ20" s="372" t="s">
        <v>850</v>
      </c>
      <c r="FK20" s="372" t="s">
        <v>850</v>
      </c>
      <c r="FL20" s="372" t="s">
        <v>850</v>
      </c>
      <c r="FM20" s="372" t="s">
        <v>850</v>
      </c>
      <c r="FN20" s="372" t="s">
        <v>850</v>
      </c>
      <c r="FO20" s="372" t="s">
        <v>850</v>
      </c>
      <c r="FP20" s="372" t="s">
        <v>850</v>
      </c>
      <c r="FQ20" s="375" t="s">
        <v>850</v>
      </c>
      <c r="FR20" s="376" t="s">
        <v>1049</v>
      </c>
      <c r="FS20" s="377" t="s">
        <v>522</v>
      </c>
      <c r="FT20" s="377" t="s">
        <v>537</v>
      </c>
      <c r="FU20" s="377" t="s">
        <v>895</v>
      </c>
      <c r="FV20" s="144">
        <f t="shared" si="0"/>
        <v>0</v>
      </c>
      <c r="FW20" s="371" t="s">
        <v>896</v>
      </c>
    </row>
    <row r="21" spans="1:179" s="371" customFormat="1" hidden="1">
      <c r="A21" s="368" t="s">
        <v>526</v>
      </c>
      <c r="B21" s="369" t="s">
        <v>517</v>
      </c>
      <c r="C21" s="369" t="s">
        <v>527</v>
      </c>
      <c r="D21" s="369" t="s">
        <v>3</v>
      </c>
      <c r="E21" s="370" t="s">
        <v>536</v>
      </c>
      <c r="F21" s="369" t="s">
        <v>520</v>
      </c>
      <c r="G21" s="369" t="s">
        <v>1054</v>
      </c>
      <c r="H21" s="372"/>
      <c r="I21" s="372"/>
      <c r="J21" s="372"/>
      <c r="K21" s="372"/>
      <c r="L21" s="372"/>
      <c r="M21" s="372"/>
      <c r="N21" s="372"/>
      <c r="O21" s="372"/>
      <c r="P21" s="372"/>
      <c r="Q21" s="372"/>
      <c r="R21" s="372"/>
      <c r="S21" s="372"/>
      <c r="T21" s="372"/>
      <c r="U21" s="372"/>
      <c r="V21" s="372"/>
      <c r="W21" s="372"/>
      <c r="X21" s="372"/>
      <c r="Y21" s="372"/>
      <c r="Z21" s="372"/>
      <c r="AA21" s="372"/>
      <c r="AB21" s="372"/>
      <c r="AC21" s="372"/>
      <c r="AD21" s="372"/>
      <c r="AE21" s="372"/>
      <c r="AF21" s="372"/>
      <c r="AG21" s="372"/>
      <c r="AH21" s="372"/>
      <c r="AI21" s="372"/>
      <c r="AJ21" s="372"/>
      <c r="AK21" s="372"/>
      <c r="AL21" s="372"/>
      <c r="AM21" s="372"/>
      <c r="AN21" s="372"/>
      <c r="AO21" s="372"/>
      <c r="AP21" s="372"/>
      <c r="AQ21" s="372"/>
      <c r="AR21" s="372"/>
      <c r="AS21" s="372"/>
      <c r="AT21" s="372"/>
      <c r="AU21" s="372"/>
      <c r="AV21" s="372"/>
      <c r="AW21" s="372"/>
      <c r="AX21" s="372"/>
      <c r="AY21" s="372"/>
      <c r="AZ21" s="372"/>
      <c r="BA21" s="372"/>
      <c r="BB21" s="372"/>
      <c r="BC21" s="372"/>
      <c r="BD21" s="372"/>
      <c r="BE21" s="372"/>
      <c r="BF21" s="372"/>
      <c r="BG21" s="372"/>
      <c r="BH21" s="372"/>
      <c r="BI21" s="372"/>
      <c r="BJ21" s="372"/>
      <c r="BK21" s="372"/>
      <c r="BL21" s="372"/>
      <c r="BM21" s="372"/>
      <c r="BN21" s="372"/>
      <c r="BO21" s="372"/>
      <c r="BP21" s="372"/>
      <c r="BQ21" s="372"/>
      <c r="BR21" s="372"/>
      <c r="BS21" s="372"/>
      <c r="BT21" s="372"/>
      <c r="BU21" s="372"/>
      <c r="BV21" s="372" t="s">
        <v>850</v>
      </c>
      <c r="BW21" s="372"/>
      <c r="BX21" s="372"/>
      <c r="CA21" s="372"/>
      <c r="CB21" s="372"/>
      <c r="CD21" s="372"/>
      <c r="CE21" s="372"/>
      <c r="CG21" s="372"/>
      <c r="CH21" s="372"/>
      <c r="CI21" s="372"/>
      <c r="CJ21" s="372"/>
      <c r="CK21" s="372"/>
      <c r="CL21" s="372"/>
      <c r="CM21" s="372"/>
      <c r="CN21" s="372"/>
      <c r="CO21" s="372"/>
      <c r="CP21" s="372"/>
      <c r="CQ21" s="372"/>
      <c r="CR21" s="372"/>
      <c r="CS21" s="372"/>
      <c r="CT21" s="372"/>
      <c r="CU21" s="372"/>
      <c r="CV21" s="372"/>
      <c r="CW21" s="372"/>
      <c r="CY21" s="372"/>
      <c r="CZ21" s="372"/>
      <c r="DA21" s="372"/>
      <c r="DB21" s="372"/>
      <c r="DC21" s="372"/>
      <c r="DD21" s="372"/>
      <c r="DE21" s="372"/>
      <c r="DF21" s="372"/>
      <c r="DG21" s="372"/>
      <c r="DH21" s="372"/>
      <c r="DI21" s="372" t="s">
        <v>850</v>
      </c>
      <c r="DJ21" s="372"/>
      <c r="DK21" s="372" t="s">
        <v>850</v>
      </c>
      <c r="DL21" s="372"/>
      <c r="DM21" s="372"/>
      <c r="DN21" s="372"/>
      <c r="DO21" s="372"/>
      <c r="DP21" s="372"/>
      <c r="DQ21" s="372"/>
      <c r="DR21" s="372"/>
      <c r="DS21" s="372"/>
      <c r="DT21" s="372"/>
      <c r="DU21" s="372"/>
      <c r="DV21" s="372"/>
      <c r="DW21" s="372"/>
      <c r="DX21" s="372"/>
      <c r="DY21" s="372"/>
      <c r="DZ21" s="372"/>
      <c r="EA21" s="372"/>
      <c r="EB21" s="372"/>
      <c r="EC21" s="372"/>
      <c r="ED21" s="372"/>
      <c r="EE21" s="372"/>
      <c r="EF21" s="372"/>
      <c r="EG21" s="372"/>
      <c r="EH21" s="372"/>
      <c r="EI21" s="372"/>
      <c r="EJ21" s="372"/>
      <c r="EK21" s="372"/>
      <c r="EL21" s="372"/>
      <c r="EM21" s="372"/>
      <c r="EN21" s="372"/>
      <c r="EO21" s="372"/>
      <c r="EP21" s="372"/>
      <c r="EQ21" s="372"/>
      <c r="ER21" s="372"/>
      <c r="ES21" s="372"/>
      <c r="ET21" s="372"/>
      <c r="EU21" s="372"/>
      <c r="EV21" s="372"/>
      <c r="EW21" s="372"/>
      <c r="EX21" s="372"/>
      <c r="EY21" s="372"/>
      <c r="EZ21" s="372"/>
      <c r="FA21" s="372"/>
      <c r="FB21" s="372"/>
      <c r="FC21" s="372"/>
      <c r="FD21" s="372"/>
      <c r="FE21" s="372"/>
      <c r="FF21" s="372"/>
      <c r="FG21" s="372"/>
      <c r="FH21" s="372"/>
      <c r="FI21" s="372"/>
      <c r="FJ21" s="372"/>
      <c r="FK21" s="372"/>
      <c r="FL21" s="372"/>
      <c r="FM21" s="372"/>
      <c r="FN21" s="372"/>
      <c r="FO21" s="372"/>
      <c r="FP21" s="372"/>
      <c r="FQ21" s="375" t="s">
        <v>850</v>
      </c>
      <c r="FR21" s="376" t="s">
        <v>1049</v>
      </c>
      <c r="FS21" s="377" t="s">
        <v>522</v>
      </c>
      <c r="FT21" s="377" t="s">
        <v>537</v>
      </c>
      <c r="FU21" s="377" t="s">
        <v>895</v>
      </c>
      <c r="FV21" s="144">
        <f t="shared" si="0"/>
        <v>0</v>
      </c>
      <c r="FW21" s="371" t="s">
        <v>896</v>
      </c>
    </row>
    <row r="22" spans="1:179" s="371" customFormat="1" hidden="1">
      <c r="A22" s="368" t="s">
        <v>897</v>
      </c>
      <c r="B22" s="369" t="s">
        <v>517</v>
      </c>
      <c r="C22" s="369" t="s">
        <v>527</v>
      </c>
      <c r="D22" s="369" t="s">
        <v>8</v>
      </c>
      <c r="E22" s="370" t="s">
        <v>541</v>
      </c>
      <c r="F22" s="369" t="s">
        <v>520</v>
      </c>
      <c r="G22" s="369"/>
      <c r="BV22" s="372" t="s">
        <v>850</v>
      </c>
      <c r="DI22" s="372" t="s">
        <v>850</v>
      </c>
      <c r="DK22" s="372" t="s">
        <v>850</v>
      </c>
      <c r="FQ22" s="375" t="s">
        <v>850</v>
      </c>
      <c r="FR22" s="376" t="s">
        <v>1049</v>
      </c>
      <c r="FS22" s="377" t="s">
        <v>522</v>
      </c>
      <c r="FT22" s="377" t="s">
        <v>850</v>
      </c>
      <c r="FU22" s="377" t="s">
        <v>542</v>
      </c>
      <c r="FV22" s="144">
        <f t="shared" si="0"/>
        <v>0</v>
      </c>
      <c r="FW22" s="371" t="s">
        <v>888</v>
      </c>
    </row>
    <row r="23" spans="1:179" s="371" customFormat="1" hidden="1">
      <c r="A23" s="368" t="s">
        <v>897</v>
      </c>
      <c r="B23" s="369" t="s">
        <v>517</v>
      </c>
      <c r="C23" s="369" t="s">
        <v>527</v>
      </c>
      <c r="D23" s="369" t="s">
        <v>4</v>
      </c>
      <c r="E23" s="370" t="s">
        <v>541</v>
      </c>
      <c r="F23" s="369" t="s">
        <v>520</v>
      </c>
      <c r="G23" s="369"/>
      <c r="H23" s="372" t="s">
        <v>850</v>
      </c>
      <c r="I23" s="372" t="s">
        <v>850</v>
      </c>
      <c r="J23" s="372" t="s">
        <v>850</v>
      </c>
      <c r="K23" s="372" t="s">
        <v>850</v>
      </c>
      <c r="L23" s="372" t="s">
        <v>850</v>
      </c>
      <c r="M23" s="372" t="s">
        <v>850</v>
      </c>
      <c r="N23" s="372" t="s">
        <v>850</v>
      </c>
      <c r="O23" s="372" t="s">
        <v>850</v>
      </c>
      <c r="P23" s="372" t="s">
        <v>850</v>
      </c>
      <c r="Q23" s="372" t="s">
        <v>850</v>
      </c>
      <c r="R23" s="372" t="s">
        <v>850</v>
      </c>
      <c r="S23" s="372" t="s">
        <v>850</v>
      </c>
      <c r="T23" s="372" t="s">
        <v>850</v>
      </c>
      <c r="U23" s="372" t="s">
        <v>850</v>
      </c>
      <c r="V23" s="372" t="s">
        <v>850</v>
      </c>
      <c r="W23" s="372" t="s">
        <v>850</v>
      </c>
      <c r="X23" s="372" t="s">
        <v>850</v>
      </c>
      <c r="Y23" s="372" t="s">
        <v>850</v>
      </c>
      <c r="Z23" s="372" t="s">
        <v>850</v>
      </c>
      <c r="AA23" s="372" t="s">
        <v>850</v>
      </c>
      <c r="AB23" s="372" t="s">
        <v>850</v>
      </c>
      <c r="AC23" s="372" t="s">
        <v>850</v>
      </c>
      <c r="AD23" s="372" t="s">
        <v>850</v>
      </c>
      <c r="AE23" s="372" t="s">
        <v>850</v>
      </c>
      <c r="AF23" s="372" t="s">
        <v>850</v>
      </c>
      <c r="AG23" s="372" t="s">
        <v>850</v>
      </c>
      <c r="AH23" s="372" t="s">
        <v>850</v>
      </c>
      <c r="AI23" s="372" t="s">
        <v>850</v>
      </c>
      <c r="AJ23" s="372" t="s">
        <v>850</v>
      </c>
      <c r="AK23" s="372" t="s">
        <v>850</v>
      </c>
      <c r="AL23" s="372" t="s">
        <v>850</v>
      </c>
      <c r="AM23" s="372" t="s">
        <v>850</v>
      </c>
      <c r="AN23" s="372" t="s">
        <v>850</v>
      </c>
      <c r="AO23" s="372" t="s">
        <v>850</v>
      </c>
      <c r="AP23" s="372" t="s">
        <v>850</v>
      </c>
      <c r="AQ23" s="372" t="s">
        <v>850</v>
      </c>
      <c r="AR23" s="372" t="s">
        <v>850</v>
      </c>
      <c r="AS23" s="372" t="s">
        <v>850</v>
      </c>
      <c r="AT23" s="372" t="s">
        <v>850</v>
      </c>
      <c r="AU23" s="372" t="s">
        <v>850</v>
      </c>
      <c r="AV23" s="372" t="s">
        <v>850</v>
      </c>
      <c r="AW23" s="372" t="s">
        <v>850</v>
      </c>
      <c r="AX23" s="372" t="s">
        <v>850</v>
      </c>
      <c r="AY23" s="372" t="s">
        <v>850</v>
      </c>
      <c r="AZ23" s="372" t="s">
        <v>850</v>
      </c>
      <c r="BA23" s="372" t="s">
        <v>850</v>
      </c>
      <c r="BB23" s="372" t="s">
        <v>850</v>
      </c>
      <c r="BC23" s="372" t="s">
        <v>850</v>
      </c>
      <c r="BD23" s="372" t="s">
        <v>850</v>
      </c>
      <c r="BE23" s="372" t="s">
        <v>850</v>
      </c>
      <c r="BF23" s="372" t="s">
        <v>850</v>
      </c>
      <c r="BG23" s="372" t="s">
        <v>850</v>
      </c>
      <c r="BH23" s="372" t="s">
        <v>850</v>
      </c>
      <c r="BI23" s="372" t="s">
        <v>850</v>
      </c>
      <c r="BJ23" s="372" t="s">
        <v>850</v>
      </c>
      <c r="BK23" s="372" t="s">
        <v>850</v>
      </c>
      <c r="BL23" s="372" t="s">
        <v>850</v>
      </c>
      <c r="BM23" s="372" t="s">
        <v>850</v>
      </c>
      <c r="BN23" s="372" t="s">
        <v>850</v>
      </c>
      <c r="BO23" s="372" t="s">
        <v>850</v>
      </c>
      <c r="BP23" s="372" t="s">
        <v>850</v>
      </c>
      <c r="BQ23" s="372" t="s">
        <v>850</v>
      </c>
      <c r="BR23" s="372" t="s">
        <v>850</v>
      </c>
      <c r="BS23" s="372" t="s">
        <v>850</v>
      </c>
      <c r="BT23" s="372" t="s">
        <v>850</v>
      </c>
      <c r="BU23" s="372" t="s">
        <v>850</v>
      </c>
      <c r="BV23" s="372" t="s">
        <v>850</v>
      </c>
      <c r="BW23" s="372" t="s">
        <v>850</v>
      </c>
      <c r="BX23" s="372" t="s">
        <v>850</v>
      </c>
      <c r="CA23" s="372" t="s">
        <v>850</v>
      </c>
      <c r="CB23" s="372" t="s">
        <v>850</v>
      </c>
      <c r="CD23" s="372" t="s">
        <v>850</v>
      </c>
      <c r="CE23" s="372" t="s">
        <v>850</v>
      </c>
      <c r="CG23" s="372" t="s">
        <v>850</v>
      </c>
      <c r="CH23" s="372" t="s">
        <v>850</v>
      </c>
      <c r="CI23" s="372" t="s">
        <v>850</v>
      </c>
      <c r="CJ23" s="372" t="s">
        <v>850</v>
      </c>
      <c r="CK23" s="372" t="s">
        <v>850</v>
      </c>
      <c r="CL23" s="372" t="s">
        <v>850</v>
      </c>
      <c r="CM23" s="372" t="s">
        <v>850</v>
      </c>
      <c r="CN23" s="372" t="s">
        <v>850</v>
      </c>
      <c r="CO23" s="372" t="s">
        <v>850</v>
      </c>
      <c r="CP23" s="372" t="s">
        <v>850</v>
      </c>
      <c r="CR23" s="372" t="s">
        <v>850</v>
      </c>
      <c r="CS23" s="372" t="s">
        <v>850</v>
      </c>
      <c r="CT23" s="372" t="s">
        <v>850</v>
      </c>
      <c r="CU23" s="372" t="s">
        <v>850</v>
      </c>
      <c r="CV23" s="372" t="s">
        <v>850</v>
      </c>
      <c r="CW23" s="372" t="s">
        <v>850</v>
      </c>
      <c r="CY23" s="372" t="s">
        <v>850</v>
      </c>
      <c r="CZ23" s="372" t="s">
        <v>850</v>
      </c>
      <c r="DA23" s="372" t="s">
        <v>850</v>
      </c>
      <c r="DB23" s="372" t="s">
        <v>850</v>
      </c>
      <c r="DC23" s="372" t="s">
        <v>850</v>
      </c>
      <c r="DD23" s="372" t="s">
        <v>850</v>
      </c>
      <c r="DE23" s="372" t="s">
        <v>850</v>
      </c>
      <c r="DF23" s="372" t="s">
        <v>850</v>
      </c>
      <c r="DG23" s="372" t="s">
        <v>850</v>
      </c>
      <c r="DH23" s="372" t="s">
        <v>850</v>
      </c>
      <c r="DI23" s="372" t="s">
        <v>850</v>
      </c>
      <c r="DJ23" s="372" t="s">
        <v>850</v>
      </c>
      <c r="DK23" s="372" t="s">
        <v>850</v>
      </c>
      <c r="DL23" s="372" t="s">
        <v>850</v>
      </c>
      <c r="DM23" s="372" t="s">
        <v>850</v>
      </c>
      <c r="DN23" s="372" t="s">
        <v>850</v>
      </c>
      <c r="DO23" s="372" t="s">
        <v>850</v>
      </c>
      <c r="DP23" s="372" t="s">
        <v>850</v>
      </c>
      <c r="DQ23" s="372" t="s">
        <v>850</v>
      </c>
      <c r="DR23" s="416">
        <f>100-100+100</f>
        <v>100</v>
      </c>
      <c r="DS23" s="372" t="s">
        <v>850</v>
      </c>
      <c r="DT23" s="372" t="s">
        <v>850</v>
      </c>
      <c r="DU23" s="372" t="s">
        <v>850</v>
      </c>
      <c r="DV23" s="372" t="s">
        <v>850</v>
      </c>
      <c r="DW23" s="372" t="s">
        <v>850</v>
      </c>
      <c r="DX23" s="372" t="s">
        <v>850</v>
      </c>
      <c r="DY23" s="372" t="s">
        <v>850</v>
      </c>
      <c r="DZ23" s="372" t="s">
        <v>850</v>
      </c>
      <c r="EA23" s="372" t="s">
        <v>850</v>
      </c>
      <c r="EB23" s="372" t="s">
        <v>850</v>
      </c>
      <c r="EC23" s="373">
        <f>50-50</f>
        <v>0</v>
      </c>
      <c r="ED23" s="372" t="s">
        <v>850</v>
      </c>
      <c r="EE23" s="372" t="s">
        <v>850</v>
      </c>
      <c r="EF23" s="372" t="s">
        <v>850</v>
      </c>
      <c r="EG23" s="373">
        <f>150-150</f>
        <v>0</v>
      </c>
      <c r="EH23" s="373">
        <f>100-100</f>
        <v>0</v>
      </c>
      <c r="EI23" s="372" t="s">
        <v>850</v>
      </c>
      <c r="EJ23" s="372" t="s">
        <v>850</v>
      </c>
      <c r="EK23" s="372" t="s">
        <v>850</v>
      </c>
      <c r="EL23" s="373">
        <f>20-20</f>
        <v>0</v>
      </c>
      <c r="EM23" s="373">
        <f>20-20</f>
        <v>0</v>
      </c>
      <c r="EN23" s="372" t="s">
        <v>850</v>
      </c>
      <c r="EO23" s="373">
        <f>50-50</f>
        <v>0</v>
      </c>
      <c r="EP23" s="372" t="s">
        <v>850</v>
      </c>
      <c r="EQ23" s="372" t="s">
        <v>850</v>
      </c>
      <c r="ER23" s="372" t="s">
        <v>850</v>
      </c>
      <c r="ES23" s="372" t="s">
        <v>850</v>
      </c>
      <c r="ET23" s="372" t="s">
        <v>850</v>
      </c>
      <c r="EU23" s="372" t="s">
        <v>850</v>
      </c>
      <c r="EV23" s="372" t="s">
        <v>850</v>
      </c>
      <c r="EW23" s="373">
        <f>150-150</f>
        <v>0</v>
      </c>
      <c r="EX23" s="372" t="s">
        <v>850</v>
      </c>
      <c r="EY23" s="372" t="s">
        <v>850</v>
      </c>
      <c r="EZ23" s="372" t="s">
        <v>850</v>
      </c>
      <c r="FA23" s="372" t="s">
        <v>850</v>
      </c>
      <c r="FB23" s="372" t="s">
        <v>850</v>
      </c>
      <c r="FC23" s="372" t="s">
        <v>850</v>
      </c>
      <c r="FD23" s="372" t="s">
        <v>850</v>
      </c>
      <c r="FE23" s="372" t="s">
        <v>850</v>
      </c>
      <c r="FF23" s="372" t="s">
        <v>850</v>
      </c>
      <c r="FG23" s="372" t="s">
        <v>850</v>
      </c>
      <c r="FH23" s="372" t="s">
        <v>850</v>
      </c>
      <c r="FI23" s="372" t="s">
        <v>850</v>
      </c>
      <c r="FJ23" s="372" t="s">
        <v>850</v>
      </c>
      <c r="FK23" s="372" t="s">
        <v>850</v>
      </c>
      <c r="FL23" s="372" t="s">
        <v>850</v>
      </c>
      <c r="FM23" s="372" t="s">
        <v>850</v>
      </c>
      <c r="FN23" s="372" t="s">
        <v>850</v>
      </c>
      <c r="FO23" s="372" t="s">
        <v>850</v>
      </c>
      <c r="FP23" s="372" t="s">
        <v>850</v>
      </c>
      <c r="FQ23" s="375" t="s">
        <v>850</v>
      </c>
      <c r="FR23" s="376" t="s">
        <v>1049</v>
      </c>
      <c r="FS23" s="377" t="s">
        <v>522</v>
      </c>
      <c r="FT23" s="377" t="s">
        <v>850</v>
      </c>
      <c r="FU23" s="377" t="s">
        <v>542</v>
      </c>
      <c r="FV23" s="144">
        <f t="shared" si="0"/>
        <v>100</v>
      </c>
      <c r="FW23" s="371" t="s">
        <v>888</v>
      </c>
    </row>
    <row r="24" spans="1:179" s="371" customFormat="1" hidden="1">
      <c r="A24" s="368" t="s">
        <v>897</v>
      </c>
      <c r="B24" s="369" t="s">
        <v>517</v>
      </c>
      <c r="C24" s="369" t="s">
        <v>527</v>
      </c>
      <c r="D24" s="369" t="s">
        <v>3</v>
      </c>
      <c r="E24" s="370" t="s">
        <v>541</v>
      </c>
      <c r="F24" s="369" t="s">
        <v>520</v>
      </c>
      <c r="G24" s="369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  <c r="AB24" s="372"/>
      <c r="AC24" s="372"/>
      <c r="AD24" s="372"/>
      <c r="AE24" s="372"/>
      <c r="AF24" s="372"/>
      <c r="AG24" s="372"/>
      <c r="AH24" s="372"/>
      <c r="AI24" s="372"/>
      <c r="AJ24" s="372"/>
      <c r="AK24" s="372"/>
      <c r="AL24" s="372"/>
      <c r="AM24" s="372"/>
      <c r="AN24" s="372"/>
      <c r="AO24" s="372"/>
      <c r="AP24" s="372"/>
      <c r="AQ24" s="372"/>
      <c r="AR24" s="372"/>
      <c r="AS24" s="372"/>
      <c r="AT24" s="372"/>
      <c r="AU24" s="372"/>
      <c r="AV24" s="372"/>
      <c r="AW24" s="372"/>
      <c r="AX24" s="372"/>
      <c r="AY24" s="372"/>
      <c r="AZ24" s="372"/>
      <c r="BA24" s="372"/>
      <c r="BB24" s="372"/>
      <c r="BC24" s="372"/>
      <c r="BD24" s="372"/>
      <c r="BE24" s="372"/>
      <c r="BF24" s="372"/>
      <c r="BG24" s="372"/>
      <c r="BH24" s="372"/>
      <c r="BI24" s="372"/>
      <c r="BJ24" s="372"/>
      <c r="BK24" s="372"/>
      <c r="BL24" s="372"/>
      <c r="BM24" s="372"/>
      <c r="BN24" s="372"/>
      <c r="BO24" s="372"/>
      <c r="BP24" s="372"/>
      <c r="BQ24" s="372"/>
      <c r="BR24" s="372"/>
      <c r="BS24" s="372"/>
      <c r="BT24" s="372"/>
      <c r="BU24" s="372"/>
      <c r="BV24" s="372" t="s">
        <v>850</v>
      </c>
      <c r="BW24" s="372"/>
      <c r="BX24" s="372"/>
      <c r="CA24" s="372"/>
      <c r="CB24" s="372"/>
      <c r="CD24" s="372"/>
      <c r="CE24" s="372"/>
      <c r="CG24" s="372"/>
      <c r="CH24" s="372"/>
      <c r="CI24" s="372"/>
      <c r="CJ24" s="372"/>
      <c r="CK24" s="372"/>
      <c r="CL24" s="372"/>
      <c r="CM24" s="372"/>
      <c r="CN24" s="372"/>
      <c r="CO24" s="372"/>
      <c r="CP24" s="372"/>
      <c r="CR24" s="372"/>
      <c r="CS24" s="372"/>
      <c r="CT24" s="372"/>
      <c r="CU24" s="372"/>
      <c r="CV24" s="372"/>
      <c r="CW24" s="372"/>
      <c r="CY24" s="372"/>
      <c r="CZ24" s="372"/>
      <c r="DA24" s="372"/>
      <c r="DB24" s="372"/>
      <c r="DC24" s="372"/>
      <c r="DD24" s="372"/>
      <c r="DE24" s="372"/>
      <c r="DF24" s="372"/>
      <c r="DG24" s="372"/>
      <c r="DH24" s="372"/>
      <c r="DI24" s="372" t="s">
        <v>850</v>
      </c>
      <c r="DJ24" s="372"/>
      <c r="DK24" s="372" t="s">
        <v>850</v>
      </c>
      <c r="DL24" s="372"/>
      <c r="DM24" s="372"/>
      <c r="DN24" s="372"/>
      <c r="DO24" s="372"/>
      <c r="DP24" s="372"/>
      <c r="DQ24" s="372"/>
      <c r="DR24" s="372"/>
      <c r="DS24" s="372"/>
      <c r="DT24" s="372"/>
      <c r="DU24" s="372"/>
      <c r="DV24" s="372"/>
      <c r="DW24" s="372"/>
      <c r="DX24" s="372"/>
      <c r="DY24" s="372"/>
      <c r="DZ24" s="372"/>
      <c r="EA24" s="372"/>
      <c r="EB24" s="372"/>
      <c r="EC24" s="372"/>
      <c r="ED24" s="372"/>
      <c r="EE24" s="372"/>
      <c r="EF24" s="372"/>
      <c r="EG24" s="372"/>
      <c r="EH24" s="372"/>
      <c r="EI24" s="372"/>
      <c r="EJ24" s="372"/>
      <c r="EK24" s="372"/>
      <c r="EL24" s="372"/>
      <c r="EM24" s="372"/>
      <c r="EN24" s="372"/>
      <c r="EO24" s="372"/>
      <c r="EP24" s="372"/>
      <c r="EQ24" s="372"/>
      <c r="ER24" s="372"/>
      <c r="ES24" s="372"/>
      <c r="ET24" s="372"/>
      <c r="EU24" s="372"/>
      <c r="EV24" s="372"/>
      <c r="EW24" s="372"/>
      <c r="EX24" s="372"/>
      <c r="EY24" s="372"/>
      <c r="EZ24" s="372"/>
      <c r="FA24" s="372"/>
      <c r="FB24" s="372"/>
      <c r="FC24" s="372"/>
      <c r="FD24" s="372"/>
      <c r="FE24" s="372"/>
      <c r="FF24" s="372"/>
      <c r="FG24" s="372"/>
      <c r="FH24" s="372"/>
      <c r="FI24" s="372"/>
      <c r="FJ24" s="372"/>
      <c r="FK24" s="372"/>
      <c r="FL24" s="372"/>
      <c r="FM24" s="372"/>
      <c r="FN24" s="372"/>
      <c r="FO24" s="372"/>
      <c r="FP24" s="372"/>
      <c r="FQ24" s="375" t="s">
        <v>850</v>
      </c>
      <c r="FR24" s="376" t="s">
        <v>1049</v>
      </c>
      <c r="FS24" s="377" t="s">
        <v>522</v>
      </c>
      <c r="FT24" s="377" t="s">
        <v>850</v>
      </c>
      <c r="FU24" s="377" t="s">
        <v>542</v>
      </c>
      <c r="FV24" s="144">
        <f t="shared" si="0"/>
        <v>0</v>
      </c>
      <c r="FW24" s="371" t="s">
        <v>888</v>
      </c>
    </row>
    <row r="25" spans="1:179" s="371" customFormat="1" hidden="1">
      <c r="A25" s="368" t="s">
        <v>526</v>
      </c>
      <c r="B25" s="369" t="s">
        <v>517</v>
      </c>
      <c r="C25" s="369" t="s">
        <v>544</v>
      </c>
      <c r="D25" s="369" t="s">
        <v>8</v>
      </c>
      <c r="E25" s="370" t="s">
        <v>545</v>
      </c>
      <c r="F25" s="369" t="s">
        <v>520</v>
      </c>
      <c r="G25" s="369" t="s">
        <v>1055</v>
      </c>
      <c r="BV25" s="372" t="s">
        <v>850</v>
      </c>
      <c r="DI25" s="372" t="s">
        <v>850</v>
      </c>
      <c r="DK25" s="372" t="s">
        <v>850</v>
      </c>
      <c r="EZ25" s="418">
        <f>100</f>
        <v>100</v>
      </c>
      <c r="FQ25" s="375" t="s">
        <v>850</v>
      </c>
      <c r="FR25" s="376" t="s">
        <v>1049</v>
      </c>
      <c r="FS25" s="377" t="s">
        <v>522</v>
      </c>
      <c r="FT25" s="377" t="s">
        <v>850</v>
      </c>
      <c r="FU25" s="377" t="s">
        <v>546</v>
      </c>
      <c r="FV25" s="144">
        <f t="shared" si="0"/>
        <v>100</v>
      </c>
      <c r="FW25" s="371" t="s">
        <v>902</v>
      </c>
    </row>
    <row r="26" spans="1:179" s="371" customFormat="1" hidden="1">
      <c r="A26" s="368" t="s">
        <v>526</v>
      </c>
      <c r="B26" s="369" t="s">
        <v>517</v>
      </c>
      <c r="C26" s="369" t="s">
        <v>544</v>
      </c>
      <c r="D26" s="369" t="s">
        <v>4</v>
      </c>
      <c r="E26" s="370" t="s">
        <v>545</v>
      </c>
      <c r="F26" s="369" t="s">
        <v>520</v>
      </c>
      <c r="G26" s="369" t="s">
        <v>1055</v>
      </c>
      <c r="H26" s="372" t="s">
        <v>850</v>
      </c>
      <c r="I26" s="372" t="s">
        <v>850</v>
      </c>
      <c r="J26" s="372" t="s">
        <v>850</v>
      </c>
      <c r="K26" s="372" t="s">
        <v>850</v>
      </c>
      <c r="L26" s="372" t="s">
        <v>850</v>
      </c>
      <c r="M26" s="372" t="s">
        <v>850</v>
      </c>
      <c r="N26" s="372" t="s">
        <v>850</v>
      </c>
      <c r="O26" s="372" t="s">
        <v>850</v>
      </c>
      <c r="P26" s="372" t="s">
        <v>850</v>
      </c>
      <c r="Q26" s="372" t="s">
        <v>850</v>
      </c>
      <c r="R26" s="372" t="s">
        <v>850</v>
      </c>
      <c r="S26" s="372" t="s">
        <v>850</v>
      </c>
      <c r="T26" s="372" t="s">
        <v>850</v>
      </c>
      <c r="U26" s="372" t="s">
        <v>850</v>
      </c>
      <c r="V26" s="372" t="s">
        <v>850</v>
      </c>
      <c r="W26" s="372" t="s">
        <v>850</v>
      </c>
      <c r="X26" s="372" t="s">
        <v>850</v>
      </c>
      <c r="Y26" s="372" t="s">
        <v>850</v>
      </c>
      <c r="Z26" s="372" t="s">
        <v>850</v>
      </c>
      <c r="AA26" s="372" t="s">
        <v>850</v>
      </c>
      <c r="AB26" s="372" t="s">
        <v>850</v>
      </c>
      <c r="AC26" s="372" t="s">
        <v>850</v>
      </c>
      <c r="AD26" s="372" t="s">
        <v>850</v>
      </c>
      <c r="AE26" s="372" t="s">
        <v>850</v>
      </c>
      <c r="AF26" s="372" t="s">
        <v>850</v>
      </c>
      <c r="AG26" s="372" t="s">
        <v>850</v>
      </c>
      <c r="AH26" s="372" t="s">
        <v>850</v>
      </c>
      <c r="AI26" s="372" t="s">
        <v>850</v>
      </c>
      <c r="AJ26" s="372" t="s">
        <v>850</v>
      </c>
      <c r="AK26" s="372" t="s">
        <v>850</v>
      </c>
      <c r="AL26" s="372" t="s">
        <v>850</v>
      </c>
      <c r="AM26" s="372" t="s">
        <v>850</v>
      </c>
      <c r="AN26" s="372" t="s">
        <v>850</v>
      </c>
      <c r="AO26" s="372" t="s">
        <v>850</v>
      </c>
      <c r="AP26" s="372" t="s">
        <v>850</v>
      </c>
      <c r="AQ26" s="372" t="s">
        <v>850</v>
      </c>
      <c r="AR26" s="372" t="s">
        <v>850</v>
      </c>
      <c r="AS26" s="372" t="s">
        <v>850</v>
      </c>
      <c r="AT26" s="372" t="s">
        <v>850</v>
      </c>
      <c r="AU26" s="372" t="s">
        <v>850</v>
      </c>
      <c r="AV26" s="372" t="s">
        <v>850</v>
      </c>
      <c r="AW26" s="372" t="s">
        <v>850</v>
      </c>
      <c r="AX26" s="372" t="s">
        <v>850</v>
      </c>
      <c r="AY26" s="372" t="s">
        <v>850</v>
      </c>
      <c r="AZ26" s="372" t="s">
        <v>850</v>
      </c>
      <c r="BA26" s="372" t="s">
        <v>850</v>
      </c>
      <c r="BB26" s="372" t="s">
        <v>850</v>
      </c>
      <c r="BC26" s="372" t="s">
        <v>850</v>
      </c>
      <c r="BD26" s="372" t="s">
        <v>850</v>
      </c>
      <c r="BE26" s="372" t="s">
        <v>850</v>
      </c>
      <c r="BF26" s="372" t="s">
        <v>850</v>
      </c>
      <c r="BG26" s="372" t="s">
        <v>850</v>
      </c>
      <c r="BH26" s="372" t="s">
        <v>850</v>
      </c>
      <c r="BI26" s="372" t="s">
        <v>850</v>
      </c>
      <c r="BJ26" s="372" t="s">
        <v>850</v>
      </c>
      <c r="BK26" s="372" t="s">
        <v>850</v>
      </c>
      <c r="BL26" s="372" t="s">
        <v>850</v>
      </c>
      <c r="BM26" s="372" t="s">
        <v>850</v>
      </c>
      <c r="BN26" s="372" t="s">
        <v>850</v>
      </c>
      <c r="BO26" s="372" t="s">
        <v>850</v>
      </c>
      <c r="BP26" s="372" t="s">
        <v>850</v>
      </c>
      <c r="BQ26" s="372" t="s">
        <v>850</v>
      </c>
      <c r="BR26" s="372" t="s">
        <v>850</v>
      </c>
      <c r="BS26" s="372" t="s">
        <v>850</v>
      </c>
      <c r="BT26" s="372" t="s">
        <v>850</v>
      </c>
      <c r="BU26" s="372" t="s">
        <v>850</v>
      </c>
      <c r="BV26" s="372" t="s">
        <v>850</v>
      </c>
      <c r="BW26" s="372" t="s">
        <v>850</v>
      </c>
      <c r="BX26" s="372" t="s">
        <v>850</v>
      </c>
      <c r="CA26" s="372" t="s">
        <v>850</v>
      </c>
      <c r="CB26" s="372" t="s">
        <v>850</v>
      </c>
      <c r="CD26" s="372" t="s">
        <v>850</v>
      </c>
      <c r="CE26" s="372" t="s">
        <v>850</v>
      </c>
      <c r="CG26" s="372" t="s">
        <v>850</v>
      </c>
      <c r="CH26" s="372" t="s">
        <v>850</v>
      </c>
      <c r="CI26" s="372" t="s">
        <v>850</v>
      </c>
      <c r="CJ26" s="372" t="s">
        <v>850</v>
      </c>
      <c r="CK26" s="372" t="s">
        <v>850</v>
      </c>
      <c r="CL26" s="372" t="s">
        <v>850</v>
      </c>
      <c r="CM26" s="372" t="s">
        <v>850</v>
      </c>
      <c r="CN26" s="372" t="s">
        <v>850</v>
      </c>
      <c r="CO26" s="372" t="s">
        <v>850</v>
      </c>
      <c r="CP26" s="372" t="s">
        <v>850</v>
      </c>
      <c r="CR26" s="372" t="s">
        <v>850</v>
      </c>
      <c r="CS26" s="372" t="s">
        <v>850</v>
      </c>
      <c r="CT26" s="372" t="s">
        <v>850</v>
      </c>
      <c r="CU26" s="372" t="s">
        <v>850</v>
      </c>
      <c r="CV26" s="372" t="s">
        <v>850</v>
      </c>
      <c r="CW26" s="372" t="s">
        <v>850</v>
      </c>
      <c r="CY26" s="372" t="s">
        <v>850</v>
      </c>
      <c r="CZ26" s="372" t="s">
        <v>850</v>
      </c>
      <c r="DA26" s="372" t="s">
        <v>850</v>
      </c>
      <c r="DB26" s="372" t="s">
        <v>850</v>
      </c>
      <c r="DC26" s="372" t="s">
        <v>850</v>
      </c>
      <c r="DD26" s="372" t="s">
        <v>850</v>
      </c>
      <c r="DE26" s="372" t="s">
        <v>850</v>
      </c>
      <c r="DF26" s="372" t="s">
        <v>850</v>
      </c>
      <c r="DG26" s="372" t="s">
        <v>850</v>
      </c>
      <c r="DH26" s="372" t="s">
        <v>850</v>
      </c>
      <c r="DI26" s="372" t="s">
        <v>850</v>
      </c>
      <c r="DJ26" s="372" t="s">
        <v>850</v>
      </c>
      <c r="DK26" s="372" t="s">
        <v>850</v>
      </c>
      <c r="DL26" s="372" t="s">
        <v>850</v>
      </c>
      <c r="DM26" s="372" t="s">
        <v>850</v>
      </c>
      <c r="DN26" s="372" t="s">
        <v>850</v>
      </c>
      <c r="DO26" s="372" t="s">
        <v>850</v>
      </c>
      <c r="DP26" s="373">
        <f>2000-2000</f>
        <v>0</v>
      </c>
      <c r="DQ26" s="372" t="s">
        <v>850</v>
      </c>
      <c r="DR26" s="416">
        <f>300</f>
        <v>300</v>
      </c>
      <c r="DS26" s="372" t="s">
        <v>850</v>
      </c>
      <c r="DT26" s="372" t="s">
        <v>850</v>
      </c>
      <c r="DU26" s="372" t="s">
        <v>850</v>
      </c>
      <c r="DV26" s="372" t="s">
        <v>850</v>
      </c>
      <c r="DW26" s="416">
        <f>2000-2000+100</f>
        <v>100</v>
      </c>
      <c r="DX26" s="372" t="s">
        <v>850</v>
      </c>
      <c r="DY26" s="372" t="s">
        <v>850</v>
      </c>
      <c r="DZ26" s="372" t="s">
        <v>850</v>
      </c>
      <c r="EA26" s="416">
        <f>500-500+100</f>
        <v>100</v>
      </c>
      <c r="EB26" s="372" t="s">
        <v>850</v>
      </c>
      <c r="EC26" s="372" t="s">
        <v>850</v>
      </c>
      <c r="ED26" s="372" t="s">
        <v>850</v>
      </c>
      <c r="EE26" s="372" t="s">
        <v>850</v>
      </c>
      <c r="EF26" s="372" t="s">
        <v>850</v>
      </c>
      <c r="EG26" s="372" t="s">
        <v>850</v>
      </c>
      <c r="EH26" s="373">
        <f>1500-1500</f>
        <v>0</v>
      </c>
      <c r="EI26" s="372" t="s">
        <v>850</v>
      </c>
      <c r="EJ26" s="372" t="s">
        <v>850</v>
      </c>
      <c r="EK26" s="372" t="s">
        <v>850</v>
      </c>
      <c r="EL26" s="372" t="s">
        <v>850</v>
      </c>
      <c r="EM26" s="372" t="s">
        <v>850</v>
      </c>
      <c r="EN26" s="372" t="s">
        <v>850</v>
      </c>
      <c r="EO26" s="372" t="s">
        <v>850</v>
      </c>
      <c r="EP26" s="372" t="s">
        <v>850</v>
      </c>
      <c r="EQ26" s="372" t="s">
        <v>850</v>
      </c>
      <c r="ER26" s="372" t="s">
        <v>850</v>
      </c>
      <c r="ES26" s="372" t="s">
        <v>850</v>
      </c>
      <c r="ET26" s="372" t="s">
        <v>850</v>
      </c>
      <c r="EU26" s="373">
        <f>1000-1000</f>
        <v>0</v>
      </c>
      <c r="EV26" s="416">
        <f>500-500+100</f>
        <v>100</v>
      </c>
      <c r="EW26" s="373">
        <f>500-500</f>
        <v>0</v>
      </c>
      <c r="EX26" s="372" t="s">
        <v>850</v>
      </c>
      <c r="EY26" s="372" t="s">
        <v>850</v>
      </c>
      <c r="EZ26" s="373">
        <f>200-200</f>
        <v>0</v>
      </c>
      <c r="FA26" s="372" t="s">
        <v>850</v>
      </c>
      <c r="FB26" s="372" t="s">
        <v>850</v>
      </c>
      <c r="FC26" s="372" t="s">
        <v>850</v>
      </c>
      <c r="FD26" s="372" t="s">
        <v>850</v>
      </c>
      <c r="FE26" s="372" t="s">
        <v>850</v>
      </c>
      <c r="FF26" s="372" t="s">
        <v>850</v>
      </c>
      <c r="FG26" s="372" t="s">
        <v>850</v>
      </c>
      <c r="FH26" s="372" t="s">
        <v>850</v>
      </c>
      <c r="FI26" s="372" t="s">
        <v>850</v>
      </c>
      <c r="FJ26" s="372" t="s">
        <v>850</v>
      </c>
      <c r="FK26" s="372" t="s">
        <v>850</v>
      </c>
      <c r="FL26" s="372" t="s">
        <v>850</v>
      </c>
      <c r="FM26" s="372" t="s">
        <v>850</v>
      </c>
      <c r="FN26" s="372" t="s">
        <v>850</v>
      </c>
      <c r="FO26" s="372" t="s">
        <v>850</v>
      </c>
      <c r="FP26" s="372" t="s">
        <v>850</v>
      </c>
      <c r="FQ26" s="375" t="s">
        <v>850</v>
      </c>
      <c r="FR26" s="376" t="s">
        <v>1049</v>
      </c>
      <c r="FS26" s="377" t="s">
        <v>522</v>
      </c>
      <c r="FT26" s="377" t="s">
        <v>850</v>
      </c>
      <c r="FU26" s="377" t="s">
        <v>546</v>
      </c>
      <c r="FV26" s="144">
        <f t="shared" si="0"/>
        <v>600</v>
      </c>
      <c r="FW26" s="371" t="s">
        <v>902</v>
      </c>
    </row>
    <row r="27" spans="1:179" s="371" customFormat="1" hidden="1">
      <c r="A27" s="368" t="s">
        <v>526</v>
      </c>
      <c r="B27" s="369" t="s">
        <v>517</v>
      </c>
      <c r="C27" s="369" t="s">
        <v>544</v>
      </c>
      <c r="D27" s="369" t="s">
        <v>3</v>
      </c>
      <c r="E27" s="370" t="s">
        <v>545</v>
      </c>
      <c r="F27" s="369" t="s">
        <v>520</v>
      </c>
      <c r="G27" s="369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  <c r="AB27" s="372"/>
      <c r="AC27" s="372"/>
      <c r="AD27" s="372"/>
      <c r="AE27" s="372"/>
      <c r="AF27" s="372"/>
      <c r="AG27" s="372"/>
      <c r="AH27" s="372"/>
      <c r="AI27" s="372"/>
      <c r="AJ27" s="372"/>
      <c r="AK27" s="372"/>
      <c r="AL27" s="372"/>
      <c r="AM27" s="372"/>
      <c r="AN27" s="372"/>
      <c r="AO27" s="372"/>
      <c r="AP27" s="372"/>
      <c r="AQ27" s="372"/>
      <c r="AR27" s="372"/>
      <c r="AS27" s="372"/>
      <c r="AT27" s="372"/>
      <c r="AU27" s="372"/>
      <c r="AV27" s="372"/>
      <c r="AW27" s="372"/>
      <c r="AX27" s="372"/>
      <c r="AY27" s="372"/>
      <c r="AZ27" s="372"/>
      <c r="BA27" s="372"/>
      <c r="BB27" s="372"/>
      <c r="BC27" s="372"/>
      <c r="BD27" s="372"/>
      <c r="BE27" s="372"/>
      <c r="BF27" s="372"/>
      <c r="BG27" s="372"/>
      <c r="BH27" s="372"/>
      <c r="BI27" s="372"/>
      <c r="BJ27" s="372"/>
      <c r="BK27" s="372"/>
      <c r="BL27" s="372"/>
      <c r="BM27" s="372"/>
      <c r="BN27" s="372"/>
      <c r="BO27" s="372"/>
      <c r="BP27" s="372"/>
      <c r="BQ27" s="372"/>
      <c r="BR27" s="372"/>
      <c r="BS27" s="372"/>
      <c r="BT27" s="372" t="s">
        <v>850</v>
      </c>
      <c r="BU27" s="372"/>
      <c r="BV27" s="372" t="s">
        <v>850</v>
      </c>
      <c r="BW27" s="372"/>
      <c r="BX27" s="372"/>
      <c r="CA27" s="372"/>
      <c r="CB27" s="372"/>
      <c r="CD27" s="372"/>
      <c r="CE27" s="372"/>
      <c r="CG27" s="372"/>
      <c r="CH27" s="372"/>
      <c r="CI27" s="372"/>
      <c r="CJ27" s="372"/>
      <c r="CK27" s="372"/>
      <c r="CL27" s="372"/>
      <c r="CM27" s="372"/>
      <c r="CN27" s="372"/>
      <c r="CO27" s="372"/>
      <c r="CP27" s="372"/>
      <c r="CR27" s="372"/>
      <c r="CS27" s="372"/>
      <c r="CT27" s="372"/>
      <c r="CU27" s="372"/>
      <c r="CV27" s="372"/>
      <c r="CW27" s="372"/>
      <c r="CY27" s="372"/>
      <c r="CZ27" s="372"/>
      <c r="DA27" s="372"/>
      <c r="DB27" s="372"/>
      <c r="DC27" s="372"/>
      <c r="DD27" s="372"/>
      <c r="DE27" s="372"/>
      <c r="DF27" s="372"/>
      <c r="DG27" s="372"/>
      <c r="DH27" s="372"/>
      <c r="DI27" s="372" t="s">
        <v>850</v>
      </c>
      <c r="DJ27" s="372"/>
      <c r="DK27" s="372" t="s">
        <v>850</v>
      </c>
      <c r="DL27" s="372"/>
      <c r="DM27" s="372"/>
      <c r="DN27" s="372"/>
      <c r="DO27" s="372"/>
      <c r="DP27" s="372"/>
      <c r="DQ27" s="372"/>
      <c r="DR27" s="372"/>
      <c r="DS27" s="372"/>
      <c r="DT27" s="372"/>
      <c r="DU27" s="372"/>
      <c r="DV27" s="372"/>
      <c r="DW27" s="372"/>
      <c r="DX27" s="372"/>
      <c r="DY27" s="372"/>
      <c r="DZ27" s="372"/>
      <c r="EA27" s="372"/>
      <c r="EB27" s="372"/>
      <c r="EC27" s="372"/>
      <c r="ED27" s="372"/>
      <c r="EE27" s="372"/>
      <c r="EF27" s="372"/>
      <c r="EG27" s="372"/>
      <c r="EH27" s="372"/>
      <c r="EI27" s="372"/>
      <c r="EJ27" s="372"/>
      <c r="EK27" s="372"/>
      <c r="EL27" s="372"/>
      <c r="EM27" s="372"/>
      <c r="EN27" s="372"/>
      <c r="EO27" s="372"/>
      <c r="EP27" s="372"/>
      <c r="EQ27" s="372"/>
      <c r="ER27" s="372"/>
      <c r="ES27" s="372"/>
      <c r="ET27" s="372"/>
      <c r="EU27" s="372"/>
      <c r="EV27" s="372"/>
      <c r="EW27" s="372"/>
      <c r="EX27" s="372"/>
      <c r="EY27" s="372"/>
      <c r="EZ27" s="372"/>
      <c r="FA27" s="372"/>
      <c r="FB27" s="372"/>
      <c r="FC27" s="372"/>
      <c r="FD27" s="372"/>
      <c r="FE27" s="372"/>
      <c r="FF27" s="372"/>
      <c r="FG27" s="372"/>
      <c r="FH27" s="372"/>
      <c r="FI27" s="372"/>
      <c r="FJ27" s="372"/>
      <c r="FK27" s="372"/>
      <c r="FL27" s="372"/>
      <c r="FM27" s="372"/>
      <c r="FN27" s="372"/>
      <c r="FO27" s="372"/>
      <c r="FP27" s="372"/>
      <c r="FQ27" s="375" t="s">
        <v>850</v>
      </c>
      <c r="FR27" s="376" t="s">
        <v>1049</v>
      </c>
      <c r="FS27" s="377" t="s">
        <v>522</v>
      </c>
      <c r="FT27" s="377" t="s">
        <v>850</v>
      </c>
      <c r="FU27" s="377" t="s">
        <v>546</v>
      </c>
      <c r="FV27" s="144">
        <f t="shared" si="0"/>
        <v>0</v>
      </c>
      <c r="FW27" s="371" t="s">
        <v>902</v>
      </c>
    </row>
    <row r="28" spans="1:179" s="371" customFormat="1" hidden="1">
      <c r="A28" s="368" t="s">
        <v>517</v>
      </c>
      <c r="B28" s="369" t="s">
        <v>517</v>
      </c>
      <c r="C28" s="369" t="s">
        <v>548</v>
      </c>
      <c r="D28" s="369" t="s">
        <v>8</v>
      </c>
      <c r="E28" s="370" t="s">
        <v>549</v>
      </c>
      <c r="F28" s="369" t="s">
        <v>520</v>
      </c>
      <c r="G28" s="369" t="s">
        <v>550</v>
      </c>
      <c r="BT28" s="372" t="s">
        <v>850</v>
      </c>
      <c r="BV28" s="372" t="s">
        <v>850</v>
      </c>
      <c r="DI28" s="372" t="s">
        <v>850</v>
      </c>
      <c r="DK28" s="372" t="s">
        <v>850</v>
      </c>
      <c r="FQ28" s="375" t="s">
        <v>850</v>
      </c>
      <c r="FR28" s="376" t="s">
        <v>1049</v>
      </c>
      <c r="FS28" s="377" t="s">
        <v>522</v>
      </c>
      <c r="FT28" s="377" t="s">
        <v>850</v>
      </c>
      <c r="FU28" s="377" t="s">
        <v>551</v>
      </c>
      <c r="FV28" s="144">
        <f t="shared" si="0"/>
        <v>0</v>
      </c>
      <c r="FW28" s="371" t="s">
        <v>902</v>
      </c>
    </row>
    <row r="29" spans="1:179" s="371" customFormat="1" hidden="1">
      <c r="A29" s="368" t="s">
        <v>517</v>
      </c>
      <c r="B29" s="369" t="s">
        <v>517</v>
      </c>
      <c r="C29" s="369" t="s">
        <v>548</v>
      </c>
      <c r="D29" s="369" t="s">
        <v>4</v>
      </c>
      <c r="E29" s="370" t="s">
        <v>549</v>
      </c>
      <c r="F29" s="369" t="s">
        <v>520</v>
      </c>
      <c r="G29" s="369" t="s">
        <v>550</v>
      </c>
      <c r="H29" s="372" t="s">
        <v>850</v>
      </c>
      <c r="I29" s="372" t="s">
        <v>850</v>
      </c>
      <c r="J29" s="372" t="s">
        <v>850</v>
      </c>
      <c r="K29" s="372" t="s">
        <v>850</v>
      </c>
      <c r="L29" s="372" t="s">
        <v>850</v>
      </c>
      <c r="M29" s="372" t="s">
        <v>850</v>
      </c>
      <c r="N29" s="372" t="s">
        <v>850</v>
      </c>
      <c r="O29" s="372" t="s">
        <v>850</v>
      </c>
      <c r="P29" s="372" t="s">
        <v>850</v>
      </c>
      <c r="Q29" s="372" t="s">
        <v>850</v>
      </c>
      <c r="R29" s="372" t="s">
        <v>850</v>
      </c>
      <c r="S29" s="372" t="s">
        <v>850</v>
      </c>
      <c r="T29" s="372" t="s">
        <v>850</v>
      </c>
      <c r="U29" s="372" t="s">
        <v>850</v>
      </c>
      <c r="V29" s="372" t="s">
        <v>850</v>
      </c>
      <c r="W29" s="372" t="s">
        <v>850</v>
      </c>
      <c r="X29" s="372" t="s">
        <v>850</v>
      </c>
      <c r="Y29" s="372" t="s">
        <v>850</v>
      </c>
      <c r="Z29" s="372" t="s">
        <v>850</v>
      </c>
      <c r="AA29" s="372" t="s">
        <v>850</v>
      </c>
      <c r="AB29" s="372" t="s">
        <v>850</v>
      </c>
      <c r="AC29" s="372" t="s">
        <v>850</v>
      </c>
      <c r="AD29" s="372" t="s">
        <v>850</v>
      </c>
      <c r="AE29" s="372" t="s">
        <v>850</v>
      </c>
      <c r="AF29" s="372" t="s">
        <v>850</v>
      </c>
      <c r="AG29" s="372" t="s">
        <v>850</v>
      </c>
      <c r="AH29" s="372" t="s">
        <v>850</v>
      </c>
      <c r="AI29" s="372" t="s">
        <v>850</v>
      </c>
      <c r="AJ29" s="372" t="s">
        <v>850</v>
      </c>
      <c r="AK29" s="372" t="s">
        <v>850</v>
      </c>
      <c r="AL29" s="372" t="s">
        <v>850</v>
      </c>
      <c r="AM29" s="372" t="s">
        <v>850</v>
      </c>
      <c r="AN29" s="372" t="s">
        <v>850</v>
      </c>
      <c r="AO29" s="372" t="s">
        <v>850</v>
      </c>
      <c r="AP29" s="372" t="s">
        <v>850</v>
      </c>
      <c r="AQ29" s="372" t="s">
        <v>850</v>
      </c>
      <c r="AR29" s="372" t="s">
        <v>850</v>
      </c>
      <c r="AS29" s="373">
        <f>50-50</f>
        <v>0</v>
      </c>
      <c r="AT29" s="372" t="s">
        <v>850</v>
      </c>
      <c r="AU29" s="372" t="s">
        <v>850</v>
      </c>
      <c r="AV29" s="372" t="s">
        <v>850</v>
      </c>
      <c r="AW29" s="372" t="s">
        <v>850</v>
      </c>
      <c r="AX29" s="372" t="s">
        <v>850</v>
      </c>
      <c r="AY29" s="372" t="s">
        <v>850</v>
      </c>
      <c r="AZ29" s="372" t="s">
        <v>850</v>
      </c>
      <c r="BA29" s="372" t="s">
        <v>850</v>
      </c>
      <c r="BB29" s="372" t="s">
        <v>850</v>
      </c>
      <c r="BC29" s="372" t="s">
        <v>850</v>
      </c>
      <c r="BD29" s="372" t="s">
        <v>850</v>
      </c>
      <c r="BE29" s="372" t="s">
        <v>850</v>
      </c>
      <c r="BF29" s="372" t="s">
        <v>850</v>
      </c>
      <c r="BG29" s="372" t="s">
        <v>850</v>
      </c>
      <c r="BH29" s="372" t="s">
        <v>850</v>
      </c>
      <c r="BI29" s="372" t="s">
        <v>850</v>
      </c>
      <c r="BJ29" s="372" t="s">
        <v>850</v>
      </c>
      <c r="BK29" s="372" t="s">
        <v>850</v>
      </c>
      <c r="BL29" s="372" t="s">
        <v>850</v>
      </c>
      <c r="BM29" s="372" t="s">
        <v>850</v>
      </c>
      <c r="BN29" s="372" t="s">
        <v>850</v>
      </c>
      <c r="BO29" s="372" t="s">
        <v>850</v>
      </c>
      <c r="BP29" s="372" t="s">
        <v>850</v>
      </c>
      <c r="BQ29" s="372" t="s">
        <v>850</v>
      </c>
      <c r="BR29" s="372" t="s">
        <v>850</v>
      </c>
      <c r="BS29" s="372" t="s">
        <v>850</v>
      </c>
      <c r="BT29" s="372" t="s">
        <v>850</v>
      </c>
      <c r="BU29" s="372" t="s">
        <v>850</v>
      </c>
      <c r="BV29" s="372" t="s">
        <v>850</v>
      </c>
      <c r="BW29" s="372" t="s">
        <v>850</v>
      </c>
      <c r="BX29" s="372" t="s">
        <v>850</v>
      </c>
      <c r="CA29" s="372" t="s">
        <v>850</v>
      </c>
      <c r="CB29" s="372" t="s">
        <v>850</v>
      </c>
      <c r="CD29" s="372" t="s">
        <v>850</v>
      </c>
      <c r="CE29" s="372" t="s">
        <v>850</v>
      </c>
      <c r="CG29" s="372" t="s">
        <v>850</v>
      </c>
      <c r="CH29" s="372" t="s">
        <v>850</v>
      </c>
      <c r="CI29" s="372" t="s">
        <v>850</v>
      </c>
      <c r="CJ29" s="372" t="s">
        <v>850</v>
      </c>
      <c r="CK29" s="372" t="s">
        <v>850</v>
      </c>
      <c r="CL29" s="372" t="s">
        <v>850</v>
      </c>
      <c r="CM29" s="372" t="s">
        <v>850</v>
      </c>
      <c r="CN29" s="372" t="s">
        <v>850</v>
      </c>
      <c r="CO29" s="372" t="s">
        <v>850</v>
      </c>
      <c r="CP29" s="372" t="s">
        <v>850</v>
      </c>
      <c r="CR29" s="372" t="s">
        <v>850</v>
      </c>
      <c r="CS29" s="372" t="s">
        <v>850</v>
      </c>
      <c r="CT29" s="372" t="s">
        <v>850</v>
      </c>
      <c r="CU29" s="372" t="s">
        <v>850</v>
      </c>
      <c r="CV29" s="372" t="s">
        <v>850</v>
      </c>
      <c r="CW29" s="372" t="s">
        <v>850</v>
      </c>
      <c r="CY29" s="372" t="s">
        <v>850</v>
      </c>
      <c r="CZ29" s="372" t="s">
        <v>850</v>
      </c>
      <c r="DA29" s="372" t="s">
        <v>850</v>
      </c>
      <c r="DB29" s="372" t="s">
        <v>850</v>
      </c>
      <c r="DC29" s="372" t="s">
        <v>850</v>
      </c>
      <c r="DD29" s="372" t="s">
        <v>850</v>
      </c>
      <c r="DE29" s="372" t="s">
        <v>850</v>
      </c>
      <c r="DF29" s="372" t="s">
        <v>850</v>
      </c>
      <c r="DG29" s="372" t="s">
        <v>850</v>
      </c>
      <c r="DH29" s="372" t="s">
        <v>850</v>
      </c>
      <c r="DI29" s="372" t="s">
        <v>850</v>
      </c>
      <c r="DJ29" s="372" t="s">
        <v>850</v>
      </c>
      <c r="DK29" s="372" t="s">
        <v>850</v>
      </c>
      <c r="DL29" s="372" t="s">
        <v>850</v>
      </c>
      <c r="DM29" s="372" t="s">
        <v>850</v>
      </c>
      <c r="DN29" s="372" t="s">
        <v>850</v>
      </c>
      <c r="DO29" s="372" t="s">
        <v>850</v>
      </c>
      <c r="DP29" s="372" t="s">
        <v>850</v>
      </c>
      <c r="DQ29" s="372" t="s">
        <v>850</v>
      </c>
      <c r="DR29" s="372" t="s">
        <v>850</v>
      </c>
      <c r="DS29" s="372" t="s">
        <v>850</v>
      </c>
      <c r="DT29" s="372" t="s">
        <v>850</v>
      </c>
      <c r="DU29" s="372" t="s">
        <v>850</v>
      </c>
      <c r="DV29" s="372" t="s">
        <v>850</v>
      </c>
      <c r="DW29" s="372" t="s">
        <v>850</v>
      </c>
      <c r="DX29" s="372" t="s">
        <v>850</v>
      </c>
      <c r="DY29" s="372" t="s">
        <v>850</v>
      </c>
      <c r="DZ29" s="372" t="s">
        <v>850</v>
      </c>
      <c r="EA29" s="372" t="s">
        <v>850</v>
      </c>
      <c r="EB29" s="372" t="s">
        <v>850</v>
      </c>
      <c r="EC29" s="372" t="s">
        <v>850</v>
      </c>
      <c r="ED29" s="372" t="s">
        <v>850</v>
      </c>
      <c r="EE29" s="372" t="s">
        <v>850</v>
      </c>
      <c r="EF29" s="372" t="s">
        <v>850</v>
      </c>
      <c r="EG29" s="372" t="s">
        <v>850</v>
      </c>
      <c r="EH29" s="372" t="s">
        <v>850</v>
      </c>
      <c r="EI29" s="372" t="s">
        <v>850</v>
      </c>
      <c r="EJ29" s="372" t="s">
        <v>850</v>
      </c>
      <c r="EK29" s="372" t="s">
        <v>850</v>
      </c>
      <c r="EL29" s="372" t="s">
        <v>850</v>
      </c>
      <c r="EM29" s="372" t="s">
        <v>850</v>
      </c>
      <c r="EN29" s="372" t="s">
        <v>850</v>
      </c>
      <c r="EO29" s="372" t="s">
        <v>850</v>
      </c>
      <c r="EP29" s="372" t="s">
        <v>850</v>
      </c>
      <c r="EQ29" s="372" t="s">
        <v>850</v>
      </c>
      <c r="ER29" s="372" t="s">
        <v>850</v>
      </c>
      <c r="ES29" s="372" t="s">
        <v>850</v>
      </c>
      <c r="ET29" s="372" t="s">
        <v>850</v>
      </c>
      <c r="EU29" s="372" t="s">
        <v>850</v>
      </c>
      <c r="EV29" s="372" t="s">
        <v>850</v>
      </c>
      <c r="EW29" s="372" t="s">
        <v>850</v>
      </c>
      <c r="EX29" s="372" t="s">
        <v>850</v>
      </c>
      <c r="EY29" s="372" t="s">
        <v>850</v>
      </c>
      <c r="EZ29" s="372" t="s">
        <v>850</v>
      </c>
      <c r="FA29" s="372" t="s">
        <v>850</v>
      </c>
      <c r="FB29" s="372" t="s">
        <v>850</v>
      </c>
      <c r="FC29" s="372" t="s">
        <v>850</v>
      </c>
      <c r="FD29" s="372" t="s">
        <v>850</v>
      </c>
      <c r="FE29" s="372" t="s">
        <v>850</v>
      </c>
      <c r="FF29" s="372" t="s">
        <v>850</v>
      </c>
      <c r="FG29" s="372" t="s">
        <v>850</v>
      </c>
      <c r="FH29" s="372" t="s">
        <v>850</v>
      </c>
      <c r="FI29" s="372" t="s">
        <v>850</v>
      </c>
      <c r="FJ29" s="372" t="s">
        <v>850</v>
      </c>
      <c r="FK29" s="372" t="s">
        <v>850</v>
      </c>
      <c r="FL29" s="372" t="s">
        <v>850</v>
      </c>
      <c r="FM29" s="372" t="s">
        <v>850</v>
      </c>
      <c r="FN29" s="372" t="s">
        <v>850</v>
      </c>
      <c r="FO29" s="372" t="s">
        <v>850</v>
      </c>
      <c r="FP29" s="372" t="s">
        <v>850</v>
      </c>
      <c r="FQ29" s="375" t="s">
        <v>850</v>
      </c>
      <c r="FR29" s="376" t="s">
        <v>1049</v>
      </c>
      <c r="FS29" s="377" t="s">
        <v>522</v>
      </c>
      <c r="FT29" s="377" t="s">
        <v>850</v>
      </c>
      <c r="FU29" s="377" t="s">
        <v>551</v>
      </c>
      <c r="FV29" s="144">
        <f t="shared" si="0"/>
        <v>0</v>
      </c>
      <c r="FW29" s="371" t="s">
        <v>902</v>
      </c>
    </row>
    <row r="30" spans="1:179" s="371" customFormat="1" hidden="1">
      <c r="A30" s="368" t="s">
        <v>517</v>
      </c>
      <c r="B30" s="369" t="s">
        <v>517</v>
      </c>
      <c r="C30" s="369" t="s">
        <v>548</v>
      </c>
      <c r="D30" s="369" t="s">
        <v>3</v>
      </c>
      <c r="E30" s="370" t="s">
        <v>549</v>
      </c>
      <c r="F30" s="369" t="s">
        <v>520</v>
      </c>
      <c r="G30" s="369" t="s">
        <v>550</v>
      </c>
      <c r="H30" s="372"/>
      <c r="I30" s="372"/>
      <c r="J30" s="372"/>
      <c r="K30" s="372"/>
      <c r="L30" s="372"/>
      <c r="M30" s="372"/>
      <c r="N30" s="372"/>
      <c r="O30" s="372"/>
      <c r="P30" s="372"/>
      <c r="Q30" s="372"/>
      <c r="R30" s="372"/>
      <c r="S30" s="372"/>
      <c r="T30" s="372"/>
      <c r="U30" s="372"/>
      <c r="V30" s="372"/>
      <c r="W30" s="372"/>
      <c r="X30" s="372"/>
      <c r="Y30" s="372"/>
      <c r="Z30" s="372"/>
      <c r="AA30" s="372"/>
      <c r="AB30" s="372"/>
      <c r="AC30" s="372"/>
      <c r="AD30" s="372"/>
      <c r="AE30" s="372"/>
      <c r="AF30" s="372"/>
      <c r="AG30" s="372"/>
      <c r="AH30" s="372"/>
      <c r="AI30" s="372"/>
      <c r="AJ30" s="372"/>
      <c r="AK30" s="372"/>
      <c r="AL30" s="372"/>
      <c r="AM30" s="372"/>
      <c r="AN30" s="372"/>
      <c r="AO30" s="372"/>
      <c r="AP30" s="372"/>
      <c r="AQ30" s="372"/>
      <c r="AR30" s="372"/>
      <c r="AS30" s="372"/>
      <c r="AT30" s="372"/>
      <c r="AU30" s="372"/>
      <c r="AV30" s="372"/>
      <c r="AW30" s="372"/>
      <c r="AX30" s="372"/>
      <c r="AY30" s="372"/>
      <c r="AZ30" s="372"/>
      <c r="BA30" s="372"/>
      <c r="BB30" s="372"/>
      <c r="BC30" s="372"/>
      <c r="BD30" s="372"/>
      <c r="BE30" s="372"/>
      <c r="BF30" s="372"/>
      <c r="BG30" s="372"/>
      <c r="BH30" s="372"/>
      <c r="BI30" s="372"/>
      <c r="BJ30" s="372"/>
      <c r="BK30" s="372"/>
      <c r="BL30" s="372"/>
      <c r="BM30" s="372"/>
      <c r="BN30" s="372"/>
      <c r="BO30" s="372"/>
      <c r="BP30" s="372"/>
      <c r="BQ30" s="372"/>
      <c r="BR30" s="372"/>
      <c r="BS30" s="372"/>
      <c r="BT30" s="372" t="s">
        <v>850</v>
      </c>
      <c r="BU30" s="372"/>
      <c r="BV30" s="372" t="s">
        <v>850</v>
      </c>
      <c r="BW30" s="372"/>
      <c r="BX30" s="372"/>
      <c r="CA30" s="372"/>
      <c r="CB30" s="372"/>
      <c r="CD30" s="372"/>
      <c r="CE30" s="372"/>
      <c r="CG30" s="372"/>
      <c r="CH30" s="372"/>
      <c r="CI30" s="372"/>
      <c r="CJ30" s="372"/>
      <c r="CK30" s="372"/>
      <c r="CL30" s="372"/>
      <c r="CM30" s="372"/>
      <c r="CN30" s="372"/>
      <c r="CO30" s="372"/>
      <c r="CP30" s="372"/>
      <c r="CR30" s="372"/>
      <c r="CS30" s="372"/>
      <c r="CT30" s="372"/>
      <c r="CU30" s="372"/>
      <c r="CV30" s="372"/>
      <c r="CW30" s="372"/>
      <c r="CY30" s="372"/>
      <c r="CZ30" s="372"/>
      <c r="DA30" s="372"/>
      <c r="DB30" s="372"/>
      <c r="DC30" s="372"/>
      <c r="DD30" s="372"/>
      <c r="DE30" s="372"/>
      <c r="DF30" s="372"/>
      <c r="DG30" s="372"/>
      <c r="DH30" s="372"/>
      <c r="DI30" s="372" t="s">
        <v>850</v>
      </c>
      <c r="DJ30" s="372"/>
      <c r="DK30" s="372" t="s">
        <v>850</v>
      </c>
      <c r="DL30" s="372"/>
      <c r="DM30" s="372"/>
      <c r="DN30" s="372"/>
      <c r="DO30" s="372"/>
      <c r="DP30" s="372"/>
      <c r="DQ30" s="372"/>
      <c r="DR30" s="372"/>
      <c r="DS30" s="372"/>
      <c r="DT30" s="372"/>
      <c r="DU30" s="372"/>
      <c r="DV30" s="372"/>
      <c r="DW30" s="372"/>
      <c r="DX30" s="372"/>
      <c r="DY30" s="372"/>
      <c r="DZ30" s="372"/>
      <c r="EA30" s="372"/>
      <c r="EB30" s="372"/>
      <c r="EC30" s="372"/>
      <c r="ED30" s="372"/>
      <c r="EE30" s="372"/>
      <c r="EF30" s="372"/>
      <c r="EG30" s="372"/>
      <c r="EH30" s="372"/>
      <c r="EI30" s="372"/>
      <c r="EJ30" s="372"/>
      <c r="EK30" s="372"/>
      <c r="EL30" s="372"/>
      <c r="EM30" s="372"/>
      <c r="EN30" s="372"/>
      <c r="EO30" s="372"/>
      <c r="EP30" s="372"/>
      <c r="EQ30" s="372"/>
      <c r="ER30" s="372"/>
      <c r="ES30" s="372"/>
      <c r="ET30" s="372"/>
      <c r="EU30" s="372"/>
      <c r="EV30" s="372"/>
      <c r="EW30" s="372"/>
      <c r="EX30" s="372"/>
      <c r="EY30" s="372"/>
      <c r="EZ30" s="372"/>
      <c r="FA30" s="372"/>
      <c r="FB30" s="372"/>
      <c r="FC30" s="372"/>
      <c r="FD30" s="372"/>
      <c r="FE30" s="372"/>
      <c r="FF30" s="372"/>
      <c r="FG30" s="372"/>
      <c r="FH30" s="372"/>
      <c r="FI30" s="372"/>
      <c r="FJ30" s="372"/>
      <c r="FK30" s="372"/>
      <c r="FL30" s="372"/>
      <c r="FM30" s="372"/>
      <c r="FN30" s="372"/>
      <c r="FO30" s="372"/>
      <c r="FP30" s="372"/>
      <c r="FQ30" s="375" t="s">
        <v>850</v>
      </c>
      <c r="FR30" s="376" t="s">
        <v>1049</v>
      </c>
      <c r="FS30" s="377" t="s">
        <v>522</v>
      </c>
      <c r="FT30" s="377" t="s">
        <v>850</v>
      </c>
      <c r="FU30" s="377" t="s">
        <v>551</v>
      </c>
      <c r="FV30" s="144">
        <f t="shared" si="0"/>
        <v>0</v>
      </c>
      <c r="FW30" s="371" t="s">
        <v>902</v>
      </c>
    </row>
    <row r="31" spans="1:179" s="371" customFormat="1" hidden="1">
      <c r="A31" s="368" t="s">
        <v>526</v>
      </c>
      <c r="B31" s="369" t="s">
        <v>517</v>
      </c>
      <c r="C31" s="369" t="s">
        <v>548</v>
      </c>
      <c r="D31" s="369" t="s">
        <v>8</v>
      </c>
      <c r="E31" s="370" t="s">
        <v>552</v>
      </c>
      <c r="F31" s="369" t="s">
        <v>520</v>
      </c>
      <c r="G31" s="369"/>
      <c r="BT31" s="372" t="s">
        <v>850</v>
      </c>
      <c r="BV31" s="372" t="s">
        <v>850</v>
      </c>
      <c r="DI31" s="372" t="s">
        <v>850</v>
      </c>
      <c r="DK31" s="372" t="s">
        <v>850</v>
      </c>
      <c r="FQ31" s="375" t="s">
        <v>850</v>
      </c>
      <c r="FR31" s="376" t="s">
        <v>1049</v>
      </c>
      <c r="FS31" s="377" t="s">
        <v>522</v>
      </c>
      <c r="FT31" s="377" t="s">
        <v>850</v>
      </c>
      <c r="FU31" s="377" t="s">
        <v>553</v>
      </c>
      <c r="FV31" s="144">
        <f t="shared" si="0"/>
        <v>0</v>
      </c>
      <c r="FW31" s="371" t="s">
        <v>1056</v>
      </c>
    </row>
    <row r="32" spans="1:179" s="371" customFormat="1" hidden="1">
      <c r="A32" s="368" t="s">
        <v>526</v>
      </c>
      <c r="B32" s="369" t="s">
        <v>517</v>
      </c>
      <c r="C32" s="369" t="s">
        <v>548</v>
      </c>
      <c r="D32" s="369" t="s">
        <v>4</v>
      </c>
      <c r="E32" s="370" t="s">
        <v>552</v>
      </c>
      <c r="F32" s="369" t="s">
        <v>520</v>
      </c>
      <c r="G32" s="369"/>
      <c r="H32" s="372" t="s">
        <v>850</v>
      </c>
      <c r="I32" s="372" t="s">
        <v>850</v>
      </c>
      <c r="J32" s="372" t="s">
        <v>850</v>
      </c>
      <c r="K32" s="372" t="s">
        <v>850</v>
      </c>
      <c r="L32" s="372" t="s">
        <v>850</v>
      </c>
      <c r="M32" s="372" t="s">
        <v>850</v>
      </c>
      <c r="N32" s="372" t="s">
        <v>850</v>
      </c>
      <c r="O32" s="372" t="s">
        <v>850</v>
      </c>
      <c r="P32" s="372" t="s">
        <v>850</v>
      </c>
      <c r="Q32" s="372" t="s">
        <v>850</v>
      </c>
      <c r="R32" s="372" t="s">
        <v>850</v>
      </c>
      <c r="S32" s="372" t="s">
        <v>850</v>
      </c>
      <c r="T32" s="372" t="s">
        <v>850</v>
      </c>
      <c r="U32" s="372" t="s">
        <v>850</v>
      </c>
      <c r="V32" s="372" t="s">
        <v>850</v>
      </c>
      <c r="W32" s="372" t="s">
        <v>850</v>
      </c>
      <c r="X32" s="372" t="s">
        <v>850</v>
      </c>
      <c r="Y32" s="372" t="s">
        <v>850</v>
      </c>
      <c r="Z32" s="372" t="s">
        <v>850</v>
      </c>
      <c r="AA32" s="372" t="s">
        <v>850</v>
      </c>
      <c r="AB32" s="372" t="s">
        <v>850</v>
      </c>
      <c r="AC32" s="372" t="s">
        <v>850</v>
      </c>
      <c r="AD32" s="372" t="s">
        <v>850</v>
      </c>
      <c r="AE32" s="372" t="s">
        <v>850</v>
      </c>
      <c r="AF32" s="372" t="s">
        <v>850</v>
      </c>
      <c r="AG32" s="372" t="s">
        <v>850</v>
      </c>
      <c r="AH32" s="372" t="s">
        <v>850</v>
      </c>
      <c r="AI32" s="372" t="s">
        <v>850</v>
      </c>
      <c r="AJ32" s="372" t="s">
        <v>850</v>
      </c>
      <c r="AK32" s="372" t="s">
        <v>850</v>
      </c>
      <c r="AL32" s="372" t="s">
        <v>850</v>
      </c>
      <c r="AM32" s="372" t="s">
        <v>850</v>
      </c>
      <c r="AN32" s="372" t="s">
        <v>850</v>
      </c>
      <c r="AO32" s="372" t="s">
        <v>850</v>
      </c>
      <c r="AP32" s="372" t="s">
        <v>850</v>
      </c>
      <c r="AQ32" s="372" t="s">
        <v>850</v>
      </c>
      <c r="AR32" s="372" t="s">
        <v>850</v>
      </c>
      <c r="AS32" s="372" t="s">
        <v>850</v>
      </c>
      <c r="AT32" s="372" t="s">
        <v>850</v>
      </c>
      <c r="AU32" s="372" t="s">
        <v>850</v>
      </c>
      <c r="AV32" s="372" t="s">
        <v>850</v>
      </c>
      <c r="AW32" s="372" t="s">
        <v>850</v>
      </c>
      <c r="AX32" s="372" t="s">
        <v>850</v>
      </c>
      <c r="AY32" s="372" t="s">
        <v>850</v>
      </c>
      <c r="AZ32" s="372" t="s">
        <v>850</v>
      </c>
      <c r="BA32" s="372" t="s">
        <v>850</v>
      </c>
      <c r="BB32" s="372" t="s">
        <v>850</v>
      </c>
      <c r="BC32" s="372" t="s">
        <v>850</v>
      </c>
      <c r="BD32" s="372" t="s">
        <v>850</v>
      </c>
      <c r="BE32" s="372" t="s">
        <v>850</v>
      </c>
      <c r="BF32" s="372" t="s">
        <v>850</v>
      </c>
      <c r="BG32" s="372" t="s">
        <v>850</v>
      </c>
      <c r="BH32" s="372" t="s">
        <v>850</v>
      </c>
      <c r="BI32" s="372" t="s">
        <v>850</v>
      </c>
      <c r="BJ32" s="372" t="s">
        <v>850</v>
      </c>
      <c r="BK32" s="372" t="s">
        <v>850</v>
      </c>
      <c r="BL32" s="372" t="s">
        <v>850</v>
      </c>
      <c r="BM32" s="372" t="s">
        <v>850</v>
      </c>
      <c r="BN32" s="372" t="s">
        <v>850</v>
      </c>
      <c r="BO32" s="372" t="s">
        <v>850</v>
      </c>
      <c r="BP32" s="372" t="s">
        <v>850</v>
      </c>
      <c r="BQ32" s="372" t="s">
        <v>850</v>
      </c>
      <c r="BR32" s="372" t="s">
        <v>850</v>
      </c>
      <c r="BS32" s="372" t="s">
        <v>850</v>
      </c>
      <c r="BT32" s="372" t="s">
        <v>850</v>
      </c>
      <c r="BU32" s="372" t="s">
        <v>850</v>
      </c>
      <c r="BV32" s="372" t="s">
        <v>850</v>
      </c>
      <c r="BW32" s="372" t="s">
        <v>850</v>
      </c>
      <c r="BX32" s="372" t="s">
        <v>850</v>
      </c>
      <c r="CA32" s="372" t="s">
        <v>850</v>
      </c>
      <c r="CB32" s="372" t="s">
        <v>850</v>
      </c>
      <c r="CD32" s="372" t="s">
        <v>850</v>
      </c>
      <c r="CE32" s="372" t="s">
        <v>850</v>
      </c>
      <c r="CG32" s="372" t="s">
        <v>850</v>
      </c>
      <c r="CH32" s="372" t="s">
        <v>850</v>
      </c>
      <c r="CI32" s="372" t="s">
        <v>850</v>
      </c>
      <c r="CJ32" s="372" t="s">
        <v>850</v>
      </c>
      <c r="CK32" s="372" t="s">
        <v>850</v>
      </c>
      <c r="CL32" s="372" t="s">
        <v>850</v>
      </c>
      <c r="CM32" s="372" t="s">
        <v>850</v>
      </c>
      <c r="CN32" s="372" t="s">
        <v>850</v>
      </c>
      <c r="CO32" s="372" t="s">
        <v>850</v>
      </c>
      <c r="CP32" s="372" t="s">
        <v>850</v>
      </c>
      <c r="CR32" s="372" t="s">
        <v>850</v>
      </c>
      <c r="CS32" s="372" t="s">
        <v>850</v>
      </c>
      <c r="CT32" s="372" t="s">
        <v>850</v>
      </c>
      <c r="CU32" s="372" t="s">
        <v>850</v>
      </c>
      <c r="CV32" s="372" t="s">
        <v>850</v>
      </c>
      <c r="CW32" s="372" t="s">
        <v>850</v>
      </c>
      <c r="CY32" s="372" t="s">
        <v>850</v>
      </c>
      <c r="CZ32" s="372" t="s">
        <v>850</v>
      </c>
      <c r="DA32" s="372" t="s">
        <v>850</v>
      </c>
      <c r="DB32" s="372" t="s">
        <v>850</v>
      </c>
      <c r="DC32" s="372" t="s">
        <v>850</v>
      </c>
      <c r="DD32" s="372" t="s">
        <v>850</v>
      </c>
      <c r="DE32" s="372" t="s">
        <v>850</v>
      </c>
      <c r="DF32" s="372" t="s">
        <v>850</v>
      </c>
      <c r="DG32" s="372" t="s">
        <v>850</v>
      </c>
      <c r="DH32" s="372" t="s">
        <v>850</v>
      </c>
      <c r="DI32" s="372" t="s">
        <v>850</v>
      </c>
      <c r="DJ32" s="372" t="s">
        <v>850</v>
      </c>
      <c r="DK32" s="372" t="s">
        <v>850</v>
      </c>
      <c r="DL32" s="372" t="s">
        <v>850</v>
      </c>
      <c r="DM32" s="372" t="s">
        <v>850</v>
      </c>
      <c r="DN32" s="372" t="s">
        <v>850</v>
      </c>
      <c r="DO32" s="372" t="s">
        <v>850</v>
      </c>
      <c r="DP32" s="372" t="s">
        <v>850</v>
      </c>
      <c r="DQ32" s="372" t="s">
        <v>850</v>
      </c>
      <c r="DR32" s="372" t="s">
        <v>850</v>
      </c>
      <c r="DS32" s="373">
        <f>160-160</f>
        <v>0</v>
      </c>
      <c r="DT32" s="372" t="s">
        <v>850</v>
      </c>
      <c r="DU32" s="372" t="s">
        <v>850</v>
      </c>
      <c r="DV32" s="372" t="s">
        <v>850</v>
      </c>
      <c r="DW32" s="373">
        <f>160-160</f>
        <v>0</v>
      </c>
      <c r="DX32" s="372" t="s">
        <v>850</v>
      </c>
      <c r="DY32" s="372" t="s">
        <v>850</v>
      </c>
      <c r="DZ32" s="372" t="s">
        <v>850</v>
      </c>
      <c r="EA32" s="372" t="s">
        <v>850</v>
      </c>
      <c r="EB32" s="372" t="s">
        <v>850</v>
      </c>
      <c r="EC32" s="372" t="s">
        <v>850</v>
      </c>
      <c r="ED32" s="372" t="s">
        <v>850</v>
      </c>
      <c r="EE32" s="372" t="s">
        <v>850</v>
      </c>
      <c r="EF32" s="372" t="s">
        <v>850</v>
      </c>
      <c r="EG32" s="372" t="s">
        <v>850</v>
      </c>
      <c r="EH32" s="373">
        <f>160-160</f>
        <v>0</v>
      </c>
      <c r="EI32" s="372" t="s">
        <v>850</v>
      </c>
      <c r="EJ32" s="372" t="s">
        <v>850</v>
      </c>
      <c r="EK32" s="372" t="s">
        <v>850</v>
      </c>
      <c r="EL32" s="372" t="s">
        <v>850</v>
      </c>
      <c r="EM32" s="372" t="s">
        <v>850</v>
      </c>
      <c r="EN32" s="372" t="s">
        <v>850</v>
      </c>
      <c r="EO32" s="372" t="s">
        <v>850</v>
      </c>
      <c r="EP32" s="372" t="s">
        <v>850</v>
      </c>
      <c r="EQ32" s="372" t="s">
        <v>850</v>
      </c>
      <c r="ER32" s="372" t="s">
        <v>850</v>
      </c>
      <c r="ES32" s="372" t="s">
        <v>850</v>
      </c>
      <c r="ET32" s="372" t="s">
        <v>850</v>
      </c>
      <c r="EU32" s="372" t="s">
        <v>850</v>
      </c>
      <c r="EV32" s="372" t="s">
        <v>850</v>
      </c>
      <c r="EW32" s="372" t="s">
        <v>850</v>
      </c>
      <c r="EX32" s="372" t="s">
        <v>850</v>
      </c>
      <c r="EY32" s="372" t="s">
        <v>850</v>
      </c>
      <c r="EZ32" s="372" t="s">
        <v>850</v>
      </c>
      <c r="FA32" s="372" t="s">
        <v>850</v>
      </c>
      <c r="FB32" s="372" t="s">
        <v>850</v>
      </c>
      <c r="FC32" s="372" t="s">
        <v>850</v>
      </c>
      <c r="FD32" s="372" t="s">
        <v>850</v>
      </c>
      <c r="FE32" s="372" t="s">
        <v>850</v>
      </c>
      <c r="FF32" s="372" t="s">
        <v>850</v>
      </c>
      <c r="FG32" s="372" t="s">
        <v>850</v>
      </c>
      <c r="FH32" s="372" t="s">
        <v>850</v>
      </c>
      <c r="FI32" s="372" t="s">
        <v>850</v>
      </c>
      <c r="FJ32" s="372" t="s">
        <v>850</v>
      </c>
      <c r="FK32" s="372" t="s">
        <v>850</v>
      </c>
      <c r="FL32" s="372" t="s">
        <v>850</v>
      </c>
      <c r="FM32" s="372" t="s">
        <v>850</v>
      </c>
      <c r="FN32" s="372" t="s">
        <v>850</v>
      </c>
      <c r="FO32" s="372" t="s">
        <v>850</v>
      </c>
      <c r="FP32" s="372" t="s">
        <v>850</v>
      </c>
      <c r="FQ32" s="375" t="s">
        <v>850</v>
      </c>
      <c r="FR32" s="376" t="s">
        <v>1049</v>
      </c>
      <c r="FS32" s="377" t="s">
        <v>522</v>
      </c>
      <c r="FT32" s="377" t="s">
        <v>850</v>
      </c>
      <c r="FU32" s="377" t="s">
        <v>553</v>
      </c>
      <c r="FV32" s="144">
        <f t="shared" si="0"/>
        <v>0</v>
      </c>
      <c r="FW32" s="371" t="s">
        <v>1056</v>
      </c>
    </row>
    <row r="33" spans="1:179" s="371" customFormat="1" hidden="1">
      <c r="A33" s="368" t="s">
        <v>526</v>
      </c>
      <c r="B33" s="369" t="s">
        <v>517</v>
      </c>
      <c r="C33" s="369" t="s">
        <v>548</v>
      </c>
      <c r="D33" s="369" t="s">
        <v>3</v>
      </c>
      <c r="E33" s="370" t="s">
        <v>552</v>
      </c>
      <c r="F33" s="369" t="s">
        <v>520</v>
      </c>
      <c r="G33" s="369"/>
      <c r="H33" s="372"/>
      <c r="I33" s="372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2"/>
      <c r="AK33" s="372"/>
      <c r="AL33" s="372"/>
      <c r="AM33" s="372"/>
      <c r="AN33" s="372"/>
      <c r="AO33" s="372"/>
      <c r="AP33" s="372"/>
      <c r="AQ33" s="372"/>
      <c r="AR33" s="372"/>
      <c r="AS33" s="372"/>
      <c r="AT33" s="372"/>
      <c r="AU33" s="372"/>
      <c r="AV33" s="372"/>
      <c r="AW33" s="372"/>
      <c r="AX33" s="372"/>
      <c r="AY33" s="372"/>
      <c r="AZ33" s="372"/>
      <c r="BA33" s="372"/>
      <c r="BB33" s="372"/>
      <c r="BC33" s="372"/>
      <c r="BD33" s="372"/>
      <c r="BE33" s="372"/>
      <c r="BF33" s="372"/>
      <c r="BG33" s="372"/>
      <c r="BH33" s="372"/>
      <c r="BI33" s="372"/>
      <c r="BJ33" s="372"/>
      <c r="BK33" s="372"/>
      <c r="BL33" s="372"/>
      <c r="BM33" s="372"/>
      <c r="BN33" s="372"/>
      <c r="BO33" s="372"/>
      <c r="BP33" s="372"/>
      <c r="BQ33" s="372"/>
      <c r="BR33" s="372"/>
      <c r="BS33" s="372"/>
      <c r="BT33" s="372" t="s">
        <v>850</v>
      </c>
      <c r="BU33" s="372"/>
      <c r="BV33" s="372" t="s">
        <v>850</v>
      </c>
      <c r="BW33" s="372"/>
      <c r="BX33" s="372"/>
      <c r="CA33" s="372"/>
      <c r="CB33" s="372"/>
      <c r="CD33" s="372"/>
      <c r="CE33" s="372"/>
      <c r="CG33" s="372"/>
      <c r="CH33" s="372"/>
      <c r="CI33" s="372"/>
      <c r="CJ33" s="372"/>
      <c r="CK33" s="372"/>
      <c r="CL33" s="372"/>
      <c r="CM33" s="372"/>
      <c r="CN33" s="372"/>
      <c r="CO33" s="372"/>
      <c r="CP33" s="372"/>
      <c r="CR33" s="372"/>
      <c r="CS33" s="372"/>
      <c r="CT33" s="372"/>
      <c r="CU33" s="372"/>
      <c r="CV33" s="372"/>
      <c r="CW33" s="372"/>
      <c r="CY33" s="372"/>
      <c r="CZ33" s="372"/>
      <c r="DA33" s="372"/>
      <c r="DB33" s="372"/>
      <c r="DC33" s="372"/>
      <c r="DD33" s="372"/>
      <c r="DE33" s="372"/>
      <c r="DF33" s="372"/>
      <c r="DG33" s="372"/>
      <c r="DH33" s="372"/>
      <c r="DI33" s="372" t="s">
        <v>850</v>
      </c>
      <c r="DJ33" s="372"/>
      <c r="DK33" s="372" t="s">
        <v>850</v>
      </c>
      <c r="DL33" s="372"/>
      <c r="DM33" s="372"/>
      <c r="DN33" s="372"/>
      <c r="DO33" s="372"/>
      <c r="DP33" s="372"/>
      <c r="DQ33" s="372"/>
      <c r="DR33" s="372"/>
      <c r="DS33" s="372"/>
      <c r="DT33" s="372"/>
      <c r="DU33" s="372"/>
      <c r="DV33" s="372"/>
      <c r="DW33" s="372"/>
      <c r="DX33" s="372"/>
      <c r="DY33" s="372"/>
      <c r="DZ33" s="372"/>
      <c r="EA33" s="372"/>
      <c r="EB33" s="372"/>
      <c r="EC33" s="372"/>
      <c r="ED33" s="372"/>
      <c r="EE33" s="372"/>
      <c r="EF33" s="372"/>
      <c r="EG33" s="372"/>
      <c r="EH33" s="372"/>
      <c r="EI33" s="372"/>
      <c r="EJ33" s="372"/>
      <c r="EK33" s="372"/>
      <c r="EL33" s="372"/>
      <c r="EM33" s="372"/>
      <c r="EN33" s="372"/>
      <c r="EO33" s="372"/>
      <c r="EP33" s="372"/>
      <c r="EQ33" s="372"/>
      <c r="ER33" s="372"/>
      <c r="ES33" s="372"/>
      <c r="ET33" s="372"/>
      <c r="EU33" s="372"/>
      <c r="EV33" s="372"/>
      <c r="EW33" s="372"/>
      <c r="EX33" s="372"/>
      <c r="EY33" s="372"/>
      <c r="EZ33" s="372"/>
      <c r="FA33" s="372"/>
      <c r="FB33" s="372"/>
      <c r="FC33" s="372"/>
      <c r="FD33" s="372"/>
      <c r="FE33" s="372"/>
      <c r="FF33" s="372"/>
      <c r="FG33" s="372"/>
      <c r="FH33" s="372"/>
      <c r="FI33" s="372"/>
      <c r="FJ33" s="372"/>
      <c r="FK33" s="372"/>
      <c r="FL33" s="372"/>
      <c r="FM33" s="372"/>
      <c r="FN33" s="372"/>
      <c r="FO33" s="372"/>
      <c r="FP33" s="372"/>
      <c r="FQ33" s="375" t="s">
        <v>850</v>
      </c>
      <c r="FR33" s="376" t="s">
        <v>1049</v>
      </c>
      <c r="FS33" s="377" t="s">
        <v>522</v>
      </c>
      <c r="FT33" s="377" t="s">
        <v>850</v>
      </c>
      <c r="FU33" s="377" t="s">
        <v>553</v>
      </c>
      <c r="FV33" s="144">
        <f t="shared" si="0"/>
        <v>0</v>
      </c>
      <c r="FW33" s="371" t="s">
        <v>1056</v>
      </c>
    </row>
    <row r="34" spans="1:179" s="371" customFormat="1" hidden="1">
      <c r="A34" s="368" t="s">
        <v>903</v>
      </c>
      <c r="B34" s="369" t="s">
        <v>517</v>
      </c>
      <c r="C34" s="369" t="s">
        <v>555</v>
      </c>
      <c r="D34" s="369" t="s">
        <v>8</v>
      </c>
      <c r="E34" s="370" t="s">
        <v>556</v>
      </c>
      <c r="F34" s="369" t="s">
        <v>520</v>
      </c>
      <c r="G34" s="369" t="s">
        <v>1057</v>
      </c>
      <c r="BT34" s="372" t="s">
        <v>850</v>
      </c>
      <c r="BV34" s="372" t="s">
        <v>850</v>
      </c>
      <c r="DI34" s="372" t="s">
        <v>850</v>
      </c>
      <c r="DK34" s="372" t="s">
        <v>850</v>
      </c>
      <c r="FQ34" s="375" t="s">
        <v>850</v>
      </c>
      <c r="FR34" s="376" t="s">
        <v>1049</v>
      </c>
      <c r="FS34" s="377" t="s">
        <v>522</v>
      </c>
      <c r="FT34" s="377" t="s">
        <v>850</v>
      </c>
      <c r="FU34" s="377" t="s">
        <v>559</v>
      </c>
      <c r="FV34" s="144">
        <f t="shared" si="0"/>
        <v>0</v>
      </c>
      <c r="FW34" s="371" t="s">
        <v>905</v>
      </c>
    </row>
    <row r="35" spans="1:179" s="371" customFormat="1" hidden="1">
      <c r="A35" s="368" t="s">
        <v>903</v>
      </c>
      <c r="B35" s="369" t="s">
        <v>517</v>
      </c>
      <c r="C35" s="369" t="s">
        <v>555</v>
      </c>
      <c r="D35" s="369" t="s">
        <v>4</v>
      </c>
      <c r="E35" s="370" t="s">
        <v>556</v>
      </c>
      <c r="F35" s="369" t="s">
        <v>520</v>
      </c>
      <c r="G35" s="369" t="s">
        <v>1057</v>
      </c>
      <c r="H35" s="372" t="s">
        <v>850</v>
      </c>
      <c r="I35" s="372" t="s">
        <v>850</v>
      </c>
      <c r="J35" s="372" t="s">
        <v>850</v>
      </c>
      <c r="K35" s="372" t="s">
        <v>850</v>
      </c>
      <c r="L35" s="372" t="s">
        <v>850</v>
      </c>
      <c r="M35" s="372" t="s">
        <v>850</v>
      </c>
      <c r="N35" s="373">
        <f>15-15</f>
        <v>0</v>
      </c>
      <c r="O35" s="373">
        <f>15-15</f>
        <v>0</v>
      </c>
      <c r="P35" s="372" t="s">
        <v>850</v>
      </c>
      <c r="Q35" s="372"/>
      <c r="R35" s="372" t="s">
        <v>850</v>
      </c>
      <c r="S35" s="372" t="s">
        <v>850</v>
      </c>
      <c r="T35" s="373">
        <f>5-5</f>
        <v>0</v>
      </c>
      <c r="U35" s="373">
        <f>20-20</f>
        <v>0</v>
      </c>
      <c r="V35" s="372"/>
      <c r="W35" s="372" t="s">
        <v>850</v>
      </c>
      <c r="X35" s="372" t="s">
        <v>850</v>
      </c>
      <c r="Y35" s="373">
        <f>30-30</f>
        <v>0</v>
      </c>
      <c r="Z35" s="373">
        <f>50-50</f>
        <v>0</v>
      </c>
      <c r="AA35" s="372" t="s">
        <v>850</v>
      </c>
      <c r="AB35" s="373">
        <f>20-20</f>
        <v>0</v>
      </c>
      <c r="AC35" s="373">
        <f>50-50</f>
        <v>0</v>
      </c>
      <c r="AD35" s="373">
        <f>50-50</f>
        <v>0</v>
      </c>
      <c r="AE35" s="373">
        <f>50-50</f>
        <v>0</v>
      </c>
      <c r="AF35" s="372" t="s">
        <v>850</v>
      </c>
      <c r="AG35" s="372" t="s">
        <v>850</v>
      </c>
      <c r="AH35" s="372" t="s">
        <v>850</v>
      </c>
      <c r="AI35" s="372" t="s">
        <v>850</v>
      </c>
      <c r="AJ35" s="372" t="s">
        <v>850</v>
      </c>
      <c r="AK35" s="372" t="s">
        <v>850</v>
      </c>
      <c r="AL35" s="372" t="s">
        <v>850</v>
      </c>
      <c r="AM35" s="372" t="s">
        <v>850</v>
      </c>
      <c r="AN35" s="372" t="s">
        <v>850</v>
      </c>
      <c r="AO35" s="372" t="s">
        <v>850</v>
      </c>
      <c r="AP35" s="372" t="s">
        <v>850</v>
      </c>
      <c r="AQ35" s="372" t="s">
        <v>850</v>
      </c>
      <c r="AR35" s="372" t="s">
        <v>850</v>
      </c>
      <c r="AS35" s="372" t="s">
        <v>850</v>
      </c>
      <c r="AT35" s="372" t="s">
        <v>850</v>
      </c>
      <c r="AU35" s="372" t="s">
        <v>850</v>
      </c>
      <c r="AV35" s="372" t="s">
        <v>850</v>
      </c>
      <c r="AW35" s="372" t="s">
        <v>850</v>
      </c>
      <c r="AX35" s="372" t="s">
        <v>850</v>
      </c>
      <c r="AY35" s="372" t="s">
        <v>850</v>
      </c>
      <c r="AZ35" s="373">
        <f>20-20</f>
        <v>0</v>
      </c>
      <c r="BA35" s="373">
        <f>20-20</f>
        <v>0</v>
      </c>
      <c r="BB35" s="373">
        <f>5-5</f>
        <v>0</v>
      </c>
      <c r="BC35" s="373">
        <f>20-20</f>
        <v>0</v>
      </c>
      <c r="BD35" s="372" t="s">
        <v>850</v>
      </c>
      <c r="BE35" s="372" t="s">
        <v>850</v>
      </c>
      <c r="BF35" s="372" t="s">
        <v>850</v>
      </c>
      <c r="BG35" s="372" t="s">
        <v>850</v>
      </c>
      <c r="BH35" s="372" t="s">
        <v>850</v>
      </c>
      <c r="BI35" s="372" t="s">
        <v>850</v>
      </c>
      <c r="BJ35" s="372" t="s">
        <v>850</v>
      </c>
      <c r="BK35" s="373">
        <f>20-20</f>
        <v>0</v>
      </c>
      <c r="BL35" s="373">
        <f>20-20</f>
        <v>0</v>
      </c>
      <c r="BM35" s="372" t="s">
        <v>850</v>
      </c>
      <c r="BN35" s="373">
        <f>20-20</f>
        <v>0</v>
      </c>
      <c r="BO35" s="372" t="s">
        <v>850</v>
      </c>
      <c r="BP35" s="372" t="s">
        <v>850</v>
      </c>
      <c r="BQ35" s="372" t="s">
        <v>850</v>
      </c>
      <c r="BR35" s="372" t="s">
        <v>850</v>
      </c>
      <c r="BS35" s="373">
        <f>10-10</f>
        <v>0</v>
      </c>
      <c r="BT35" s="372" t="s">
        <v>850</v>
      </c>
      <c r="BU35" s="372" t="s">
        <v>850</v>
      </c>
      <c r="BV35" s="372" t="s">
        <v>850</v>
      </c>
      <c r="BW35" s="373">
        <f>10-10</f>
        <v>0</v>
      </c>
      <c r="BX35" s="373">
        <f>30-30</f>
        <v>0</v>
      </c>
      <c r="CA35" s="372" t="s">
        <v>850</v>
      </c>
      <c r="CB35" s="373">
        <f>20-20</f>
        <v>0</v>
      </c>
      <c r="CD35" s="373">
        <f>20-20</f>
        <v>0</v>
      </c>
      <c r="CE35" s="373">
        <f>20-20</f>
        <v>0</v>
      </c>
      <c r="CG35" s="373">
        <f>10-10</f>
        <v>0</v>
      </c>
      <c r="CH35" s="373">
        <f>10-10</f>
        <v>0</v>
      </c>
      <c r="CI35" s="372" t="s">
        <v>850</v>
      </c>
      <c r="CJ35" s="373">
        <f>30-30</f>
        <v>0</v>
      </c>
      <c r="CK35" s="373">
        <f>10-10</f>
        <v>0</v>
      </c>
      <c r="CL35" s="373">
        <f>20-20</f>
        <v>0</v>
      </c>
      <c r="CM35" s="372" t="s">
        <v>850</v>
      </c>
      <c r="CN35" s="373">
        <f>20-20</f>
        <v>0</v>
      </c>
      <c r="CO35" s="373">
        <f>50-50</f>
        <v>0</v>
      </c>
      <c r="CP35" s="373">
        <f>40-40</f>
        <v>0</v>
      </c>
      <c r="CR35" s="373">
        <f>40-40</f>
        <v>0</v>
      </c>
      <c r="CS35" s="373">
        <f>30-30</f>
        <v>0</v>
      </c>
      <c r="CT35" s="373">
        <f>40-40</f>
        <v>0</v>
      </c>
      <c r="CU35" s="373">
        <f>30-30</f>
        <v>0</v>
      </c>
      <c r="CV35" s="373">
        <f>50-50</f>
        <v>0</v>
      </c>
      <c r="CW35" s="373">
        <f>100-100</f>
        <v>0</v>
      </c>
      <c r="CY35" s="373">
        <f>50-50</f>
        <v>0</v>
      </c>
      <c r="CZ35" s="373">
        <f>100-100</f>
        <v>0</v>
      </c>
      <c r="DA35" s="373">
        <f>100-100</f>
        <v>0</v>
      </c>
      <c r="DB35" s="373">
        <f>30-30</f>
        <v>0</v>
      </c>
      <c r="DC35" s="372" t="s">
        <v>850</v>
      </c>
      <c r="DD35" s="373">
        <f>30-30</f>
        <v>0</v>
      </c>
      <c r="DE35" s="372" t="s">
        <v>850</v>
      </c>
      <c r="DF35" s="373">
        <f>20-20</f>
        <v>0</v>
      </c>
      <c r="DG35" s="373">
        <f>140-140</f>
        <v>0</v>
      </c>
      <c r="DH35" s="373">
        <f>100-100</f>
        <v>0</v>
      </c>
      <c r="DI35" s="372" t="s">
        <v>850</v>
      </c>
      <c r="DJ35" s="373">
        <f>100-100</f>
        <v>0</v>
      </c>
      <c r="DK35" s="372" t="s">
        <v>850</v>
      </c>
      <c r="DL35" s="373">
        <f>50-50</f>
        <v>0</v>
      </c>
      <c r="DM35" s="372" t="s">
        <v>850</v>
      </c>
      <c r="DN35" s="372" t="s">
        <v>850</v>
      </c>
      <c r="DO35" s="372" t="s">
        <v>850</v>
      </c>
      <c r="DP35" s="373">
        <f>50-50</f>
        <v>0</v>
      </c>
      <c r="DQ35" s="372" t="s">
        <v>850</v>
      </c>
      <c r="DR35" s="372" t="s">
        <v>850</v>
      </c>
      <c r="DS35" s="372" t="s">
        <v>850</v>
      </c>
      <c r="DT35" s="372" t="s">
        <v>850</v>
      </c>
      <c r="DU35" s="372" t="s">
        <v>850</v>
      </c>
      <c r="DV35" s="372" t="s">
        <v>850</v>
      </c>
      <c r="DW35" s="373">
        <f>60-60</f>
        <v>0</v>
      </c>
      <c r="DX35" s="372" t="s">
        <v>850</v>
      </c>
      <c r="DY35" s="373">
        <f>60-60</f>
        <v>0</v>
      </c>
      <c r="DZ35" s="372" t="s">
        <v>850</v>
      </c>
      <c r="EA35" s="372" t="s">
        <v>850</v>
      </c>
      <c r="EB35" s="372" t="s">
        <v>850</v>
      </c>
      <c r="EC35" s="373">
        <f>60-60</f>
        <v>0</v>
      </c>
      <c r="ED35" s="373">
        <f>60-60</f>
        <v>0</v>
      </c>
      <c r="EE35" s="373">
        <f>60-60</f>
        <v>0</v>
      </c>
      <c r="EF35" s="372" t="s">
        <v>850</v>
      </c>
      <c r="EG35" s="373">
        <f t="shared" ref="EG35:EM35" si="1">20-20</f>
        <v>0</v>
      </c>
      <c r="EH35" s="373">
        <f t="shared" si="1"/>
        <v>0</v>
      </c>
      <c r="EI35" s="373">
        <f t="shared" si="1"/>
        <v>0</v>
      </c>
      <c r="EJ35" s="373">
        <f t="shared" si="1"/>
        <v>0</v>
      </c>
      <c r="EK35" s="373">
        <f t="shared" si="1"/>
        <v>0</v>
      </c>
      <c r="EL35" s="373">
        <f t="shared" si="1"/>
        <v>0</v>
      </c>
      <c r="EM35" s="373">
        <f t="shared" si="1"/>
        <v>0</v>
      </c>
      <c r="EN35" s="372" t="s">
        <v>850</v>
      </c>
      <c r="EO35" s="372" t="s">
        <v>850</v>
      </c>
      <c r="EP35" s="372" t="s">
        <v>850</v>
      </c>
      <c r="EQ35" s="372" t="s">
        <v>850</v>
      </c>
      <c r="ER35" s="372" t="s">
        <v>850</v>
      </c>
      <c r="ES35" s="372" t="s">
        <v>850</v>
      </c>
      <c r="ET35" s="372" t="s">
        <v>850</v>
      </c>
      <c r="EU35" s="372" t="s">
        <v>850</v>
      </c>
      <c r="EV35" s="372" t="s">
        <v>850</v>
      </c>
      <c r="EW35" s="372" t="s">
        <v>850</v>
      </c>
      <c r="EX35" s="372" t="s">
        <v>850</v>
      </c>
      <c r="EY35" s="372" t="s">
        <v>850</v>
      </c>
      <c r="EZ35" s="372" t="s">
        <v>850</v>
      </c>
      <c r="FA35" s="372" t="s">
        <v>850</v>
      </c>
      <c r="FB35" s="372" t="s">
        <v>850</v>
      </c>
      <c r="FC35" s="372" t="s">
        <v>850</v>
      </c>
      <c r="FD35" s="372" t="s">
        <v>850</v>
      </c>
      <c r="FE35" s="372" t="s">
        <v>850</v>
      </c>
      <c r="FF35" s="372" t="s">
        <v>850</v>
      </c>
      <c r="FG35" s="372" t="s">
        <v>850</v>
      </c>
      <c r="FH35" s="372" t="s">
        <v>850</v>
      </c>
      <c r="FI35" s="372" t="s">
        <v>850</v>
      </c>
      <c r="FJ35" s="372" t="s">
        <v>850</v>
      </c>
      <c r="FK35" s="372" t="s">
        <v>850</v>
      </c>
      <c r="FL35" s="372" t="s">
        <v>850</v>
      </c>
      <c r="FM35" s="372" t="s">
        <v>850</v>
      </c>
      <c r="FN35" s="372" t="s">
        <v>850</v>
      </c>
      <c r="FO35" s="372" t="s">
        <v>850</v>
      </c>
      <c r="FP35" s="372" t="s">
        <v>850</v>
      </c>
      <c r="FQ35" s="375" t="s">
        <v>850</v>
      </c>
      <c r="FR35" s="376" t="s">
        <v>1049</v>
      </c>
      <c r="FS35" s="377" t="s">
        <v>522</v>
      </c>
      <c r="FT35" s="377" t="s">
        <v>850</v>
      </c>
      <c r="FU35" s="377" t="s">
        <v>559</v>
      </c>
      <c r="FV35" s="144">
        <f t="shared" si="0"/>
        <v>0</v>
      </c>
      <c r="FW35" s="371" t="s">
        <v>905</v>
      </c>
    </row>
    <row r="36" spans="1:179" s="371" customFormat="1" hidden="1">
      <c r="A36" s="368" t="s">
        <v>903</v>
      </c>
      <c r="B36" s="369" t="s">
        <v>517</v>
      </c>
      <c r="C36" s="369" t="s">
        <v>555</v>
      </c>
      <c r="D36" s="369" t="s">
        <v>3</v>
      </c>
      <c r="E36" s="370" t="s">
        <v>556</v>
      </c>
      <c r="F36" s="369" t="s">
        <v>520</v>
      </c>
      <c r="G36" s="369"/>
      <c r="H36" s="372"/>
      <c r="I36" s="372"/>
      <c r="J36" s="372"/>
      <c r="K36" s="372"/>
      <c r="L36" s="372"/>
      <c r="M36" s="372"/>
      <c r="N36" s="372"/>
      <c r="O36" s="372"/>
      <c r="P36" s="372"/>
      <c r="Q36" s="372"/>
      <c r="R36" s="372"/>
      <c r="S36" s="372"/>
      <c r="T36" s="372"/>
      <c r="U36" s="372"/>
      <c r="V36" s="372"/>
      <c r="W36" s="372"/>
      <c r="X36" s="372"/>
      <c r="Y36" s="372"/>
      <c r="Z36" s="372"/>
      <c r="AA36" s="372"/>
      <c r="AB36" s="372"/>
      <c r="AC36" s="372"/>
      <c r="AD36" s="372"/>
      <c r="AE36" s="372"/>
      <c r="AF36" s="372"/>
      <c r="AG36" s="372"/>
      <c r="AH36" s="372"/>
      <c r="AI36" s="372"/>
      <c r="AJ36" s="372"/>
      <c r="AK36" s="372"/>
      <c r="AL36" s="372"/>
      <c r="AM36" s="372"/>
      <c r="AN36" s="372"/>
      <c r="AO36" s="372"/>
      <c r="AP36" s="372"/>
      <c r="AQ36" s="372"/>
      <c r="AR36" s="372"/>
      <c r="AS36" s="372"/>
      <c r="AT36" s="372"/>
      <c r="AU36" s="372"/>
      <c r="AV36" s="372"/>
      <c r="AW36" s="372"/>
      <c r="AX36" s="372"/>
      <c r="AY36" s="372"/>
      <c r="AZ36" s="372"/>
      <c r="BA36" s="372"/>
      <c r="BB36" s="372"/>
      <c r="BC36" s="372"/>
      <c r="BD36" s="372"/>
      <c r="BE36" s="372"/>
      <c r="BF36" s="372"/>
      <c r="BG36" s="372"/>
      <c r="BH36" s="372"/>
      <c r="BI36" s="372"/>
      <c r="BJ36" s="372"/>
      <c r="BK36" s="372"/>
      <c r="BL36" s="372"/>
      <c r="BM36" s="372"/>
      <c r="BN36" s="372"/>
      <c r="BO36" s="372"/>
      <c r="BP36" s="372"/>
      <c r="BQ36" s="372"/>
      <c r="BR36" s="372"/>
      <c r="BS36" s="372"/>
      <c r="BT36" s="372" t="s">
        <v>850</v>
      </c>
      <c r="BU36" s="372"/>
      <c r="BV36" s="372" t="s">
        <v>850</v>
      </c>
      <c r="BW36" s="372"/>
      <c r="BX36" s="372"/>
      <c r="CA36" s="372"/>
      <c r="CB36" s="372"/>
      <c r="CD36" s="372"/>
      <c r="CE36" s="372"/>
      <c r="CG36" s="372"/>
      <c r="CH36" s="372"/>
      <c r="CI36" s="372"/>
      <c r="CJ36" s="372"/>
      <c r="CK36" s="372"/>
      <c r="CL36" s="372"/>
      <c r="CM36" s="372"/>
      <c r="CN36" s="372"/>
      <c r="CO36" s="372"/>
      <c r="CP36" s="372"/>
      <c r="CR36" s="372"/>
      <c r="CS36" s="372"/>
      <c r="CT36" s="372"/>
      <c r="CU36" s="372"/>
      <c r="CV36" s="372"/>
      <c r="CW36" s="372"/>
      <c r="CY36" s="372"/>
      <c r="CZ36" s="372"/>
      <c r="DA36" s="372"/>
      <c r="DB36" s="372"/>
      <c r="DC36" s="372"/>
      <c r="DD36" s="372"/>
      <c r="DE36" s="372"/>
      <c r="DF36" s="372"/>
      <c r="DG36" s="372"/>
      <c r="DH36" s="372"/>
      <c r="DI36" s="372" t="s">
        <v>850</v>
      </c>
      <c r="DJ36" s="372"/>
      <c r="DK36" s="372" t="s">
        <v>850</v>
      </c>
      <c r="DL36" s="372"/>
      <c r="DM36" s="372"/>
      <c r="DN36" s="372"/>
      <c r="DO36" s="372"/>
      <c r="DP36" s="372"/>
      <c r="DQ36" s="372"/>
      <c r="DR36" s="372"/>
      <c r="DS36" s="372"/>
      <c r="DT36" s="372"/>
      <c r="DU36" s="372"/>
      <c r="DV36" s="372"/>
      <c r="DW36" s="372"/>
      <c r="DX36" s="372"/>
      <c r="DY36" s="372"/>
      <c r="DZ36" s="372"/>
      <c r="EA36" s="372"/>
      <c r="EB36" s="372"/>
      <c r="EC36" s="372"/>
      <c r="ED36" s="372"/>
      <c r="EE36" s="372"/>
      <c r="EF36" s="372"/>
      <c r="EG36" s="372"/>
      <c r="EH36" s="372"/>
      <c r="EI36" s="372"/>
      <c r="EJ36" s="372"/>
      <c r="EK36" s="372"/>
      <c r="EL36" s="372"/>
      <c r="EM36" s="372"/>
      <c r="EN36" s="372"/>
      <c r="EO36" s="372"/>
      <c r="EP36" s="372"/>
      <c r="EQ36" s="372"/>
      <c r="ER36" s="372"/>
      <c r="ES36" s="372"/>
      <c r="ET36" s="372"/>
      <c r="EU36" s="372"/>
      <c r="EV36" s="372"/>
      <c r="EW36" s="372"/>
      <c r="EX36" s="372"/>
      <c r="EY36" s="372"/>
      <c r="EZ36" s="372"/>
      <c r="FA36" s="372"/>
      <c r="FB36" s="372"/>
      <c r="FC36" s="372"/>
      <c r="FD36" s="372"/>
      <c r="FE36" s="372"/>
      <c r="FF36" s="372"/>
      <c r="FG36" s="372"/>
      <c r="FH36" s="372"/>
      <c r="FI36" s="372"/>
      <c r="FJ36" s="372"/>
      <c r="FK36" s="372"/>
      <c r="FL36" s="372"/>
      <c r="FM36" s="372"/>
      <c r="FN36" s="372"/>
      <c r="FO36" s="372"/>
      <c r="FP36" s="372"/>
      <c r="FQ36" s="375" t="s">
        <v>850</v>
      </c>
      <c r="FR36" s="376" t="s">
        <v>1049</v>
      </c>
      <c r="FS36" s="377" t="s">
        <v>522</v>
      </c>
      <c r="FT36" s="377" t="s">
        <v>850</v>
      </c>
      <c r="FU36" s="377" t="s">
        <v>559</v>
      </c>
      <c r="FV36" s="144">
        <f t="shared" si="0"/>
        <v>0</v>
      </c>
      <c r="FW36" s="371" t="s">
        <v>905</v>
      </c>
    </row>
    <row r="37" spans="1:179" s="371" customFormat="1">
      <c r="A37" s="368" t="s">
        <v>540</v>
      </c>
      <c r="B37" s="369" t="s">
        <v>517</v>
      </c>
      <c r="C37" s="369" t="s">
        <v>555</v>
      </c>
      <c r="D37" s="369" t="s">
        <v>8</v>
      </c>
      <c r="E37" s="370" t="s">
        <v>909</v>
      </c>
      <c r="F37" s="369" t="s">
        <v>520</v>
      </c>
      <c r="G37" s="369"/>
      <c r="BT37" s="372"/>
      <c r="BV37" s="372"/>
      <c r="DI37" s="372" t="s">
        <v>850</v>
      </c>
      <c r="DK37" s="372" t="s">
        <v>850</v>
      </c>
      <c r="DL37" s="418">
        <v>2</v>
      </c>
      <c r="FQ37" s="375" t="s">
        <v>850</v>
      </c>
      <c r="FR37" s="376" t="s">
        <v>1049</v>
      </c>
      <c r="FS37" s="377" t="s">
        <v>522</v>
      </c>
      <c r="FT37" s="377" t="s">
        <v>850</v>
      </c>
      <c r="FU37" s="377" t="s">
        <v>908</v>
      </c>
      <c r="FV37" s="144">
        <f t="shared" si="0"/>
        <v>2</v>
      </c>
      <c r="FW37" s="371" t="s">
        <v>906</v>
      </c>
    </row>
    <row r="38" spans="1:179" s="371" customFormat="1">
      <c r="A38" s="368" t="s">
        <v>540</v>
      </c>
      <c r="B38" s="369" t="s">
        <v>517</v>
      </c>
      <c r="C38" s="369" t="s">
        <v>555</v>
      </c>
      <c r="D38" s="369" t="s">
        <v>4</v>
      </c>
      <c r="E38" s="370" t="s">
        <v>1085</v>
      </c>
      <c r="F38" s="369" t="s">
        <v>520</v>
      </c>
      <c r="G38" s="369"/>
      <c r="H38" s="372" t="s">
        <v>850</v>
      </c>
      <c r="I38" s="372" t="s">
        <v>850</v>
      </c>
      <c r="J38" s="372" t="s">
        <v>850</v>
      </c>
      <c r="K38" s="372" t="s">
        <v>850</v>
      </c>
      <c r="L38" s="372" t="s">
        <v>850</v>
      </c>
      <c r="M38" s="372" t="s">
        <v>850</v>
      </c>
      <c r="N38" s="372" t="s">
        <v>850</v>
      </c>
      <c r="O38" s="372" t="s">
        <v>850</v>
      </c>
      <c r="P38" s="372" t="s">
        <v>850</v>
      </c>
      <c r="Q38" s="372"/>
      <c r="R38" s="372" t="s">
        <v>850</v>
      </c>
      <c r="S38" s="372" t="s">
        <v>850</v>
      </c>
      <c r="T38" s="372"/>
      <c r="U38" s="372"/>
      <c r="V38" s="372"/>
      <c r="W38" s="372" t="s">
        <v>850</v>
      </c>
      <c r="X38" s="372" t="s">
        <v>850</v>
      </c>
      <c r="Y38" s="372" t="s">
        <v>850</v>
      </c>
      <c r="Z38" s="372"/>
      <c r="AA38" s="372" t="s">
        <v>850</v>
      </c>
      <c r="AB38" s="372"/>
      <c r="AC38" s="372" t="s">
        <v>850</v>
      </c>
      <c r="AD38" s="373">
        <f>20-20+5</f>
        <v>5</v>
      </c>
      <c r="AE38" s="373">
        <f>20-20+5</f>
        <v>5</v>
      </c>
      <c r="AF38" s="372" t="s">
        <v>850</v>
      </c>
      <c r="AG38" s="373">
        <f>20-20</f>
        <v>0</v>
      </c>
      <c r="AH38" s="373">
        <f>10-10</f>
        <v>0</v>
      </c>
      <c r="AI38" s="373">
        <f>20-20</f>
        <v>0</v>
      </c>
      <c r="AJ38" s="373">
        <f>10-10</f>
        <v>0</v>
      </c>
      <c r="AK38" s="373">
        <f>10-10</f>
        <v>0</v>
      </c>
      <c r="AL38" s="372" t="s">
        <v>850</v>
      </c>
      <c r="AM38" s="372" t="s">
        <v>850</v>
      </c>
      <c r="AN38" s="372" t="s">
        <v>850</v>
      </c>
      <c r="AO38" s="372" t="s">
        <v>850</v>
      </c>
      <c r="AP38" s="372" t="s">
        <v>850</v>
      </c>
      <c r="AQ38" s="372" t="s">
        <v>850</v>
      </c>
      <c r="AR38" s="372" t="s">
        <v>850</v>
      </c>
      <c r="AS38" s="372" t="s">
        <v>850</v>
      </c>
      <c r="AT38" s="372" t="s">
        <v>850</v>
      </c>
      <c r="AU38" s="372" t="s">
        <v>850</v>
      </c>
      <c r="AV38" s="372" t="s">
        <v>850</v>
      </c>
      <c r="AW38" s="372" t="s">
        <v>850</v>
      </c>
      <c r="AX38" s="372"/>
      <c r="AY38" s="373">
        <f t="shared" ref="AY38:BD38" si="2">5-5</f>
        <v>0</v>
      </c>
      <c r="AZ38" s="373">
        <f t="shared" si="2"/>
        <v>0</v>
      </c>
      <c r="BA38" s="373">
        <f>5-5+2</f>
        <v>2</v>
      </c>
      <c r="BB38" s="373">
        <f t="shared" si="2"/>
        <v>0</v>
      </c>
      <c r="BC38" s="373">
        <f t="shared" si="2"/>
        <v>0</v>
      </c>
      <c r="BD38" s="373">
        <f t="shared" si="2"/>
        <v>0</v>
      </c>
      <c r="BE38" s="372"/>
      <c r="BF38" s="372" t="s">
        <v>850</v>
      </c>
      <c r="BG38" s="372" t="s">
        <v>850</v>
      </c>
      <c r="BH38" s="372" t="s">
        <v>850</v>
      </c>
      <c r="BI38" s="372" t="s">
        <v>850</v>
      </c>
      <c r="BJ38" s="373">
        <f t="shared" ref="BJ38:BN38" si="3">10-10</f>
        <v>0</v>
      </c>
      <c r="BK38" s="373">
        <f>10-10+5</f>
        <v>5</v>
      </c>
      <c r="BL38" s="373">
        <f>10-10+5</f>
        <v>5</v>
      </c>
      <c r="BM38" s="373">
        <f>10-10+5</f>
        <v>5</v>
      </c>
      <c r="BN38" s="373">
        <f t="shared" si="3"/>
        <v>0</v>
      </c>
      <c r="BO38" s="373">
        <f>10-10+5</f>
        <v>5</v>
      </c>
      <c r="BP38" s="372"/>
      <c r="BQ38" s="372" t="s">
        <v>850</v>
      </c>
      <c r="BR38" s="372" t="s">
        <v>850</v>
      </c>
      <c r="BS38" s="372"/>
      <c r="BT38" s="372"/>
      <c r="BU38" s="372" t="s">
        <v>850</v>
      </c>
      <c r="BV38" s="372"/>
      <c r="BW38" s="373">
        <f>10-10</f>
        <v>0</v>
      </c>
      <c r="BX38" s="372"/>
      <c r="CA38" s="372" t="s">
        <v>850</v>
      </c>
      <c r="CB38" s="373">
        <f>10-10+5</f>
        <v>5</v>
      </c>
      <c r="CD38" s="373">
        <f>10-10</f>
        <v>0</v>
      </c>
      <c r="CE38" s="373">
        <f>10-10</f>
        <v>0</v>
      </c>
      <c r="CG38" s="373">
        <f>10-10</f>
        <v>0</v>
      </c>
      <c r="CH38" s="372"/>
      <c r="CI38" s="373">
        <f>20-20+2</f>
        <v>2</v>
      </c>
      <c r="CJ38" s="373">
        <f>20-20+5</f>
        <v>5</v>
      </c>
      <c r="CK38" s="373">
        <f>20-20</f>
        <v>0</v>
      </c>
      <c r="CL38" s="373">
        <f>20-20</f>
        <v>0</v>
      </c>
      <c r="CM38" s="372"/>
      <c r="CN38" s="373">
        <f>20-20+3</f>
        <v>3</v>
      </c>
      <c r="CO38" s="373">
        <f>20-20+10</f>
        <v>10</v>
      </c>
      <c r="CP38" s="373">
        <f>20-20+2</f>
        <v>2</v>
      </c>
      <c r="CR38" s="373">
        <f>20-20</f>
        <v>0</v>
      </c>
      <c r="CS38" s="373">
        <f>20-20</f>
        <v>0</v>
      </c>
      <c r="CT38" s="372" t="s">
        <v>850</v>
      </c>
      <c r="CU38" s="373">
        <f>50-50+10</f>
        <v>10</v>
      </c>
      <c r="CV38" s="372"/>
      <c r="CW38" s="373">
        <f>50-50+20</f>
        <v>20</v>
      </c>
      <c r="CY38" s="373">
        <f>50-50+5</f>
        <v>5</v>
      </c>
      <c r="CZ38" s="373">
        <f>50-50+5</f>
        <v>5</v>
      </c>
      <c r="DA38" s="373">
        <f>50-50</f>
        <v>0</v>
      </c>
      <c r="DB38" s="372" t="s">
        <v>850</v>
      </c>
      <c r="DC38" s="372" t="s">
        <v>850</v>
      </c>
      <c r="DD38" s="373">
        <f>50-50+10</f>
        <v>10</v>
      </c>
      <c r="DE38" s="372" t="s">
        <v>850</v>
      </c>
      <c r="DF38" s="373">
        <f>50-50</f>
        <v>0</v>
      </c>
      <c r="DG38" s="373">
        <f>50-50+10</f>
        <v>10</v>
      </c>
      <c r="DH38" s="373">
        <f>50-50</f>
        <v>0</v>
      </c>
      <c r="DI38" s="372" t="s">
        <v>850</v>
      </c>
      <c r="DJ38" s="373">
        <f>50-50+10</f>
        <v>10</v>
      </c>
      <c r="DK38" s="372" t="s">
        <v>850</v>
      </c>
      <c r="DL38" s="373">
        <f>50-50</f>
        <v>0</v>
      </c>
      <c r="DM38" s="372" t="s">
        <v>850</v>
      </c>
      <c r="DN38" s="372"/>
      <c r="DO38" s="372" t="s">
        <v>850</v>
      </c>
      <c r="DP38" s="372" t="s">
        <v>850</v>
      </c>
      <c r="DQ38" s="372" t="s">
        <v>850</v>
      </c>
      <c r="DR38" s="372"/>
      <c r="DS38" s="373">
        <f>50-50</f>
        <v>0</v>
      </c>
      <c r="DT38" s="373">
        <f>50-50</f>
        <v>0</v>
      </c>
      <c r="DU38" s="372"/>
      <c r="DV38" s="372" t="s">
        <v>850</v>
      </c>
      <c r="DW38" s="416">
        <v>150</v>
      </c>
      <c r="DX38" s="373">
        <f>50-50</f>
        <v>0</v>
      </c>
      <c r="DY38" s="372" t="s">
        <v>850</v>
      </c>
      <c r="DZ38" s="372" t="s">
        <v>850</v>
      </c>
      <c r="EA38" s="416">
        <v>150</v>
      </c>
      <c r="EB38" s="372" t="s">
        <v>850</v>
      </c>
      <c r="EC38" s="373">
        <f>100-100</f>
        <v>0</v>
      </c>
      <c r="ED38" s="373">
        <f>100-100</f>
        <v>0</v>
      </c>
      <c r="EE38" s="373">
        <f>50-50</f>
        <v>0</v>
      </c>
      <c r="EF38" s="373">
        <f>50-50</f>
        <v>0</v>
      </c>
      <c r="EG38" s="373">
        <f>100-100</f>
        <v>0</v>
      </c>
      <c r="EH38" s="373">
        <f>100-100</f>
        <v>0</v>
      </c>
      <c r="EI38" s="373">
        <f>100-100</f>
        <v>0</v>
      </c>
      <c r="EJ38" s="373">
        <f>50-50</f>
        <v>0</v>
      </c>
      <c r="EK38" s="373">
        <f>100-100</f>
        <v>0</v>
      </c>
      <c r="EL38" s="373">
        <f>50-50</f>
        <v>0</v>
      </c>
      <c r="EM38" s="373">
        <f>50-50</f>
        <v>0</v>
      </c>
      <c r="EN38" s="373">
        <f>50-50</f>
        <v>0</v>
      </c>
      <c r="EO38" s="373">
        <f>300-300</f>
        <v>0</v>
      </c>
      <c r="EP38" s="373">
        <f>50-50</f>
        <v>0</v>
      </c>
      <c r="EQ38" s="372" t="s">
        <v>850</v>
      </c>
      <c r="ER38" s="372" t="s">
        <v>850</v>
      </c>
      <c r="ES38" s="373">
        <f>50-50</f>
        <v>0</v>
      </c>
      <c r="ET38" s="372" t="s">
        <v>850</v>
      </c>
      <c r="EU38" s="372" t="s">
        <v>850</v>
      </c>
      <c r="EV38" s="372"/>
      <c r="EW38" s="373">
        <f>100-100</f>
        <v>0</v>
      </c>
      <c r="EX38" s="372" t="s">
        <v>850</v>
      </c>
      <c r="EY38" s="372"/>
      <c r="EZ38" s="372"/>
      <c r="FA38" s="372" t="s">
        <v>850</v>
      </c>
      <c r="FB38" s="372"/>
      <c r="FC38" s="372" t="s">
        <v>850</v>
      </c>
      <c r="FD38" s="372"/>
      <c r="FE38" s="372"/>
      <c r="FF38" s="372"/>
      <c r="FG38" s="372" t="s">
        <v>850</v>
      </c>
      <c r="FH38" s="372" t="s">
        <v>850</v>
      </c>
      <c r="FI38" s="372" t="s">
        <v>850</v>
      </c>
      <c r="FJ38" s="372" t="s">
        <v>850</v>
      </c>
      <c r="FK38" s="372" t="s">
        <v>850</v>
      </c>
      <c r="FL38" s="372" t="s">
        <v>850</v>
      </c>
      <c r="FM38" s="372" t="s">
        <v>850</v>
      </c>
      <c r="FN38" s="372" t="s">
        <v>850</v>
      </c>
      <c r="FO38" s="372" t="s">
        <v>850</v>
      </c>
      <c r="FP38" s="372" t="s">
        <v>850</v>
      </c>
      <c r="FQ38" s="375" t="s">
        <v>850</v>
      </c>
      <c r="FR38" s="376" t="s">
        <v>1049</v>
      </c>
      <c r="FS38" s="377" t="s">
        <v>522</v>
      </c>
      <c r="FT38" s="377" t="s">
        <v>850</v>
      </c>
      <c r="FU38" s="377" t="s">
        <v>908</v>
      </c>
      <c r="FV38" s="144">
        <f t="shared" si="0"/>
        <v>429</v>
      </c>
      <c r="FW38" s="371" t="s">
        <v>906</v>
      </c>
    </row>
    <row r="39" spans="1:179" s="371" customFormat="1">
      <c r="A39" s="368" t="s">
        <v>540</v>
      </c>
      <c r="B39" s="369" t="s">
        <v>517</v>
      </c>
      <c r="C39" s="369" t="s">
        <v>555</v>
      </c>
      <c r="D39" s="369" t="s">
        <v>3</v>
      </c>
      <c r="E39" s="370" t="s">
        <v>909</v>
      </c>
      <c r="F39" s="369" t="s">
        <v>520</v>
      </c>
      <c r="G39" s="369"/>
      <c r="H39" s="372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372"/>
      <c r="Y39" s="372"/>
      <c r="Z39" s="372"/>
      <c r="AA39" s="372"/>
      <c r="AB39" s="372"/>
      <c r="AC39" s="372"/>
      <c r="AD39" s="372"/>
      <c r="AE39" s="372"/>
      <c r="AF39" s="372"/>
      <c r="AG39" s="372"/>
      <c r="AH39" s="372"/>
      <c r="AI39" s="372"/>
      <c r="AJ39" s="372"/>
      <c r="AK39" s="372"/>
      <c r="AL39" s="372"/>
      <c r="AM39" s="372"/>
      <c r="AN39" s="372"/>
      <c r="AO39" s="372"/>
      <c r="AP39" s="372"/>
      <c r="AQ39" s="372"/>
      <c r="AR39" s="372"/>
      <c r="AS39" s="372"/>
      <c r="AT39" s="372"/>
      <c r="AU39" s="372"/>
      <c r="AV39" s="372"/>
      <c r="AW39" s="372"/>
      <c r="AX39" s="372"/>
      <c r="AY39" s="372"/>
      <c r="AZ39" s="372"/>
      <c r="BA39" s="372"/>
      <c r="BB39" s="372"/>
      <c r="BC39" s="372"/>
      <c r="BD39" s="372"/>
      <c r="BE39" s="372"/>
      <c r="BF39" s="372"/>
      <c r="BG39" s="372"/>
      <c r="BH39" s="372"/>
      <c r="BI39" s="372"/>
      <c r="BJ39" s="372"/>
      <c r="BK39" s="372"/>
      <c r="BL39" s="372"/>
      <c r="BM39" s="372"/>
      <c r="BN39" s="372"/>
      <c r="BO39" s="372"/>
      <c r="BP39" s="372"/>
      <c r="BQ39" s="372"/>
      <c r="BR39" s="372"/>
      <c r="BS39" s="372"/>
      <c r="BT39" s="372"/>
      <c r="BU39" s="372"/>
      <c r="BV39" s="372"/>
      <c r="BW39" s="372"/>
      <c r="BX39" s="372"/>
      <c r="CA39" s="372"/>
      <c r="CB39" s="372"/>
      <c r="CD39" s="372"/>
      <c r="CE39" s="372"/>
      <c r="CG39" s="372"/>
      <c r="CH39" s="372"/>
      <c r="CI39" s="372"/>
      <c r="CJ39" s="372"/>
      <c r="CK39" s="372"/>
      <c r="CL39" s="372"/>
      <c r="CM39" s="372"/>
      <c r="CN39" s="372"/>
      <c r="CO39" s="372"/>
      <c r="CP39" s="372"/>
      <c r="CR39" s="372"/>
      <c r="CS39" s="372"/>
      <c r="CT39" s="372"/>
      <c r="CU39" s="372"/>
      <c r="CV39" s="372"/>
      <c r="CW39" s="372"/>
      <c r="CY39" s="372"/>
      <c r="CZ39" s="372"/>
      <c r="DA39" s="372"/>
      <c r="DB39" s="372"/>
      <c r="DC39" s="372"/>
      <c r="DD39" s="372"/>
      <c r="DE39" s="372"/>
      <c r="DF39" s="372"/>
      <c r="DG39" s="372"/>
      <c r="DH39" s="372"/>
      <c r="DI39" s="372" t="s">
        <v>850</v>
      </c>
      <c r="DJ39" s="372"/>
      <c r="DK39" s="372" t="s">
        <v>850</v>
      </c>
      <c r="DL39" s="372"/>
      <c r="DM39" s="372"/>
      <c r="DN39" s="372"/>
      <c r="DO39" s="372"/>
      <c r="DP39" s="372"/>
      <c r="DQ39" s="372"/>
      <c r="DR39" s="372"/>
      <c r="DS39" s="372"/>
      <c r="DT39" s="372"/>
      <c r="DU39" s="372"/>
      <c r="DV39" s="372"/>
      <c r="DW39" s="372"/>
      <c r="DX39" s="372"/>
      <c r="DY39" s="372"/>
      <c r="DZ39" s="372"/>
      <c r="EA39" s="372"/>
      <c r="EB39" s="372"/>
      <c r="EC39" s="372"/>
      <c r="ED39" s="372"/>
      <c r="EE39" s="372"/>
      <c r="EF39" s="372"/>
      <c r="EG39" s="372"/>
      <c r="EH39" s="372"/>
      <c r="EI39" s="372"/>
      <c r="EJ39" s="372"/>
      <c r="EK39" s="372"/>
      <c r="EL39" s="372"/>
      <c r="EM39" s="372"/>
      <c r="EN39" s="372"/>
      <c r="EO39" s="372"/>
      <c r="EP39" s="372"/>
      <c r="EQ39" s="372"/>
      <c r="ER39" s="372"/>
      <c r="ES39" s="372"/>
      <c r="ET39" s="372"/>
      <c r="EU39" s="372"/>
      <c r="EV39" s="372"/>
      <c r="EW39" s="372"/>
      <c r="EX39" s="372"/>
      <c r="EY39" s="372"/>
      <c r="EZ39" s="372"/>
      <c r="FA39" s="372"/>
      <c r="FB39" s="372"/>
      <c r="FC39" s="372"/>
      <c r="FD39" s="372"/>
      <c r="FE39" s="372"/>
      <c r="FF39" s="372"/>
      <c r="FG39" s="372"/>
      <c r="FH39" s="372"/>
      <c r="FI39" s="372"/>
      <c r="FJ39" s="372"/>
      <c r="FK39" s="372"/>
      <c r="FL39" s="372"/>
      <c r="FM39" s="372"/>
      <c r="FN39" s="372"/>
      <c r="FO39" s="372"/>
      <c r="FP39" s="372"/>
      <c r="FQ39" s="375" t="s">
        <v>850</v>
      </c>
      <c r="FR39" s="376" t="s">
        <v>1049</v>
      </c>
      <c r="FS39" s="377" t="s">
        <v>522</v>
      </c>
      <c r="FT39" s="377" t="s">
        <v>850</v>
      </c>
      <c r="FU39" s="377" t="s">
        <v>908</v>
      </c>
      <c r="FV39" s="144">
        <f t="shared" ref="FV39:FV70" si="4">SUM(H39:FP39)</f>
        <v>0</v>
      </c>
      <c r="FW39" s="371" t="s">
        <v>906</v>
      </c>
    </row>
    <row r="40" spans="1:179" s="371" customFormat="1" hidden="1">
      <c r="A40" s="368" t="s">
        <v>526</v>
      </c>
      <c r="B40" s="369" t="s">
        <v>517</v>
      </c>
      <c r="C40" s="369" t="s">
        <v>555</v>
      </c>
      <c r="D40" s="369" t="s">
        <v>8</v>
      </c>
      <c r="E40" s="370" t="s">
        <v>569</v>
      </c>
      <c r="F40" s="369" t="s">
        <v>520</v>
      </c>
      <c r="G40" s="369" t="s">
        <v>1058</v>
      </c>
      <c r="BT40" s="372" t="s">
        <v>850</v>
      </c>
      <c r="BV40" s="372" t="s">
        <v>850</v>
      </c>
      <c r="DI40" s="372" t="s">
        <v>850</v>
      </c>
      <c r="DK40" s="372" t="s">
        <v>850</v>
      </c>
      <c r="FQ40" s="375" t="s">
        <v>850</v>
      </c>
      <c r="FR40" s="376" t="s">
        <v>1049</v>
      </c>
      <c r="FS40" s="377" t="s">
        <v>522</v>
      </c>
      <c r="FT40" s="377" t="s">
        <v>571</v>
      </c>
      <c r="FU40" s="377" t="s">
        <v>572</v>
      </c>
      <c r="FV40" s="144">
        <f t="shared" si="4"/>
        <v>0</v>
      </c>
      <c r="FW40" s="371" t="s">
        <v>913</v>
      </c>
    </row>
    <row r="41" spans="1:179" s="371" customFormat="1" hidden="1">
      <c r="A41" s="368" t="s">
        <v>526</v>
      </c>
      <c r="B41" s="369" t="s">
        <v>517</v>
      </c>
      <c r="C41" s="369" t="s">
        <v>555</v>
      </c>
      <c r="D41" s="369" t="s">
        <v>4</v>
      </c>
      <c r="E41" s="370" t="s">
        <v>569</v>
      </c>
      <c r="F41" s="369" t="s">
        <v>520</v>
      </c>
      <c r="G41" s="369" t="s">
        <v>1058</v>
      </c>
      <c r="H41" s="372" t="s">
        <v>850</v>
      </c>
      <c r="I41" s="372" t="s">
        <v>850</v>
      </c>
      <c r="J41" s="372" t="s">
        <v>850</v>
      </c>
      <c r="K41" s="372" t="s">
        <v>850</v>
      </c>
      <c r="L41" s="372" t="s">
        <v>850</v>
      </c>
      <c r="M41" s="372" t="s">
        <v>850</v>
      </c>
      <c r="N41" s="372" t="s">
        <v>850</v>
      </c>
      <c r="O41" s="372" t="s">
        <v>850</v>
      </c>
      <c r="P41" s="372" t="s">
        <v>850</v>
      </c>
      <c r="Q41" s="372" t="s">
        <v>850</v>
      </c>
      <c r="R41" s="372" t="s">
        <v>850</v>
      </c>
      <c r="S41" s="372" t="s">
        <v>850</v>
      </c>
      <c r="T41" s="372" t="s">
        <v>850</v>
      </c>
      <c r="U41" s="372" t="s">
        <v>850</v>
      </c>
      <c r="V41" s="372" t="s">
        <v>850</v>
      </c>
      <c r="W41" s="372" t="s">
        <v>850</v>
      </c>
      <c r="X41" s="372" t="s">
        <v>850</v>
      </c>
      <c r="Y41" s="372" t="s">
        <v>850</v>
      </c>
      <c r="Z41" s="372" t="s">
        <v>850</v>
      </c>
      <c r="AA41" s="372" t="s">
        <v>850</v>
      </c>
      <c r="AB41" s="372" t="s">
        <v>850</v>
      </c>
      <c r="AC41" s="372" t="s">
        <v>850</v>
      </c>
      <c r="AD41" s="372" t="s">
        <v>850</v>
      </c>
      <c r="AE41" s="372" t="s">
        <v>850</v>
      </c>
      <c r="AF41" s="372" t="s">
        <v>850</v>
      </c>
      <c r="AG41" s="372" t="s">
        <v>850</v>
      </c>
      <c r="AH41" s="372" t="s">
        <v>850</v>
      </c>
      <c r="AI41" s="372" t="s">
        <v>850</v>
      </c>
      <c r="AJ41" s="372" t="s">
        <v>850</v>
      </c>
      <c r="AK41" s="372" t="s">
        <v>850</v>
      </c>
      <c r="AL41" s="372" t="s">
        <v>850</v>
      </c>
      <c r="AM41" s="372" t="s">
        <v>850</v>
      </c>
      <c r="AN41" s="372" t="s">
        <v>850</v>
      </c>
      <c r="AO41" s="372" t="s">
        <v>850</v>
      </c>
      <c r="AP41" s="372" t="s">
        <v>850</v>
      </c>
      <c r="AQ41" s="372" t="s">
        <v>850</v>
      </c>
      <c r="AR41" s="372" t="s">
        <v>850</v>
      </c>
      <c r="AS41" s="372" t="s">
        <v>850</v>
      </c>
      <c r="AT41" s="372" t="s">
        <v>850</v>
      </c>
      <c r="AU41" s="372" t="s">
        <v>850</v>
      </c>
      <c r="AV41" s="372" t="s">
        <v>850</v>
      </c>
      <c r="AW41" s="372" t="s">
        <v>850</v>
      </c>
      <c r="AX41" s="372" t="s">
        <v>850</v>
      </c>
      <c r="AY41" s="372" t="s">
        <v>850</v>
      </c>
      <c r="AZ41" s="372" t="s">
        <v>850</v>
      </c>
      <c r="BA41" s="372" t="s">
        <v>850</v>
      </c>
      <c r="BB41" s="372" t="s">
        <v>850</v>
      </c>
      <c r="BC41" s="372" t="s">
        <v>850</v>
      </c>
      <c r="BD41" s="372" t="s">
        <v>850</v>
      </c>
      <c r="BE41" s="372" t="s">
        <v>850</v>
      </c>
      <c r="BF41" s="372" t="s">
        <v>850</v>
      </c>
      <c r="BG41" s="372" t="s">
        <v>850</v>
      </c>
      <c r="BH41" s="372" t="s">
        <v>850</v>
      </c>
      <c r="BI41" s="372" t="s">
        <v>850</v>
      </c>
      <c r="BJ41" s="372" t="s">
        <v>850</v>
      </c>
      <c r="BK41" s="373">
        <f>50-50</f>
        <v>0</v>
      </c>
      <c r="BL41" s="372" t="s">
        <v>850</v>
      </c>
      <c r="BM41" s="373">
        <f>50-50</f>
        <v>0</v>
      </c>
      <c r="BN41" s="372" t="s">
        <v>850</v>
      </c>
      <c r="BO41" s="373">
        <f>50-50</f>
        <v>0</v>
      </c>
      <c r="BP41" s="372" t="s">
        <v>850</v>
      </c>
      <c r="BQ41" s="372" t="s">
        <v>850</v>
      </c>
      <c r="BR41" s="372" t="s">
        <v>850</v>
      </c>
      <c r="BS41" s="372" t="s">
        <v>850</v>
      </c>
      <c r="BT41" s="372" t="s">
        <v>850</v>
      </c>
      <c r="BU41" s="372" t="s">
        <v>850</v>
      </c>
      <c r="BV41" s="372" t="s">
        <v>850</v>
      </c>
      <c r="BW41" s="372" t="s">
        <v>850</v>
      </c>
      <c r="BX41" s="373">
        <f>50-50</f>
        <v>0</v>
      </c>
      <c r="CA41" s="372" t="s">
        <v>850</v>
      </c>
      <c r="CB41" s="372" t="s">
        <v>850</v>
      </c>
      <c r="CD41" s="372" t="s">
        <v>850</v>
      </c>
      <c r="CE41" s="372" t="s">
        <v>850</v>
      </c>
      <c r="CG41" s="372" t="s">
        <v>850</v>
      </c>
      <c r="CH41" s="372" t="s">
        <v>850</v>
      </c>
      <c r="CI41" s="373">
        <f>100-100</f>
        <v>0</v>
      </c>
      <c r="CJ41" s="373">
        <f>100-100</f>
        <v>0</v>
      </c>
      <c r="CK41" s="373">
        <f>100-100</f>
        <v>0</v>
      </c>
      <c r="CL41" s="372" t="s">
        <v>850</v>
      </c>
      <c r="CM41" s="372" t="s">
        <v>850</v>
      </c>
      <c r="CN41" s="373">
        <f>200-200</f>
        <v>0</v>
      </c>
      <c r="CO41" s="373">
        <f>100-100</f>
        <v>0</v>
      </c>
      <c r="CP41" s="373">
        <f>100-100</f>
        <v>0</v>
      </c>
      <c r="CR41" s="373">
        <f>100-100</f>
        <v>0</v>
      </c>
      <c r="CS41" s="372" t="s">
        <v>850</v>
      </c>
      <c r="CT41" s="373">
        <f>200-200</f>
        <v>0</v>
      </c>
      <c r="CU41" s="372" t="s">
        <v>850</v>
      </c>
      <c r="CV41" s="372" t="s">
        <v>850</v>
      </c>
      <c r="CW41" s="372" t="s">
        <v>850</v>
      </c>
      <c r="CY41" s="372" t="s">
        <v>850</v>
      </c>
      <c r="CZ41" s="372" t="s">
        <v>850</v>
      </c>
      <c r="DA41" s="372" t="s">
        <v>850</v>
      </c>
      <c r="DB41" s="372" t="s">
        <v>850</v>
      </c>
      <c r="DC41" s="372" t="s">
        <v>850</v>
      </c>
      <c r="DD41" s="372" t="s">
        <v>850</v>
      </c>
      <c r="DE41" s="372" t="s">
        <v>850</v>
      </c>
      <c r="DF41" s="373">
        <f>200-200</f>
        <v>0</v>
      </c>
      <c r="DG41" s="373">
        <f>200-200</f>
        <v>0</v>
      </c>
      <c r="DH41" s="372" t="s">
        <v>850</v>
      </c>
      <c r="DI41" s="372" t="s">
        <v>850</v>
      </c>
      <c r="DJ41" s="373">
        <f>200-200</f>
        <v>0</v>
      </c>
      <c r="DK41" s="372" t="s">
        <v>850</v>
      </c>
      <c r="DL41" s="372" t="s">
        <v>850</v>
      </c>
      <c r="DM41" s="372" t="s">
        <v>850</v>
      </c>
      <c r="DN41" s="372" t="s">
        <v>850</v>
      </c>
      <c r="DO41" s="372" t="s">
        <v>850</v>
      </c>
      <c r="DP41" s="372" t="s">
        <v>850</v>
      </c>
      <c r="DQ41" s="372" t="s">
        <v>850</v>
      </c>
      <c r="DR41" s="372" t="s">
        <v>850</v>
      </c>
      <c r="DS41" s="372" t="s">
        <v>850</v>
      </c>
      <c r="DT41" s="372" t="s">
        <v>850</v>
      </c>
      <c r="DU41" s="372" t="s">
        <v>850</v>
      </c>
      <c r="DV41" s="372" t="s">
        <v>850</v>
      </c>
      <c r="DW41" s="373">
        <f>200-200</f>
        <v>0</v>
      </c>
      <c r="DX41" s="372" t="s">
        <v>850</v>
      </c>
      <c r="DY41" s="372" t="s">
        <v>850</v>
      </c>
      <c r="DZ41" s="372" t="s">
        <v>850</v>
      </c>
      <c r="EA41" s="372" t="s">
        <v>850</v>
      </c>
      <c r="EB41" s="372" t="s">
        <v>850</v>
      </c>
      <c r="EC41" s="373">
        <f>300-300</f>
        <v>0</v>
      </c>
      <c r="ED41" s="372" t="s">
        <v>850</v>
      </c>
      <c r="EE41" s="372" t="s">
        <v>850</v>
      </c>
      <c r="EF41" s="372" t="s">
        <v>850</v>
      </c>
      <c r="EG41" s="373">
        <f>300-300</f>
        <v>0</v>
      </c>
      <c r="EH41" s="372" t="s">
        <v>850</v>
      </c>
      <c r="EI41" s="372" t="s">
        <v>850</v>
      </c>
      <c r="EJ41" s="372" t="s">
        <v>850</v>
      </c>
      <c r="EK41" s="372" t="s">
        <v>850</v>
      </c>
      <c r="EL41" s="372" t="s">
        <v>850</v>
      </c>
      <c r="EM41" s="372" t="s">
        <v>850</v>
      </c>
      <c r="EN41" s="372" t="s">
        <v>850</v>
      </c>
      <c r="EO41" s="372" t="s">
        <v>850</v>
      </c>
      <c r="EP41" s="372" t="s">
        <v>850</v>
      </c>
      <c r="EQ41" s="372" t="s">
        <v>850</v>
      </c>
      <c r="ER41" s="372" t="s">
        <v>850</v>
      </c>
      <c r="ES41" s="372" t="s">
        <v>850</v>
      </c>
      <c r="ET41" s="372" t="s">
        <v>850</v>
      </c>
      <c r="EU41" s="372" t="s">
        <v>850</v>
      </c>
      <c r="EV41" s="372" t="s">
        <v>850</v>
      </c>
      <c r="EW41" s="372" t="s">
        <v>850</v>
      </c>
      <c r="EX41" s="372" t="s">
        <v>850</v>
      </c>
      <c r="EY41" s="372" t="s">
        <v>850</v>
      </c>
      <c r="EZ41" s="372" t="s">
        <v>850</v>
      </c>
      <c r="FA41" s="372" t="s">
        <v>850</v>
      </c>
      <c r="FB41" s="372" t="s">
        <v>850</v>
      </c>
      <c r="FC41" s="372" t="s">
        <v>850</v>
      </c>
      <c r="FD41" s="372" t="s">
        <v>850</v>
      </c>
      <c r="FE41" s="372" t="s">
        <v>850</v>
      </c>
      <c r="FF41" s="372" t="s">
        <v>850</v>
      </c>
      <c r="FG41" s="372" t="s">
        <v>850</v>
      </c>
      <c r="FH41" s="372" t="s">
        <v>850</v>
      </c>
      <c r="FI41" s="372" t="s">
        <v>850</v>
      </c>
      <c r="FJ41" s="372" t="s">
        <v>850</v>
      </c>
      <c r="FK41" s="372" t="s">
        <v>850</v>
      </c>
      <c r="FL41" s="372" t="s">
        <v>850</v>
      </c>
      <c r="FM41" s="372" t="s">
        <v>850</v>
      </c>
      <c r="FN41" s="372" t="s">
        <v>850</v>
      </c>
      <c r="FO41" s="372" t="s">
        <v>850</v>
      </c>
      <c r="FP41" s="372" t="s">
        <v>850</v>
      </c>
      <c r="FQ41" s="375" t="s">
        <v>850</v>
      </c>
      <c r="FR41" s="376" t="s">
        <v>1049</v>
      </c>
      <c r="FS41" s="377" t="s">
        <v>522</v>
      </c>
      <c r="FT41" s="377" t="s">
        <v>571</v>
      </c>
      <c r="FU41" s="377" t="s">
        <v>572</v>
      </c>
      <c r="FV41" s="144">
        <f t="shared" si="4"/>
        <v>0</v>
      </c>
      <c r="FW41" s="371" t="s">
        <v>913</v>
      </c>
    </row>
    <row r="42" spans="1:179" s="371" customFormat="1" hidden="1">
      <c r="A42" s="368" t="s">
        <v>526</v>
      </c>
      <c r="B42" s="369" t="s">
        <v>517</v>
      </c>
      <c r="C42" s="369" t="s">
        <v>555</v>
      </c>
      <c r="D42" s="369" t="s">
        <v>3</v>
      </c>
      <c r="E42" s="370" t="s">
        <v>569</v>
      </c>
      <c r="F42" s="369" t="s">
        <v>520</v>
      </c>
      <c r="G42" s="369" t="s">
        <v>1059</v>
      </c>
      <c r="H42" s="372"/>
      <c r="I42" s="372"/>
      <c r="J42" s="372"/>
      <c r="K42" s="372"/>
      <c r="L42" s="372"/>
      <c r="M42" s="372"/>
      <c r="N42" s="372"/>
      <c r="O42" s="372"/>
      <c r="P42" s="372"/>
      <c r="Q42" s="372"/>
      <c r="R42" s="372"/>
      <c r="S42" s="372"/>
      <c r="T42" s="372"/>
      <c r="U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2"/>
      <c r="AQ42" s="372"/>
      <c r="AR42" s="372"/>
      <c r="AS42" s="372"/>
      <c r="AT42" s="372"/>
      <c r="AU42" s="372"/>
      <c r="AV42" s="372"/>
      <c r="AW42" s="372"/>
      <c r="AX42" s="372"/>
      <c r="AY42" s="372"/>
      <c r="AZ42" s="372"/>
      <c r="BA42" s="372"/>
      <c r="BB42" s="372"/>
      <c r="BC42" s="372"/>
      <c r="BD42" s="372"/>
      <c r="BE42" s="372"/>
      <c r="BF42" s="372"/>
      <c r="BG42" s="372"/>
      <c r="BH42" s="372"/>
      <c r="BI42" s="372"/>
      <c r="BJ42" s="372"/>
      <c r="BK42" s="372"/>
      <c r="BL42" s="372"/>
      <c r="BM42" s="372"/>
      <c r="BN42" s="372"/>
      <c r="BO42" s="372"/>
      <c r="BP42" s="372"/>
      <c r="BQ42" s="372"/>
      <c r="BR42" s="372"/>
      <c r="BS42" s="372"/>
      <c r="BT42" s="372" t="s">
        <v>850</v>
      </c>
      <c r="BU42" s="372"/>
      <c r="BV42" s="372" t="s">
        <v>850</v>
      </c>
      <c r="BW42" s="372"/>
      <c r="BX42" s="372"/>
      <c r="CA42" s="372"/>
      <c r="CB42" s="372"/>
      <c r="CD42" s="372"/>
      <c r="CE42" s="372"/>
      <c r="CG42" s="372"/>
      <c r="CH42" s="372"/>
      <c r="CI42" s="372"/>
      <c r="CJ42" s="372"/>
      <c r="CK42" s="372"/>
      <c r="CL42" s="372"/>
      <c r="CM42" s="372"/>
      <c r="CN42" s="372"/>
      <c r="CO42" s="372"/>
      <c r="CP42" s="372"/>
      <c r="CR42" s="372"/>
      <c r="CS42" s="372"/>
      <c r="CT42" s="372"/>
      <c r="CU42" s="372"/>
      <c r="CV42" s="372"/>
      <c r="CW42" s="372"/>
      <c r="CY42" s="372"/>
      <c r="CZ42" s="372"/>
      <c r="DA42" s="372"/>
      <c r="DB42" s="372"/>
      <c r="DC42" s="372"/>
      <c r="DD42" s="372"/>
      <c r="DE42" s="372"/>
      <c r="DF42" s="372"/>
      <c r="DG42" s="372"/>
      <c r="DH42" s="372"/>
      <c r="DI42" s="372" t="s">
        <v>850</v>
      </c>
      <c r="DJ42" s="372"/>
      <c r="DK42" s="372" t="s">
        <v>850</v>
      </c>
      <c r="DL42" s="372"/>
      <c r="DM42" s="372"/>
      <c r="DN42" s="372"/>
      <c r="DO42" s="372"/>
      <c r="DP42" s="372"/>
      <c r="DQ42" s="372"/>
      <c r="DR42" s="372"/>
      <c r="DS42" s="372"/>
      <c r="DT42" s="372"/>
      <c r="DU42" s="372"/>
      <c r="DV42" s="372"/>
      <c r="DW42" s="372"/>
      <c r="DX42" s="372"/>
      <c r="DY42" s="372"/>
      <c r="DZ42" s="372"/>
      <c r="EA42" s="372"/>
      <c r="EB42" s="372"/>
      <c r="EC42" s="372"/>
      <c r="ED42" s="372"/>
      <c r="EE42" s="372"/>
      <c r="EF42" s="372"/>
      <c r="EG42" s="372"/>
      <c r="EH42" s="372"/>
      <c r="EI42" s="372"/>
      <c r="EJ42" s="372"/>
      <c r="EK42" s="372"/>
      <c r="EL42" s="372"/>
      <c r="EM42" s="372"/>
      <c r="EN42" s="372"/>
      <c r="EO42" s="372"/>
      <c r="EP42" s="372"/>
      <c r="EQ42" s="372"/>
      <c r="ER42" s="372"/>
      <c r="ES42" s="372"/>
      <c r="ET42" s="372"/>
      <c r="EU42" s="372"/>
      <c r="EV42" s="372"/>
      <c r="EW42" s="372"/>
      <c r="EX42" s="372"/>
      <c r="EY42" s="372"/>
      <c r="EZ42" s="372"/>
      <c r="FA42" s="372"/>
      <c r="FB42" s="372"/>
      <c r="FC42" s="372"/>
      <c r="FD42" s="372"/>
      <c r="FE42" s="372"/>
      <c r="FF42" s="372"/>
      <c r="FG42" s="372"/>
      <c r="FH42" s="372"/>
      <c r="FI42" s="372"/>
      <c r="FJ42" s="372"/>
      <c r="FK42" s="372"/>
      <c r="FL42" s="372"/>
      <c r="FM42" s="372"/>
      <c r="FN42" s="372"/>
      <c r="FO42" s="372"/>
      <c r="FP42" s="372"/>
      <c r="FQ42" s="375" t="s">
        <v>850</v>
      </c>
      <c r="FR42" s="376" t="s">
        <v>1049</v>
      </c>
      <c r="FS42" s="377" t="s">
        <v>522</v>
      </c>
      <c r="FT42" s="377" t="s">
        <v>571</v>
      </c>
      <c r="FU42" s="377" t="s">
        <v>572</v>
      </c>
      <c r="FV42" s="144">
        <f t="shared" si="4"/>
        <v>0</v>
      </c>
      <c r="FW42" s="371" t="s">
        <v>913</v>
      </c>
    </row>
    <row r="43" spans="1:179" s="371" customFormat="1">
      <c r="A43" s="368" t="s">
        <v>526</v>
      </c>
      <c r="B43" s="369" t="s">
        <v>517</v>
      </c>
      <c r="C43" s="369" t="s">
        <v>555</v>
      </c>
      <c r="D43" s="369" t="s">
        <v>8</v>
      </c>
      <c r="E43" s="370" t="s">
        <v>578</v>
      </c>
      <c r="F43" s="369" t="s">
        <v>520</v>
      </c>
      <c r="G43" s="369"/>
      <c r="BT43" s="372"/>
      <c r="BV43" s="372"/>
      <c r="DI43" s="372" t="s">
        <v>850</v>
      </c>
      <c r="DK43" s="372" t="s">
        <v>850</v>
      </c>
      <c r="DL43" s="418">
        <v>20</v>
      </c>
      <c r="FQ43" s="375" t="s">
        <v>850</v>
      </c>
      <c r="FR43" s="376" t="s">
        <v>1049</v>
      </c>
      <c r="FS43" s="377" t="s">
        <v>522</v>
      </c>
      <c r="FT43" s="377" t="s">
        <v>850</v>
      </c>
      <c r="FU43" s="377" t="s">
        <v>915</v>
      </c>
      <c r="FV43" s="144">
        <f t="shared" si="4"/>
        <v>20</v>
      </c>
      <c r="FW43" s="371" t="s">
        <v>911</v>
      </c>
    </row>
    <row r="44" spans="1:179" s="371" customFormat="1">
      <c r="A44" s="368" t="s">
        <v>526</v>
      </c>
      <c r="B44" s="369" t="s">
        <v>517</v>
      </c>
      <c r="C44" s="369" t="s">
        <v>555</v>
      </c>
      <c r="D44" s="369" t="s">
        <v>4</v>
      </c>
      <c r="E44" s="370" t="s">
        <v>578</v>
      </c>
      <c r="F44" s="369" t="s">
        <v>520</v>
      </c>
      <c r="G44" s="369"/>
      <c r="H44" s="372" t="s">
        <v>850</v>
      </c>
      <c r="I44" s="372" t="s">
        <v>850</v>
      </c>
      <c r="J44" s="373">
        <f>10-10</f>
        <v>0</v>
      </c>
      <c r="K44" s="373">
        <f>1-1</f>
        <v>0</v>
      </c>
      <c r="L44" s="372" t="s">
        <v>850</v>
      </c>
      <c r="M44" s="372" t="s">
        <v>850</v>
      </c>
      <c r="N44" s="373">
        <f>295-295</f>
        <v>0</v>
      </c>
      <c r="O44" s="373">
        <f>285-285</f>
        <v>0</v>
      </c>
      <c r="P44" s="373">
        <f>253-253</f>
        <v>0</v>
      </c>
      <c r="Q44" s="372"/>
      <c r="R44" s="372" t="s">
        <v>850</v>
      </c>
      <c r="S44" s="372" t="s">
        <v>850</v>
      </c>
      <c r="T44" s="373">
        <f>274-274</f>
        <v>0</v>
      </c>
      <c r="U44" s="372"/>
      <c r="V44" s="372"/>
      <c r="W44" s="372" t="s">
        <v>850</v>
      </c>
      <c r="X44" s="372" t="s">
        <v>850</v>
      </c>
      <c r="Y44" s="373">
        <f>702-702</f>
        <v>0</v>
      </c>
      <c r="Z44" s="373">
        <f>455-455+20</f>
        <v>20</v>
      </c>
      <c r="AA44" s="372" t="s">
        <v>850</v>
      </c>
      <c r="AB44" s="373">
        <f>965-965</f>
        <v>0</v>
      </c>
      <c r="AC44" s="373">
        <f>1800-1800</f>
        <v>0</v>
      </c>
      <c r="AD44" s="373">
        <f>1910-1910+40</f>
        <v>40</v>
      </c>
      <c r="AE44" s="373">
        <f>1885-1885+20</f>
        <v>20</v>
      </c>
      <c r="AF44" s="372" t="s">
        <v>850</v>
      </c>
      <c r="AG44" s="372" t="s">
        <v>850</v>
      </c>
      <c r="AH44" s="372"/>
      <c r="AI44" s="372" t="s">
        <v>850</v>
      </c>
      <c r="AJ44" s="372" t="s">
        <v>850</v>
      </c>
      <c r="AK44" s="372" t="s">
        <v>850</v>
      </c>
      <c r="AL44" s="373">
        <f>400-400</f>
        <v>0</v>
      </c>
      <c r="AM44" s="373">
        <f>500-500</f>
        <v>0</v>
      </c>
      <c r="AN44" s="373">
        <f>370-370</f>
        <v>0</v>
      </c>
      <c r="AO44" s="372" t="s">
        <v>850</v>
      </c>
      <c r="AP44" s="372" t="s">
        <v>850</v>
      </c>
      <c r="AQ44" s="372" t="s">
        <v>850</v>
      </c>
      <c r="AR44" s="372" t="s">
        <v>850</v>
      </c>
      <c r="AS44" s="373">
        <f>1500-1500</f>
        <v>0</v>
      </c>
      <c r="AT44" s="373">
        <f>1500-1500</f>
        <v>0</v>
      </c>
      <c r="AU44" s="373">
        <f>3-3</f>
        <v>0</v>
      </c>
      <c r="AV44" s="372" t="s">
        <v>850</v>
      </c>
      <c r="AW44" s="373">
        <f>10-10</f>
        <v>0</v>
      </c>
      <c r="AX44" s="373">
        <f>15-15+4</f>
        <v>4</v>
      </c>
      <c r="AY44" s="373">
        <f>55-55+2</f>
        <v>2</v>
      </c>
      <c r="AZ44" s="373">
        <f>20-20</f>
        <v>0</v>
      </c>
      <c r="BA44" s="416">
        <v>10</v>
      </c>
      <c r="BB44" s="373">
        <f>37-37</f>
        <v>0</v>
      </c>
      <c r="BC44" s="373">
        <f>8-8</f>
        <v>0</v>
      </c>
      <c r="BD44" s="373">
        <f>25-25</f>
        <v>0</v>
      </c>
      <c r="BE44" s="372"/>
      <c r="BF44" s="372" t="s">
        <v>850</v>
      </c>
      <c r="BG44" s="372" t="s">
        <v>850</v>
      </c>
      <c r="BH44" s="373">
        <f>6-6</f>
        <v>0</v>
      </c>
      <c r="BI44" s="372" t="s">
        <v>850</v>
      </c>
      <c r="BJ44" s="373">
        <f>155-155+2</f>
        <v>2</v>
      </c>
      <c r="BK44" s="373">
        <f>123-123+15</f>
        <v>15</v>
      </c>
      <c r="BL44" s="373">
        <f>765-765+45</f>
        <v>45</v>
      </c>
      <c r="BM44" s="373">
        <f>50-50+25</f>
        <v>25</v>
      </c>
      <c r="BN44" s="373">
        <f>200-200</f>
        <v>0</v>
      </c>
      <c r="BO44" s="373">
        <f>72-72</f>
        <v>0</v>
      </c>
      <c r="BP44" s="372"/>
      <c r="BQ44" s="372" t="s">
        <v>850</v>
      </c>
      <c r="BR44" s="372" t="s">
        <v>850</v>
      </c>
      <c r="BS44" s="373">
        <f>10-10+4</f>
        <v>4</v>
      </c>
      <c r="BT44" s="372"/>
      <c r="BU44" s="373">
        <f>10-10</f>
        <v>0</v>
      </c>
      <c r="BV44" s="416">
        <v>3</v>
      </c>
      <c r="BW44" s="373">
        <f>133-133</f>
        <v>0</v>
      </c>
      <c r="BX44" s="373">
        <f>198-198+12</f>
        <v>12</v>
      </c>
      <c r="CA44" s="373">
        <f>138-138</f>
        <v>0</v>
      </c>
      <c r="CB44" s="416">
        <v>20</v>
      </c>
      <c r="CD44" s="373">
        <f>80-80</f>
        <v>0</v>
      </c>
      <c r="CE44" s="373">
        <f>140-140</f>
        <v>0</v>
      </c>
      <c r="CG44" s="373">
        <f>150-150</f>
        <v>0</v>
      </c>
      <c r="CH44" s="373">
        <f>10-10</f>
        <v>0</v>
      </c>
      <c r="CI44" s="373">
        <f>360-360+20</f>
        <v>20</v>
      </c>
      <c r="CJ44" s="373">
        <f>370-370+30</f>
        <v>30</v>
      </c>
      <c r="CK44" s="373">
        <f>450-450</f>
        <v>0</v>
      </c>
      <c r="CL44" s="373">
        <f>500-500</f>
        <v>0</v>
      </c>
      <c r="CM44" s="373">
        <f>327-327</f>
        <v>0</v>
      </c>
      <c r="CN44" s="373">
        <f>428-428+30</f>
        <v>30</v>
      </c>
      <c r="CO44" s="373">
        <f>125-125+60</f>
        <v>60</v>
      </c>
      <c r="CP44" s="373">
        <f>865-865+5</f>
        <v>5</v>
      </c>
      <c r="CR44" s="373">
        <f>933-933</f>
        <v>0</v>
      </c>
      <c r="CS44" s="373">
        <f>981-981</f>
        <v>0</v>
      </c>
      <c r="CT44" s="373">
        <f>1975-1975</f>
        <v>0</v>
      </c>
      <c r="CU44" s="373">
        <f>1145-1145+60</f>
        <v>60</v>
      </c>
      <c r="CV44" s="373">
        <f>1690-1690+100</f>
        <v>100</v>
      </c>
      <c r="CW44" s="373">
        <f>990-990+100</f>
        <v>100</v>
      </c>
      <c r="CY44" s="373">
        <f>1710-1710+40</f>
        <v>40</v>
      </c>
      <c r="CZ44" s="373">
        <f>3990-3990</f>
        <v>0</v>
      </c>
      <c r="DA44" s="373">
        <f>2000-2000</f>
        <v>0</v>
      </c>
      <c r="DB44" s="372" t="s">
        <v>850</v>
      </c>
      <c r="DC44" s="372" t="s">
        <v>850</v>
      </c>
      <c r="DD44" s="373">
        <f>4165-4165</f>
        <v>0</v>
      </c>
      <c r="DE44" s="372" t="s">
        <v>850</v>
      </c>
      <c r="DF44" s="373">
        <f>1606-1606</f>
        <v>0</v>
      </c>
      <c r="DG44" s="373">
        <f>240-240+40</f>
        <v>40</v>
      </c>
      <c r="DH44" s="373">
        <f>1650-1650</f>
        <v>0</v>
      </c>
      <c r="DI44" s="372" t="s">
        <v>850</v>
      </c>
      <c r="DJ44" s="373">
        <f>780-780+50</f>
        <v>50</v>
      </c>
      <c r="DK44" s="372" t="s">
        <v>850</v>
      </c>
      <c r="DL44" s="373">
        <f>1583-1583</f>
        <v>0</v>
      </c>
      <c r="DM44" s="372" t="s">
        <v>850</v>
      </c>
      <c r="DN44" s="372"/>
      <c r="DO44" s="372" t="s">
        <v>850</v>
      </c>
      <c r="DP44" s="373">
        <f>500-500</f>
        <v>0</v>
      </c>
      <c r="DQ44" s="373">
        <f>480-480</f>
        <v>0</v>
      </c>
      <c r="DR44" s="416">
        <f>300-300+300</f>
        <v>300</v>
      </c>
      <c r="DS44" s="373">
        <f>1200-1200</f>
        <v>0</v>
      </c>
      <c r="DT44" s="372" t="s">
        <v>850</v>
      </c>
      <c r="DU44" s="372"/>
      <c r="DV44" s="373">
        <f>1912-1912</f>
        <v>0</v>
      </c>
      <c r="DW44" s="373">
        <f>1640-1640+70</f>
        <v>70</v>
      </c>
      <c r="DX44" s="416">
        <f>1951-1951+10</f>
        <v>10</v>
      </c>
      <c r="DY44" s="373">
        <f>1800-1800</f>
        <v>0</v>
      </c>
      <c r="DZ44" s="373">
        <f>1848-1848</f>
        <v>0</v>
      </c>
      <c r="EA44" s="373">
        <f>1240-1240+100</f>
        <v>100</v>
      </c>
      <c r="EB44" s="373">
        <f>1957-1957</f>
        <v>0</v>
      </c>
      <c r="EC44" s="373">
        <f>1820-1820</f>
        <v>0</v>
      </c>
      <c r="ED44" s="373">
        <f>1770-1770</f>
        <v>0</v>
      </c>
      <c r="EE44" s="373">
        <f>2000-2000</f>
        <v>0</v>
      </c>
      <c r="EF44" s="372" t="s">
        <v>850</v>
      </c>
      <c r="EG44" s="373">
        <f>1350-1350</f>
        <v>0</v>
      </c>
      <c r="EH44" s="373">
        <f>1280-1280</f>
        <v>0</v>
      </c>
      <c r="EI44" s="373">
        <f>1740-1740</f>
        <v>0</v>
      </c>
      <c r="EJ44" s="372" t="s">
        <v>850</v>
      </c>
      <c r="EK44" s="373">
        <f>1910-1910</f>
        <v>0</v>
      </c>
      <c r="EL44" s="373">
        <f>1990-1990</f>
        <v>0</v>
      </c>
      <c r="EM44" s="373">
        <f>1897-1897</f>
        <v>0</v>
      </c>
      <c r="EN44" s="372" t="s">
        <v>850</v>
      </c>
      <c r="EO44" s="373">
        <f>1940-1940</f>
        <v>0</v>
      </c>
      <c r="EP44" s="373">
        <f>1900-1900</f>
        <v>0</v>
      </c>
      <c r="EQ44" s="373">
        <f>1930-1930</f>
        <v>0</v>
      </c>
      <c r="ER44" s="373">
        <f>1997-1997</f>
        <v>0</v>
      </c>
      <c r="ES44" s="373">
        <f>1997-1997</f>
        <v>0</v>
      </c>
      <c r="ET44" s="373">
        <f>1978-1978</f>
        <v>0</v>
      </c>
      <c r="EU44" s="373">
        <f>1960-1960</f>
        <v>0</v>
      </c>
      <c r="EV44" s="416">
        <f>1740-1740+100</f>
        <v>100</v>
      </c>
      <c r="EW44" s="373">
        <f>1910-1910</f>
        <v>0</v>
      </c>
      <c r="EX44" s="372" t="s">
        <v>850</v>
      </c>
      <c r="EY44" s="372"/>
      <c r="EZ44" s="372"/>
      <c r="FA44" s="372" t="s">
        <v>850</v>
      </c>
      <c r="FB44" s="372"/>
      <c r="FC44" s="372" t="s">
        <v>850</v>
      </c>
      <c r="FD44" s="372"/>
      <c r="FE44" s="372"/>
      <c r="FF44" s="372"/>
      <c r="FG44" s="372" t="s">
        <v>850</v>
      </c>
      <c r="FH44" s="372" t="s">
        <v>850</v>
      </c>
      <c r="FI44" s="372" t="s">
        <v>850</v>
      </c>
      <c r="FJ44" s="372" t="s">
        <v>850</v>
      </c>
      <c r="FK44" s="372" t="s">
        <v>850</v>
      </c>
      <c r="FL44" s="372" t="s">
        <v>850</v>
      </c>
      <c r="FM44" s="372" t="s">
        <v>850</v>
      </c>
      <c r="FN44" s="372" t="s">
        <v>850</v>
      </c>
      <c r="FO44" s="372" t="s">
        <v>850</v>
      </c>
      <c r="FP44" s="372" t="s">
        <v>850</v>
      </c>
      <c r="FQ44" s="375" t="s">
        <v>850</v>
      </c>
      <c r="FR44" s="376" t="s">
        <v>1049</v>
      </c>
      <c r="FS44" s="377" t="s">
        <v>522</v>
      </c>
      <c r="FT44" s="377" t="s">
        <v>850</v>
      </c>
      <c r="FU44" s="377" t="s">
        <v>915</v>
      </c>
      <c r="FV44" s="144">
        <f t="shared" si="4"/>
        <v>1337</v>
      </c>
      <c r="FW44" s="371" t="s">
        <v>911</v>
      </c>
    </row>
    <row r="45" spans="1:179" s="371" customFormat="1">
      <c r="A45" s="368" t="s">
        <v>526</v>
      </c>
      <c r="B45" s="369" t="s">
        <v>517</v>
      </c>
      <c r="C45" s="369" t="s">
        <v>555</v>
      </c>
      <c r="D45" s="369" t="s">
        <v>3</v>
      </c>
      <c r="E45" s="370" t="s">
        <v>578</v>
      </c>
      <c r="F45" s="369" t="s">
        <v>520</v>
      </c>
      <c r="G45" s="369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2"/>
      <c r="AQ45" s="372"/>
      <c r="AR45" s="372"/>
      <c r="AS45" s="372"/>
      <c r="AT45" s="372"/>
      <c r="AU45" s="372"/>
      <c r="AV45" s="372"/>
      <c r="AW45" s="372"/>
      <c r="AX45" s="372"/>
      <c r="AY45" s="372"/>
      <c r="AZ45" s="372"/>
      <c r="BA45" s="372"/>
      <c r="BB45" s="372"/>
      <c r="BC45" s="372"/>
      <c r="BD45" s="372"/>
      <c r="BE45" s="372"/>
      <c r="BF45" s="372"/>
      <c r="BG45" s="372"/>
      <c r="BH45" s="372"/>
      <c r="BI45" s="372"/>
      <c r="BJ45" s="372"/>
      <c r="BK45" s="372"/>
      <c r="BL45" s="372"/>
      <c r="BM45" s="372"/>
      <c r="BN45" s="372"/>
      <c r="BO45" s="372"/>
      <c r="BP45" s="372"/>
      <c r="BQ45" s="372"/>
      <c r="BR45" s="372"/>
      <c r="BS45" s="372"/>
      <c r="BT45" s="372"/>
      <c r="BU45" s="372"/>
      <c r="BV45" s="372"/>
      <c r="BW45" s="372"/>
      <c r="BX45" s="372"/>
      <c r="CA45" s="372"/>
      <c r="CB45" s="372"/>
      <c r="CD45" s="372"/>
      <c r="CE45" s="372"/>
      <c r="CG45" s="372"/>
      <c r="CH45" s="372"/>
      <c r="CI45" s="372"/>
      <c r="CJ45" s="372"/>
      <c r="CK45" s="372"/>
      <c r="CL45" s="372"/>
      <c r="CM45" s="372"/>
      <c r="CN45" s="372"/>
      <c r="CO45" s="372"/>
      <c r="CP45" s="372"/>
      <c r="CR45" s="372"/>
      <c r="CS45" s="372"/>
      <c r="CT45" s="372"/>
      <c r="CU45" s="372"/>
      <c r="CV45" s="372"/>
      <c r="CW45" s="372"/>
      <c r="CY45" s="372"/>
      <c r="CZ45" s="372"/>
      <c r="DA45" s="372"/>
      <c r="DB45" s="372"/>
      <c r="DC45" s="372"/>
      <c r="DD45" s="372"/>
      <c r="DE45" s="372"/>
      <c r="DF45" s="372"/>
      <c r="DG45" s="372"/>
      <c r="DH45" s="372"/>
      <c r="DI45" s="372" t="s">
        <v>850</v>
      </c>
      <c r="DJ45" s="372"/>
      <c r="DK45" s="372" t="s">
        <v>850</v>
      </c>
      <c r="DL45" s="372"/>
      <c r="DM45" s="372"/>
      <c r="DN45" s="372"/>
      <c r="DO45" s="372"/>
      <c r="DP45" s="372"/>
      <c r="DQ45" s="372"/>
      <c r="DR45" s="372"/>
      <c r="DS45" s="372"/>
      <c r="DT45" s="372"/>
      <c r="DU45" s="372"/>
      <c r="DV45" s="372"/>
      <c r="DW45" s="372"/>
      <c r="DX45" s="372"/>
      <c r="DY45" s="372"/>
      <c r="DZ45" s="372"/>
      <c r="EA45" s="372"/>
      <c r="EB45" s="372"/>
      <c r="EC45" s="372"/>
      <c r="ED45" s="372"/>
      <c r="EE45" s="372"/>
      <c r="EF45" s="372"/>
      <c r="EG45" s="372"/>
      <c r="EH45" s="372"/>
      <c r="EI45" s="372"/>
      <c r="EJ45" s="372"/>
      <c r="EK45" s="372"/>
      <c r="EL45" s="372"/>
      <c r="EM45" s="372"/>
      <c r="EN45" s="372"/>
      <c r="EO45" s="372"/>
      <c r="EP45" s="372"/>
      <c r="EQ45" s="372"/>
      <c r="ER45" s="372"/>
      <c r="ES45" s="372"/>
      <c r="ET45" s="372"/>
      <c r="EU45" s="372"/>
      <c r="EV45" s="372"/>
      <c r="EW45" s="372"/>
      <c r="EX45" s="372"/>
      <c r="EY45" s="372"/>
      <c r="EZ45" s="372"/>
      <c r="FA45" s="372"/>
      <c r="FB45" s="372"/>
      <c r="FC45" s="372"/>
      <c r="FD45" s="372"/>
      <c r="FE45" s="372"/>
      <c r="FF45" s="372"/>
      <c r="FG45" s="372"/>
      <c r="FH45" s="372"/>
      <c r="FI45" s="372"/>
      <c r="FJ45" s="372"/>
      <c r="FK45" s="372"/>
      <c r="FL45" s="372"/>
      <c r="FM45" s="372"/>
      <c r="FN45" s="372"/>
      <c r="FO45" s="372"/>
      <c r="FP45" s="372"/>
      <c r="FQ45" s="375" t="s">
        <v>850</v>
      </c>
      <c r="FR45" s="376" t="s">
        <v>1049</v>
      </c>
      <c r="FS45" s="377" t="s">
        <v>522</v>
      </c>
      <c r="FT45" s="377" t="s">
        <v>850</v>
      </c>
      <c r="FU45" s="377" t="s">
        <v>915</v>
      </c>
      <c r="FV45" s="144">
        <f t="shared" si="4"/>
        <v>0</v>
      </c>
      <c r="FW45" s="371" t="s">
        <v>911</v>
      </c>
    </row>
    <row r="46" spans="1:179" s="371" customFormat="1">
      <c r="A46" s="368" t="s">
        <v>916</v>
      </c>
      <c r="B46" s="369" t="s">
        <v>517</v>
      </c>
      <c r="C46" s="369" t="s">
        <v>555</v>
      </c>
      <c r="D46" s="369" t="s">
        <v>8</v>
      </c>
      <c r="E46" s="370" t="s">
        <v>582</v>
      </c>
      <c r="F46" s="369" t="s">
        <v>520</v>
      </c>
      <c r="G46" s="419" t="s">
        <v>1060</v>
      </c>
      <c r="BT46" s="372"/>
      <c r="BV46" s="372"/>
      <c r="DI46" s="372" t="s">
        <v>850</v>
      </c>
      <c r="DK46" s="372" t="s">
        <v>850</v>
      </c>
      <c r="FQ46" s="375" t="s">
        <v>850</v>
      </c>
      <c r="FR46" s="376" t="s">
        <v>1049</v>
      </c>
      <c r="FS46" s="377" t="s">
        <v>522</v>
      </c>
      <c r="FT46" s="377" t="s">
        <v>850</v>
      </c>
      <c r="FU46" s="377" t="s">
        <v>585</v>
      </c>
      <c r="FV46" s="144">
        <f t="shared" si="4"/>
        <v>0</v>
      </c>
      <c r="FW46" s="371" t="s">
        <v>905</v>
      </c>
    </row>
    <row r="47" spans="1:179" s="371" customFormat="1">
      <c r="A47" s="368" t="s">
        <v>916</v>
      </c>
      <c r="B47" s="369" t="s">
        <v>517</v>
      </c>
      <c r="C47" s="369" t="s">
        <v>555</v>
      </c>
      <c r="D47" s="369" t="s">
        <v>4</v>
      </c>
      <c r="E47" s="370" t="s">
        <v>582</v>
      </c>
      <c r="F47" s="369" t="s">
        <v>520</v>
      </c>
      <c r="G47" s="419" t="s">
        <v>1060</v>
      </c>
      <c r="H47" s="372" t="s">
        <v>850</v>
      </c>
      <c r="I47" s="372" t="s">
        <v>850</v>
      </c>
      <c r="J47" s="372" t="s">
        <v>850</v>
      </c>
      <c r="K47" s="372" t="s">
        <v>850</v>
      </c>
      <c r="L47" s="372" t="s">
        <v>850</v>
      </c>
      <c r="M47" s="372" t="s">
        <v>850</v>
      </c>
      <c r="N47" s="372" t="s">
        <v>850</v>
      </c>
      <c r="O47" s="372" t="s">
        <v>850</v>
      </c>
      <c r="P47" s="372" t="s">
        <v>850</v>
      </c>
      <c r="Q47" s="372"/>
      <c r="R47" s="372" t="s">
        <v>850</v>
      </c>
      <c r="S47" s="372" t="s">
        <v>850</v>
      </c>
      <c r="T47" s="372"/>
      <c r="U47" s="373">
        <f>5-5</f>
        <v>0</v>
      </c>
      <c r="V47" s="372"/>
      <c r="W47" s="372" t="s">
        <v>850</v>
      </c>
      <c r="X47" s="372" t="s">
        <v>850</v>
      </c>
      <c r="Y47" s="373">
        <f>10-10</f>
        <v>0</v>
      </c>
      <c r="Z47" s="373">
        <f>10-10+5</f>
        <v>5</v>
      </c>
      <c r="AA47" s="372" t="s">
        <v>850</v>
      </c>
      <c r="AB47" s="372"/>
      <c r="AC47" s="373">
        <f>30-30</f>
        <v>0</v>
      </c>
      <c r="AD47" s="373">
        <f>30-30+10</f>
        <v>10</v>
      </c>
      <c r="AE47" s="373">
        <f>30-30+5</f>
        <v>5</v>
      </c>
      <c r="AF47" s="372" t="s">
        <v>850</v>
      </c>
      <c r="AG47" s="372" t="s">
        <v>850</v>
      </c>
      <c r="AH47" s="372"/>
      <c r="AI47" s="372" t="s">
        <v>850</v>
      </c>
      <c r="AJ47" s="372" t="s">
        <v>850</v>
      </c>
      <c r="AK47" s="372" t="s">
        <v>850</v>
      </c>
      <c r="AL47" s="372" t="s">
        <v>850</v>
      </c>
      <c r="AM47" s="372" t="s">
        <v>850</v>
      </c>
      <c r="AN47" s="372" t="s">
        <v>850</v>
      </c>
      <c r="AO47" s="372" t="s">
        <v>850</v>
      </c>
      <c r="AP47" s="372" t="s">
        <v>850</v>
      </c>
      <c r="AQ47" s="372" t="s">
        <v>850</v>
      </c>
      <c r="AR47" s="372" t="s">
        <v>850</v>
      </c>
      <c r="AS47" s="372" t="s">
        <v>850</v>
      </c>
      <c r="AT47" s="372" t="s">
        <v>850</v>
      </c>
      <c r="AU47" s="372" t="s">
        <v>850</v>
      </c>
      <c r="AV47" s="372" t="s">
        <v>850</v>
      </c>
      <c r="AW47" s="372" t="s">
        <v>850</v>
      </c>
      <c r="AX47" s="372"/>
      <c r="AY47" s="372"/>
      <c r="AZ47" s="372" t="s">
        <v>850</v>
      </c>
      <c r="BA47" s="416">
        <v>2</v>
      </c>
      <c r="BB47" s="373">
        <f>10-10</f>
        <v>0</v>
      </c>
      <c r="BC47" s="372"/>
      <c r="BD47" s="372" t="s">
        <v>850</v>
      </c>
      <c r="BE47" s="372"/>
      <c r="BF47" s="372" t="s">
        <v>850</v>
      </c>
      <c r="BG47" s="372" t="s">
        <v>850</v>
      </c>
      <c r="BH47" s="372" t="s">
        <v>850</v>
      </c>
      <c r="BI47" s="372" t="s">
        <v>850</v>
      </c>
      <c r="BJ47" s="372"/>
      <c r="BK47" s="372"/>
      <c r="BL47" s="373">
        <f>20-20+10</f>
        <v>10</v>
      </c>
      <c r="BM47" s="373">
        <f>20-20+10</f>
        <v>10</v>
      </c>
      <c r="BN47" s="372"/>
      <c r="BO47" s="373">
        <f>10-10+10</f>
        <v>10</v>
      </c>
      <c r="BP47" s="372"/>
      <c r="BQ47" s="372" t="s">
        <v>850</v>
      </c>
      <c r="BR47" s="372" t="s">
        <v>850</v>
      </c>
      <c r="BS47" s="372"/>
      <c r="BT47" s="372"/>
      <c r="BU47" s="372" t="s">
        <v>850</v>
      </c>
      <c r="BV47" s="372"/>
      <c r="BW47" s="373">
        <f>10-10</f>
        <v>0</v>
      </c>
      <c r="BX47" s="373">
        <f>6-6+4</f>
        <v>4</v>
      </c>
      <c r="CA47" s="372" t="s">
        <v>850</v>
      </c>
      <c r="CB47" s="373">
        <f>30-30+10</f>
        <v>10</v>
      </c>
      <c r="CD47" s="373">
        <f>20-20</f>
        <v>0</v>
      </c>
      <c r="CE47" s="372" t="s">
        <v>850</v>
      </c>
      <c r="CG47" s="373">
        <f>20-20</f>
        <v>0</v>
      </c>
      <c r="CH47" s="372"/>
      <c r="CI47" s="373">
        <f>10-10+5</f>
        <v>5</v>
      </c>
      <c r="CJ47" s="373">
        <f>20-20+10</f>
        <v>10</v>
      </c>
      <c r="CK47" s="373">
        <f>20-20</f>
        <v>0</v>
      </c>
      <c r="CL47" s="373">
        <f>20-20</f>
        <v>0</v>
      </c>
      <c r="CM47" s="372"/>
      <c r="CN47" s="373">
        <f>20-20+5</f>
        <v>5</v>
      </c>
      <c r="CO47" s="373">
        <f>40-40+20</f>
        <v>20</v>
      </c>
      <c r="CP47" s="372"/>
      <c r="CR47" s="373">
        <f>40-40</f>
        <v>0</v>
      </c>
      <c r="CS47" s="373">
        <f>20-20</f>
        <v>0</v>
      </c>
      <c r="CT47" s="372" t="s">
        <v>850</v>
      </c>
      <c r="CU47" s="373">
        <f>20-20+20</f>
        <v>20</v>
      </c>
      <c r="CV47" s="373">
        <f>30-30+20</f>
        <v>20</v>
      </c>
      <c r="CW47" s="373">
        <f>60-60+20</f>
        <v>20</v>
      </c>
      <c r="CY47" s="373">
        <f>30-30+10</f>
        <v>10</v>
      </c>
      <c r="CZ47" s="373">
        <f>50-50+10</f>
        <v>10</v>
      </c>
      <c r="DA47" s="372"/>
      <c r="DB47" s="372" t="s">
        <v>850</v>
      </c>
      <c r="DC47" s="372" t="s">
        <v>850</v>
      </c>
      <c r="DD47" s="373">
        <f>20-20+10</f>
        <v>10</v>
      </c>
      <c r="DE47" s="372" t="s">
        <v>850</v>
      </c>
      <c r="DF47" s="373">
        <f>20-20</f>
        <v>0</v>
      </c>
      <c r="DG47" s="373">
        <f>100-100+20</f>
        <v>20</v>
      </c>
      <c r="DH47" s="373">
        <f>60-60</f>
        <v>0</v>
      </c>
      <c r="DI47" s="372" t="s">
        <v>850</v>
      </c>
      <c r="DJ47" s="373">
        <f>100-100+20</f>
        <v>20</v>
      </c>
      <c r="DK47" s="372" t="s">
        <v>850</v>
      </c>
      <c r="DL47" s="372"/>
      <c r="DM47" s="372" t="s">
        <v>850</v>
      </c>
      <c r="DN47" s="372"/>
      <c r="DO47" s="372" t="s">
        <v>850</v>
      </c>
      <c r="DP47" s="373">
        <f>60-60</f>
        <v>0</v>
      </c>
      <c r="DQ47" s="372" t="s">
        <v>850</v>
      </c>
      <c r="DR47" s="416">
        <f>60-60+60</f>
        <v>60</v>
      </c>
      <c r="DS47" s="373">
        <f>40-40</f>
        <v>0</v>
      </c>
      <c r="DT47" s="372" t="s">
        <v>850</v>
      </c>
      <c r="DU47" s="372"/>
      <c r="DV47" s="372" t="s">
        <v>850</v>
      </c>
      <c r="DW47" s="373">
        <f>100-100+20</f>
        <v>20</v>
      </c>
      <c r="DX47" s="372"/>
      <c r="DY47" s="373">
        <f>100-100</f>
        <v>0</v>
      </c>
      <c r="DZ47" s="372" t="s">
        <v>850</v>
      </c>
      <c r="EA47" s="373">
        <f>40-40+20</f>
        <v>20</v>
      </c>
      <c r="EB47" s="372" t="s">
        <v>850</v>
      </c>
      <c r="EC47" s="373">
        <f>60-60</f>
        <v>0</v>
      </c>
      <c r="ED47" s="373">
        <f>100-100</f>
        <v>0</v>
      </c>
      <c r="EE47" s="373">
        <f>40-40</f>
        <v>0</v>
      </c>
      <c r="EF47" s="373">
        <f>20-20</f>
        <v>0</v>
      </c>
      <c r="EG47" s="373">
        <f>60-60</f>
        <v>0</v>
      </c>
      <c r="EH47" s="373">
        <f>100-100</f>
        <v>0</v>
      </c>
      <c r="EI47" s="373">
        <f>100-100</f>
        <v>0</v>
      </c>
      <c r="EJ47" s="372" t="s">
        <v>850</v>
      </c>
      <c r="EK47" s="372" t="s">
        <v>850</v>
      </c>
      <c r="EL47" s="372" t="s">
        <v>850</v>
      </c>
      <c r="EM47" s="373">
        <f>100-100</f>
        <v>0</v>
      </c>
      <c r="EN47" s="372" t="s">
        <v>850</v>
      </c>
      <c r="EO47" s="372"/>
      <c r="EP47" s="372"/>
      <c r="EQ47" s="372" t="s">
        <v>850</v>
      </c>
      <c r="ER47" s="372" t="s">
        <v>850</v>
      </c>
      <c r="ES47" s="372" t="s">
        <v>850</v>
      </c>
      <c r="ET47" s="372" t="s">
        <v>850</v>
      </c>
      <c r="EU47" s="373">
        <f>40-40</f>
        <v>0</v>
      </c>
      <c r="EV47" s="416">
        <f>60-60+40</f>
        <v>40</v>
      </c>
      <c r="EW47" s="373">
        <f>40-40</f>
        <v>0</v>
      </c>
      <c r="EX47" s="372" t="s">
        <v>850</v>
      </c>
      <c r="EY47" s="372"/>
      <c r="EZ47" s="372"/>
      <c r="FA47" s="372" t="s">
        <v>850</v>
      </c>
      <c r="FB47" s="372"/>
      <c r="FC47" s="372" t="s">
        <v>850</v>
      </c>
      <c r="FD47" s="372"/>
      <c r="FE47" s="372"/>
      <c r="FF47" s="372"/>
      <c r="FG47" s="372" t="s">
        <v>850</v>
      </c>
      <c r="FH47" s="372" t="s">
        <v>850</v>
      </c>
      <c r="FI47" s="372" t="s">
        <v>850</v>
      </c>
      <c r="FJ47" s="372" t="s">
        <v>850</v>
      </c>
      <c r="FK47" s="372" t="s">
        <v>850</v>
      </c>
      <c r="FL47" s="372" t="s">
        <v>850</v>
      </c>
      <c r="FM47" s="372" t="s">
        <v>850</v>
      </c>
      <c r="FN47" s="372" t="s">
        <v>850</v>
      </c>
      <c r="FO47" s="372" t="s">
        <v>850</v>
      </c>
      <c r="FP47" s="372" t="s">
        <v>850</v>
      </c>
      <c r="FQ47" s="375" t="s">
        <v>850</v>
      </c>
      <c r="FR47" s="376" t="s">
        <v>1049</v>
      </c>
      <c r="FS47" s="377" t="s">
        <v>522</v>
      </c>
      <c r="FT47" s="377" t="s">
        <v>850</v>
      </c>
      <c r="FU47" s="377" t="s">
        <v>585</v>
      </c>
      <c r="FV47" s="144">
        <f t="shared" si="4"/>
        <v>376</v>
      </c>
      <c r="FW47" s="371" t="s">
        <v>905</v>
      </c>
    </row>
    <row r="48" spans="1:179" s="371" customFormat="1">
      <c r="A48" s="368" t="s">
        <v>916</v>
      </c>
      <c r="B48" s="369" t="s">
        <v>517</v>
      </c>
      <c r="C48" s="369" t="s">
        <v>555</v>
      </c>
      <c r="D48" s="369" t="s">
        <v>3</v>
      </c>
      <c r="E48" s="370" t="s">
        <v>582</v>
      </c>
      <c r="F48" s="369" t="s">
        <v>520</v>
      </c>
      <c r="G48" s="419"/>
      <c r="H48" s="372"/>
      <c r="I48" s="372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2"/>
      <c r="AQ48" s="372"/>
      <c r="AR48" s="372"/>
      <c r="AS48" s="372"/>
      <c r="AT48" s="372"/>
      <c r="AU48" s="372"/>
      <c r="AV48" s="372"/>
      <c r="AW48" s="372"/>
      <c r="AX48" s="372"/>
      <c r="AY48" s="372"/>
      <c r="AZ48" s="372"/>
      <c r="BA48" s="372"/>
      <c r="BB48" s="372"/>
      <c r="BC48" s="372"/>
      <c r="BD48" s="372"/>
      <c r="BE48" s="372"/>
      <c r="BF48" s="372"/>
      <c r="BG48" s="372"/>
      <c r="BH48" s="372"/>
      <c r="BI48" s="372"/>
      <c r="BJ48" s="372"/>
      <c r="BK48" s="372"/>
      <c r="BL48" s="372"/>
      <c r="BM48" s="372"/>
      <c r="BN48" s="372"/>
      <c r="BO48" s="372"/>
      <c r="BP48" s="372"/>
      <c r="BQ48" s="372"/>
      <c r="BR48" s="372"/>
      <c r="BS48" s="372"/>
      <c r="BT48" s="372"/>
      <c r="BU48" s="372"/>
      <c r="BV48" s="372"/>
      <c r="BW48" s="372"/>
      <c r="BX48" s="372"/>
      <c r="CA48" s="372"/>
      <c r="CB48" s="372"/>
      <c r="CD48" s="372"/>
      <c r="CE48" s="372"/>
      <c r="CG48" s="372"/>
      <c r="CH48" s="372"/>
      <c r="CI48" s="372"/>
      <c r="CJ48" s="372"/>
      <c r="CK48" s="372"/>
      <c r="CL48" s="372"/>
      <c r="CM48" s="372"/>
      <c r="CN48" s="372"/>
      <c r="CO48" s="372"/>
      <c r="CP48" s="372"/>
      <c r="CR48" s="372"/>
      <c r="CS48" s="372"/>
      <c r="CT48" s="372"/>
      <c r="CU48" s="372"/>
      <c r="CV48" s="372"/>
      <c r="CW48" s="372"/>
      <c r="CY48" s="372"/>
      <c r="CZ48" s="372"/>
      <c r="DA48" s="372"/>
      <c r="DB48" s="372"/>
      <c r="DC48" s="372"/>
      <c r="DD48" s="372"/>
      <c r="DE48" s="372"/>
      <c r="DF48" s="372"/>
      <c r="DG48" s="372"/>
      <c r="DH48" s="372"/>
      <c r="DI48" s="372" t="s">
        <v>850</v>
      </c>
      <c r="DJ48" s="372"/>
      <c r="DK48" s="372" t="s">
        <v>850</v>
      </c>
      <c r="DL48" s="372"/>
      <c r="DM48" s="372"/>
      <c r="DN48" s="372"/>
      <c r="DO48" s="372"/>
      <c r="DP48" s="372"/>
      <c r="DQ48" s="372"/>
      <c r="DR48" s="372"/>
      <c r="DS48" s="372"/>
      <c r="DT48" s="372"/>
      <c r="DU48" s="372"/>
      <c r="DV48" s="372"/>
      <c r="DW48" s="372"/>
      <c r="DX48" s="372"/>
      <c r="DY48" s="372"/>
      <c r="DZ48" s="372"/>
      <c r="EA48" s="372"/>
      <c r="EB48" s="372"/>
      <c r="EC48" s="372"/>
      <c r="ED48" s="372"/>
      <c r="EE48" s="372"/>
      <c r="EF48" s="372"/>
      <c r="EG48" s="372"/>
      <c r="EH48" s="372"/>
      <c r="EI48" s="372"/>
      <c r="EJ48" s="372"/>
      <c r="EK48" s="372"/>
      <c r="EL48" s="372"/>
      <c r="EM48" s="372"/>
      <c r="EN48" s="372"/>
      <c r="EO48" s="372"/>
      <c r="EP48" s="372"/>
      <c r="EQ48" s="372"/>
      <c r="ER48" s="372"/>
      <c r="ES48" s="372"/>
      <c r="ET48" s="372"/>
      <c r="EU48" s="372"/>
      <c r="EV48" s="372"/>
      <c r="EW48" s="372"/>
      <c r="EX48" s="372"/>
      <c r="EY48" s="372"/>
      <c r="EZ48" s="372"/>
      <c r="FA48" s="372"/>
      <c r="FB48" s="372"/>
      <c r="FC48" s="372"/>
      <c r="FD48" s="372"/>
      <c r="FE48" s="372"/>
      <c r="FF48" s="372"/>
      <c r="FG48" s="372"/>
      <c r="FH48" s="372"/>
      <c r="FI48" s="372"/>
      <c r="FJ48" s="372"/>
      <c r="FK48" s="372"/>
      <c r="FL48" s="372"/>
      <c r="FM48" s="372"/>
      <c r="FN48" s="372"/>
      <c r="FO48" s="372"/>
      <c r="FP48" s="372"/>
      <c r="FQ48" s="375" t="s">
        <v>850</v>
      </c>
      <c r="FR48" s="376" t="s">
        <v>1049</v>
      </c>
      <c r="FS48" s="377" t="s">
        <v>522</v>
      </c>
      <c r="FT48" s="377" t="s">
        <v>850</v>
      </c>
      <c r="FU48" s="377" t="s">
        <v>585</v>
      </c>
      <c r="FV48" s="144">
        <f t="shared" si="4"/>
        <v>0</v>
      </c>
      <c r="FW48" s="371" t="s">
        <v>905</v>
      </c>
    </row>
    <row r="49" spans="1:179" s="371" customFormat="1">
      <c r="A49" s="368" t="s">
        <v>918</v>
      </c>
      <c r="B49" s="369" t="s">
        <v>517</v>
      </c>
      <c r="C49" s="369" t="s">
        <v>555</v>
      </c>
      <c r="D49" s="369" t="s">
        <v>8</v>
      </c>
      <c r="E49" s="370" t="s">
        <v>586</v>
      </c>
      <c r="F49" s="369" t="s">
        <v>520</v>
      </c>
      <c r="G49" s="369" t="s">
        <v>1061</v>
      </c>
      <c r="BT49" s="372"/>
      <c r="BV49" s="372"/>
      <c r="DI49" s="372" t="s">
        <v>850</v>
      </c>
      <c r="DK49" s="372" t="s">
        <v>850</v>
      </c>
      <c r="FQ49" s="375" t="s">
        <v>850</v>
      </c>
      <c r="FR49" s="376" t="s">
        <v>1049</v>
      </c>
      <c r="FS49" s="377" t="s">
        <v>522</v>
      </c>
      <c r="FT49" s="377" t="s">
        <v>850</v>
      </c>
      <c r="FU49" s="377" t="s">
        <v>579</v>
      </c>
      <c r="FV49" s="144">
        <f t="shared" si="4"/>
        <v>0</v>
      </c>
      <c r="FW49" s="371" t="s">
        <v>920</v>
      </c>
    </row>
    <row r="50" spans="1:179" s="371" customFormat="1">
      <c r="A50" s="368" t="s">
        <v>918</v>
      </c>
      <c r="B50" s="369" t="s">
        <v>517</v>
      </c>
      <c r="C50" s="369" t="s">
        <v>555</v>
      </c>
      <c r="D50" s="369" t="s">
        <v>4</v>
      </c>
      <c r="E50" s="370" t="s">
        <v>586</v>
      </c>
      <c r="F50" s="369" t="s">
        <v>520</v>
      </c>
      <c r="G50" s="369" t="s">
        <v>1061</v>
      </c>
      <c r="H50" s="372" t="s">
        <v>850</v>
      </c>
      <c r="I50" s="372" t="s">
        <v>850</v>
      </c>
      <c r="J50" s="372" t="s">
        <v>850</v>
      </c>
      <c r="K50" s="372" t="s">
        <v>850</v>
      </c>
      <c r="L50" s="372" t="s">
        <v>850</v>
      </c>
      <c r="M50" s="372" t="s">
        <v>850</v>
      </c>
      <c r="N50" s="373">
        <f>20-20</f>
        <v>0</v>
      </c>
      <c r="O50" s="373">
        <f>20-20</f>
        <v>0</v>
      </c>
      <c r="P50" s="373">
        <f>20-20</f>
        <v>0</v>
      </c>
      <c r="Q50" s="372"/>
      <c r="R50" s="372" t="s">
        <v>850</v>
      </c>
      <c r="S50" s="372" t="s">
        <v>850</v>
      </c>
      <c r="T50" s="373">
        <f>20-20</f>
        <v>0</v>
      </c>
      <c r="U50" s="373">
        <f>20-20</f>
        <v>0</v>
      </c>
      <c r="V50" s="372"/>
      <c r="W50" s="372" t="s">
        <v>850</v>
      </c>
      <c r="X50" s="372" t="s">
        <v>850</v>
      </c>
      <c r="Y50" s="373">
        <f>20-20</f>
        <v>0</v>
      </c>
      <c r="Z50" s="373">
        <f>40-40+20</f>
        <v>20</v>
      </c>
      <c r="AA50" s="372" t="s">
        <v>850</v>
      </c>
      <c r="AB50" s="373">
        <f>20-20</f>
        <v>0</v>
      </c>
      <c r="AC50" s="373">
        <f>40-40</f>
        <v>0</v>
      </c>
      <c r="AD50" s="373">
        <f>40-40+20</f>
        <v>20</v>
      </c>
      <c r="AE50" s="373">
        <f>40-40+10</f>
        <v>10</v>
      </c>
      <c r="AF50" s="372" t="s">
        <v>850</v>
      </c>
      <c r="AG50" s="372" t="s">
        <v>850</v>
      </c>
      <c r="AH50" s="372"/>
      <c r="AI50" s="372" t="s">
        <v>850</v>
      </c>
      <c r="AJ50" s="372" t="s">
        <v>850</v>
      </c>
      <c r="AK50" s="372" t="s">
        <v>850</v>
      </c>
      <c r="AL50" s="372" t="s">
        <v>850</v>
      </c>
      <c r="AM50" s="372" t="s">
        <v>850</v>
      </c>
      <c r="AN50" s="372" t="s">
        <v>850</v>
      </c>
      <c r="AO50" s="372" t="s">
        <v>850</v>
      </c>
      <c r="AP50" s="372" t="s">
        <v>850</v>
      </c>
      <c r="AQ50" s="372" t="s">
        <v>850</v>
      </c>
      <c r="AR50" s="372" t="s">
        <v>850</v>
      </c>
      <c r="AS50" s="372" t="s">
        <v>850</v>
      </c>
      <c r="AT50" s="372" t="s">
        <v>850</v>
      </c>
      <c r="AU50" s="373">
        <f>5-5</f>
        <v>0</v>
      </c>
      <c r="AV50" s="372" t="s">
        <v>850</v>
      </c>
      <c r="AW50" s="373">
        <f>5-5</f>
        <v>0</v>
      </c>
      <c r="AX50" s="373">
        <f>5-5+2</f>
        <v>2</v>
      </c>
      <c r="AY50" s="373">
        <f>10-10+1</f>
        <v>1</v>
      </c>
      <c r="AZ50" s="373">
        <f t="shared" ref="AZ50:BD50" si="5">10-10</f>
        <v>0</v>
      </c>
      <c r="BA50" s="373">
        <f>10-10+30</f>
        <v>30</v>
      </c>
      <c r="BB50" s="373">
        <f t="shared" si="5"/>
        <v>0</v>
      </c>
      <c r="BC50" s="373">
        <f t="shared" si="5"/>
        <v>0</v>
      </c>
      <c r="BD50" s="373">
        <f t="shared" si="5"/>
        <v>0</v>
      </c>
      <c r="BE50" s="372"/>
      <c r="BF50" s="372" t="s">
        <v>850</v>
      </c>
      <c r="BG50" s="372" t="s">
        <v>850</v>
      </c>
      <c r="BH50" s="372" t="s">
        <v>850</v>
      </c>
      <c r="BI50" s="372" t="s">
        <v>850</v>
      </c>
      <c r="BJ50" s="373">
        <f>20-20</f>
        <v>0</v>
      </c>
      <c r="BK50" s="373">
        <f>20-20+5</f>
        <v>5</v>
      </c>
      <c r="BL50" s="373">
        <f>40-40+20</f>
        <v>20</v>
      </c>
      <c r="BM50" s="373">
        <f>20-20+10</f>
        <v>10</v>
      </c>
      <c r="BN50" s="373">
        <f>20-20</f>
        <v>0</v>
      </c>
      <c r="BO50" s="373">
        <f>40-40+10</f>
        <v>10</v>
      </c>
      <c r="BP50" s="372"/>
      <c r="BQ50" s="372" t="s">
        <v>850</v>
      </c>
      <c r="BR50" s="372" t="s">
        <v>850</v>
      </c>
      <c r="BS50" s="373">
        <f>5-5+2</f>
        <v>2</v>
      </c>
      <c r="BT50" s="372"/>
      <c r="BU50" s="373">
        <f>5-5</f>
        <v>0</v>
      </c>
      <c r="BV50" s="372"/>
      <c r="BW50" s="373">
        <f>20-20</f>
        <v>0</v>
      </c>
      <c r="BX50" s="373">
        <f>20-20+10</f>
        <v>10</v>
      </c>
      <c r="CA50" s="373">
        <f>5-5</f>
        <v>0</v>
      </c>
      <c r="CB50" s="373">
        <f>40-40+45</f>
        <v>45</v>
      </c>
      <c r="CC50" s="416">
        <v>5</v>
      </c>
      <c r="CD50" s="373">
        <f>40-40</f>
        <v>0</v>
      </c>
      <c r="CE50" s="372" t="s">
        <v>850</v>
      </c>
      <c r="CG50" s="373">
        <f>20-20</f>
        <v>0</v>
      </c>
      <c r="CH50" s="373">
        <f>20-20+10</f>
        <v>10</v>
      </c>
      <c r="CI50" s="373">
        <f>40-40+5</f>
        <v>5</v>
      </c>
      <c r="CJ50" s="373">
        <f>60-60+10</f>
        <v>10</v>
      </c>
      <c r="CK50" s="372" t="s">
        <v>850</v>
      </c>
      <c r="CL50" s="373">
        <f>40-40</f>
        <v>0</v>
      </c>
      <c r="CM50" s="373">
        <f>40-40</f>
        <v>0</v>
      </c>
      <c r="CN50" s="373">
        <f>60-60+5</f>
        <v>5</v>
      </c>
      <c r="CO50" s="373">
        <f>60-60+40</f>
        <v>40</v>
      </c>
      <c r="CP50" s="372"/>
      <c r="CR50" s="373">
        <f>60-60</f>
        <v>0</v>
      </c>
      <c r="CS50" s="372"/>
      <c r="CT50" s="372" t="s">
        <v>850</v>
      </c>
      <c r="CU50" s="373">
        <f>40-40+20</f>
        <v>20</v>
      </c>
      <c r="CV50" s="373">
        <f>40-40+20</f>
        <v>20</v>
      </c>
      <c r="CW50" s="373">
        <f>40-40+220</f>
        <v>220</v>
      </c>
      <c r="CY50" s="373">
        <f>40-40+10</f>
        <v>10</v>
      </c>
      <c r="CZ50" s="373">
        <f>40-40</f>
        <v>0</v>
      </c>
      <c r="DA50" s="372"/>
      <c r="DB50" s="372" t="s">
        <v>850</v>
      </c>
      <c r="DC50" s="372" t="s">
        <v>850</v>
      </c>
      <c r="DD50" s="373">
        <f>20-20</f>
        <v>0</v>
      </c>
      <c r="DE50" s="372" t="s">
        <v>850</v>
      </c>
      <c r="DF50" s="373">
        <f>60-60</f>
        <v>0</v>
      </c>
      <c r="DG50" s="373">
        <f>100-100+20</f>
        <v>20</v>
      </c>
      <c r="DH50" s="373">
        <f>60-60</f>
        <v>0</v>
      </c>
      <c r="DI50" s="372" t="s">
        <v>850</v>
      </c>
      <c r="DJ50" s="373">
        <f>100-100+20</f>
        <v>20</v>
      </c>
      <c r="DK50" s="372" t="s">
        <v>850</v>
      </c>
      <c r="DL50" s="373">
        <f>60-60</f>
        <v>0</v>
      </c>
      <c r="DM50" s="372" t="s">
        <v>850</v>
      </c>
      <c r="DN50" s="416">
        <v>20</v>
      </c>
      <c r="DO50" s="372" t="s">
        <v>850</v>
      </c>
      <c r="DP50" s="372" t="s">
        <v>850</v>
      </c>
      <c r="DQ50" s="372" t="s">
        <v>850</v>
      </c>
      <c r="DR50" s="416">
        <f>200-200+200</f>
        <v>200</v>
      </c>
      <c r="DS50" s="373">
        <f>100-100</f>
        <v>0</v>
      </c>
      <c r="DT50" s="372" t="s">
        <v>850</v>
      </c>
      <c r="DU50" s="372"/>
      <c r="DV50" s="372" t="s">
        <v>850</v>
      </c>
      <c r="DW50" s="373">
        <f>100-100+40</f>
        <v>40</v>
      </c>
      <c r="DX50" s="372"/>
      <c r="DY50" s="373">
        <f>100-100</f>
        <v>0</v>
      </c>
      <c r="DZ50" s="372" t="s">
        <v>850</v>
      </c>
      <c r="EA50" s="373">
        <f>100-100</f>
        <v>0</v>
      </c>
      <c r="EB50" s="372" t="s">
        <v>850</v>
      </c>
      <c r="EC50" s="373">
        <f>100-100</f>
        <v>0</v>
      </c>
      <c r="ED50" s="373">
        <f>100-100</f>
        <v>0</v>
      </c>
      <c r="EE50" s="372" t="s">
        <v>850</v>
      </c>
      <c r="EF50" s="372" t="s">
        <v>850</v>
      </c>
      <c r="EG50" s="373">
        <f>100-100</f>
        <v>0</v>
      </c>
      <c r="EH50" s="373">
        <f>40-40</f>
        <v>0</v>
      </c>
      <c r="EI50" s="373">
        <f>100-100</f>
        <v>0</v>
      </c>
      <c r="EJ50" s="372" t="s">
        <v>850</v>
      </c>
      <c r="EK50" s="372" t="s">
        <v>850</v>
      </c>
      <c r="EL50" s="372" t="s">
        <v>850</v>
      </c>
      <c r="EM50" s="373">
        <f>100-100</f>
        <v>0</v>
      </c>
      <c r="EN50" s="372" t="s">
        <v>850</v>
      </c>
      <c r="EO50" s="373">
        <f>100-100</f>
        <v>0</v>
      </c>
      <c r="EP50" s="373">
        <f>100-100+20</f>
        <v>20</v>
      </c>
      <c r="EQ50" s="373">
        <f>100-100</f>
        <v>0</v>
      </c>
      <c r="ER50" s="372" t="s">
        <v>850</v>
      </c>
      <c r="ES50" s="372" t="s">
        <v>850</v>
      </c>
      <c r="ET50" s="372" t="s">
        <v>850</v>
      </c>
      <c r="EU50" s="373">
        <f>100-100</f>
        <v>0</v>
      </c>
      <c r="EV50" s="373">
        <f>100-100</f>
        <v>0</v>
      </c>
      <c r="EW50" s="373">
        <f>100-100</f>
        <v>0</v>
      </c>
      <c r="EX50" s="372" t="s">
        <v>850</v>
      </c>
      <c r="EY50" s="416">
        <f>40-40+40</f>
        <v>40</v>
      </c>
      <c r="EZ50" s="372"/>
      <c r="FA50" s="372" t="s">
        <v>850</v>
      </c>
      <c r="FB50" s="372"/>
      <c r="FC50" s="372" t="s">
        <v>850</v>
      </c>
      <c r="FD50" s="372"/>
      <c r="FE50" s="372"/>
      <c r="FF50" s="372"/>
      <c r="FG50" s="372" t="s">
        <v>850</v>
      </c>
      <c r="FH50" s="372" t="s">
        <v>850</v>
      </c>
      <c r="FI50" s="372" t="s">
        <v>850</v>
      </c>
      <c r="FJ50" s="372" t="s">
        <v>850</v>
      </c>
      <c r="FK50" s="372" t="s">
        <v>850</v>
      </c>
      <c r="FL50" s="372" t="s">
        <v>850</v>
      </c>
      <c r="FM50" s="372" t="s">
        <v>850</v>
      </c>
      <c r="FN50" s="372" t="s">
        <v>850</v>
      </c>
      <c r="FO50" s="372" t="s">
        <v>850</v>
      </c>
      <c r="FP50" s="372" t="s">
        <v>850</v>
      </c>
      <c r="FQ50" s="375" t="s">
        <v>850</v>
      </c>
      <c r="FR50" s="376" t="s">
        <v>1049</v>
      </c>
      <c r="FS50" s="377" t="s">
        <v>522</v>
      </c>
      <c r="FT50" s="377" t="s">
        <v>850</v>
      </c>
      <c r="FU50" s="377" t="s">
        <v>579</v>
      </c>
      <c r="FV50" s="144">
        <f t="shared" si="4"/>
        <v>890</v>
      </c>
      <c r="FW50" s="371" t="s">
        <v>920</v>
      </c>
    </row>
    <row r="51" spans="1:179" s="371" customFormat="1">
      <c r="A51" s="368" t="s">
        <v>918</v>
      </c>
      <c r="B51" s="369" t="s">
        <v>517</v>
      </c>
      <c r="C51" s="369" t="s">
        <v>555</v>
      </c>
      <c r="D51" s="369" t="s">
        <v>3</v>
      </c>
      <c r="E51" s="370" t="s">
        <v>586</v>
      </c>
      <c r="F51" s="369" t="s">
        <v>520</v>
      </c>
      <c r="G51" s="369" t="s">
        <v>1062</v>
      </c>
      <c r="H51" s="372"/>
      <c r="I51" s="372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372"/>
      <c r="Y51" s="372"/>
      <c r="Z51" s="372"/>
      <c r="AA51" s="372"/>
      <c r="AB51" s="372"/>
      <c r="AC51" s="372"/>
      <c r="AD51" s="372"/>
      <c r="AE51" s="372"/>
      <c r="AF51" s="372"/>
      <c r="AG51" s="372"/>
      <c r="AH51" s="372"/>
      <c r="AI51" s="372"/>
      <c r="AJ51" s="372"/>
      <c r="AK51" s="372"/>
      <c r="AL51" s="372"/>
      <c r="AM51" s="372"/>
      <c r="AN51" s="372"/>
      <c r="AO51" s="372"/>
      <c r="AP51" s="372"/>
      <c r="AQ51" s="372"/>
      <c r="AR51" s="372"/>
      <c r="AS51" s="372"/>
      <c r="AT51" s="372"/>
      <c r="AU51" s="372"/>
      <c r="AV51" s="372"/>
      <c r="AW51" s="372"/>
      <c r="AX51" s="372"/>
      <c r="AY51" s="372"/>
      <c r="AZ51" s="372"/>
      <c r="BA51" s="372"/>
      <c r="BB51" s="372"/>
      <c r="BC51" s="372"/>
      <c r="BD51" s="372"/>
      <c r="BE51" s="372"/>
      <c r="BF51" s="372"/>
      <c r="BG51" s="372"/>
      <c r="BH51" s="372"/>
      <c r="BI51" s="372"/>
      <c r="BJ51" s="372"/>
      <c r="BK51" s="372"/>
      <c r="BL51" s="372"/>
      <c r="BM51" s="372"/>
      <c r="BN51" s="372"/>
      <c r="BO51" s="372"/>
      <c r="BP51" s="372"/>
      <c r="BQ51" s="372"/>
      <c r="BR51" s="372"/>
      <c r="BS51" s="372"/>
      <c r="BT51" s="372"/>
      <c r="BU51" s="372"/>
      <c r="BV51" s="372"/>
      <c r="BW51" s="372"/>
      <c r="BX51" s="372"/>
      <c r="CA51" s="372"/>
      <c r="CB51" s="372"/>
      <c r="CD51" s="372"/>
      <c r="CE51" s="372"/>
      <c r="CG51" s="372"/>
      <c r="CH51" s="372"/>
      <c r="CI51" s="372"/>
      <c r="CJ51" s="372"/>
      <c r="CK51" s="372"/>
      <c r="CL51" s="372"/>
      <c r="CM51" s="372"/>
      <c r="CN51" s="372"/>
      <c r="CO51" s="372"/>
      <c r="CP51" s="372"/>
      <c r="CR51" s="372"/>
      <c r="CS51" s="372"/>
      <c r="CT51" s="372"/>
      <c r="CU51" s="372"/>
      <c r="CV51" s="372"/>
      <c r="CW51" s="372"/>
      <c r="CY51" s="372"/>
      <c r="CZ51" s="372"/>
      <c r="DA51" s="372"/>
      <c r="DB51" s="372"/>
      <c r="DC51" s="372"/>
      <c r="DD51" s="372"/>
      <c r="DE51" s="372"/>
      <c r="DF51" s="372"/>
      <c r="DG51" s="372"/>
      <c r="DH51" s="372"/>
      <c r="DI51" s="372" t="s">
        <v>850</v>
      </c>
      <c r="DJ51" s="372"/>
      <c r="DK51" s="372" t="s">
        <v>850</v>
      </c>
      <c r="DL51" s="372"/>
      <c r="DM51" s="372"/>
      <c r="DN51" s="372"/>
      <c r="DO51" s="372"/>
      <c r="DP51" s="372"/>
      <c r="DQ51" s="372"/>
      <c r="DR51" s="372"/>
      <c r="DS51" s="372"/>
      <c r="DT51" s="372"/>
      <c r="DU51" s="372"/>
      <c r="DV51" s="372"/>
      <c r="DW51" s="372"/>
      <c r="DX51" s="372"/>
      <c r="DY51" s="372"/>
      <c r="DZ51" s="372"/>
      <c r="EA51" s="372"/>
      <c r="EB51" s="372"/>
      <c r="EC51" s="372"/>
      <c r="ED51" s="372"/>
      <c r="EE51" s="372"/>
      <c r="EF51" s="372"/>
      <c r="EG51" s="372"/>
      <c r="EH51" s="372"/>
      <c r="EI51" s="372"/>
      <c r="EJ51" s="372"/>
      <c r="EK51" s="372"/>
      <c r="EL51" s="372"/>
      <c r="EM51" s="372"/>
      <c r="EN51" s="372"/>
      <c r="EO51" s="372"/>
      <c r="EP51" s="372"/>
      <c r="EQ51" s="372"/>
      <c r="ER51" s="372"/>
      <c r="ES51" s="372"/>
      <c r="ET51" s="372"/>
      <c r="EU51" s="372"/>
      <c r="EV51" s="372"/>
      <c r="EW51" s="372"/>
      <c r="EX51" s="372"/>
      <c r="EY51" s="372"/>
      <c r="EZ51" s="372"/>
      <c r="FA51" s="372"/>
      <c r="FB51" s="372"/>
      <c r="FC51" s="372"/>
      <c r="FD51" s="372"/>
      <c r="FE51" s="372"/>
      <c r="FF51" s="372"/>
      <c r="FG51" s="372"/>
      <c r="FH51" s="372"/>
      <c r="FI51" s="372"/>
      <c r="FJ51" s="372"/>
      <c r="FK51" s="372"/>
      <c r="FL51" s="372"/>
      <c r="FM51" s="372"/>
      <c r="FN51" s="372"/>
      <c r="FO51" s="372"/>
      <c r="FP51" s="372"/>
      <c r="FQ51" s="375" t="s">
        <v>850</v>
      </c>
      <c r="FR51" s="376" t="s">
        <v>1049</v>
      </c>
      <c r="FS51" s="377" t="s">
        <v>522</v>
      </c>
      <c r="FT51" s="377" t="s">
        <v>850</v>
      </c>
      <c r="FU51" s="377" t="s">
        <v>579</v>
      </c>
      <c r="FV51" s="144">
        <f t="shared" si="4"/>
        <v>0</v>
      </c>
      <c r="FW51" s="371" t="s">
        <v>920</v>
      </c>
    </row>
    <row r="52" spans="1:179" s="371" customFormat="1">
      <c r="A52" s="368" t="s">
        <v>526</v>
      </c>
      <c r="B52" s="369" t="s">
        <v>517</v>
      </c>
      <c r="C52" s="369" t="s">
        <v>555</v>
      </c>
      <c r="D52" s="369" t="s">
        <v>8</v>
      </c>
      <c r="E52" s="370" t="s">
        <v>1063</v>
      </c>
      <c r="F52" s="369" t="s">
        <v>520</v>
      </c>
      <c r="G52" s="369"/>
      <c r="BT52" s="372"/>
      <c r="BV52" s="372"/>
      <c r="DI52" s="372" t="s">
        <v>850</v>
      </c>
      <c r="DK52" s="372" t="s">
        <v>850</v>
      </c>
      <c r="DL52" s="418">
        <v>2</v>
      </c>
      <c r="EZ52" s="418">
        <f>40</f>
        <v>40</v>
      </c>
      <c r="FD52" s="418">
        <f>60</f>
        <v>60</v>
      </c>
      <c r="FQ52" s="375" t="s">
        <v>850</v>
      </c>
      <c r="FR52" s="376" t="s">
        <v>1049</v>
      </c>
      <c r="FS52" s="377" t="s">
        <v>522</v>
      </c>
      <c r="FT52" s="377" t="s">
        <v>850</v>
      </c>
      <c r="FU52" s="377" t="s">
        <v>565</v>
      </c>
      <c r="FV52" s="144">
        <f t="shared" si="4"/>
        <v>102</v>
      </c>
      <c r="FW52" s="371" t="s">
        <v>906</v>
      </c>
    </row>
    <row r="53" spans="1:179" s="371" customFormat="1">
      <c r="A53" s="368" t="s">
        <v>526</v>
      </c>
      <c r="B53" s="369" t="s">
        <v>517</v>
      </c>
      <c r="C53" s="369" t="s">
        <v>555</v>
      </c>
      <c r="D53" s="369" t="s">
        <v>4</v>
      </c>
      <c r="E53" s="370" t="s">
        <v>1063</v>
      </c>
      <c r="F53" s="369" t="s">
        <v>520</v>
      </c>
      <c r="G53" s="369"/>
      <c r="H53" s="373">
        <f>10-10</f>
        <v>0</v>
      </c>
      <c r="I53" s="372" t="s">
        <v>850</v>
      </c>
      <c r="J53" s="373">
        <f>5-5</f>
        <v>0</v>
      </c>
      <c r="K53" s="373">
        <f>10-10</f>
        <v>0</v>
      </c>
      <c r="L53" s="373">
        <f>10-10</f>
        <v>0</v>
      </c>
      <c r="M53" s="372" t="s">
        <v>850</v>
      </c>
      <c r="N53" s="373">
        <f>5-5</f>
        <v>0</v>
      </c>
      <c r="O53" s="373">
        <f>5-5</f>
        <v>0</v>
      </c>
      <c r="P53" s="373">
        <f>10-10</f>
        <v>0</v>
      </c>
      <c r="Q53" s="372"/>
      <c r="R53" s="373">
        <f>10-10</f>
        <v>0</v>
      </c>
      <c r="S53" s="373">
        <f>10-10</f>
        <v>0</v>
      </c>
      <c r="T53" s="373">
        <f>5-5+2</f>
        <v>2</v>
      </c>
      <c r="U53" s="373">
        <f>10-10</f>
        <v>0</v>
      </c>
      <c r="V53" s="373">
        <f>5-5</f>
        <v>0</v>
      </c>
      <c r="W53" s="373">
        <f>10-10</f>
        <v>0</v>
      </c>
      <c r="X53" s="373">
        <f>10-10</f>
        <v>0</v>
      </c>
      <c r="Y53" s="373">
        <f>10-10</f>
        <v>0</v>
      </c>
      <c r="Z53" s="373">
        <f>10-10+10</f>
        <v>10</v>
      </c>
      <c r="AA53" s="372" t="s">
        <v>850</v>
      </c>
      <c r="AB53" s="373">
        <f>10-10</f>
        <v>0</v>
      </c>
      <c r="AC53" s="373">
        <f>20-20</f>
        <v>0</v>
      </c>
      <c r="AD53" s="373">
        <f>20-20+5</f>
        <v>5</v>
      </c>
      <c r="AE53" s="373">
        <f>20-20+5</f>
        <v>5</v>
      </c>
      <c r="AF53" s="372" t="s">
        <v>850</v>
      </c>
      <c r="AG53" s="373">
        <f>200-200</f>
        <v>0</v>
      </c>
      <c r="AH53" s="373">
        <f>100-100+1</f>
        <v>1</v>
      </c>
      <c r="AI53" s="373">
        <f>200-200</f>
        <v>0</v>
      </c>
      <c r="AJ53" s="372" t="s">
        <v>850</v>
      </c>
      <c r="AK53" s="372" t="s">
        <v>850</v>
      </c>
      <c r="AL53" s="373">
        <f>100-100</f>
        <v>0</v>
      </c>
      <c r="AM53" s="372" t="s">
        <v>850</v>
      </c>
      <c r="AN53" s="372" t="s">
        <v>850</v>
      </c>
      <c r="AO53" s="372" t="s">
        <v>850</v>
      </c>
      <c r="AP53" s="372" t="s">
        <v>850</v>
      </c>
      <c r="AQ53" s="372" t="s">
        <v>850</v>
      </c>
      <c r="AR53" s="372" t="s">
        <v>850</v>
      </c>
      <c r="AS53" s="373">
        <f>100-100</f>
        <v>0</v>
      </c>
      <c r="AT53" s="373">
        <f>200-200</f>
        <v>0</v>
      </c>
      <c r="AU53" s="372" t="s">
        <v>850</v>
      </c>
      <c r="AV53" s="372" t="s">
        <v>850</v>
      </c>
      <c r="AW53" s="373">
        <f>4-4</f>
        <v>0</v>
      </c>
      <c r="AX53" s="372"/>
      <c r="AY53" s="373">
        <f>5-5</f>
        <v>0</v>
      </c>
      <c r="AZ53" s="373">
        <f>5-5</f>
        <v>0</v>
      </c>
      <c r="BA53" s="373">
        <f>10-10+3</f>
        <v>3</v>
      </c>
      <c r="BB53" s="373">
        <f>10-10</f>
        <v>0</v>
      </c>
      <c r="BC53" s="373">
        <f>10-10</f>
        <v>0</v>
      </c>
      <c r="BD53" s="373">
        <f>10-10</f>
        <v>0</v>
      </c>
      <c r="BE53" s="373">
        <f>5-5</f>
        <v>0</v>
      </c>
      <c r="BF53" s="372" t="s">
        <v>850</v>
      </c>
      <c r="BG53" s="372" t="s">
        <v>850</v>
      </c>
      <c r="BH53" s="373">
        <f>5-5</f>
        <v>0</v>
      </c>
      <c r="BI53" s="372" t="s">
        <v>850</v>
      </c>
      <c r="BJ53" s="373">
        <f t="shared" ref="BJ53:BN53" si="6">5-5</f>
        <v>0</v>
      </c>
      <c r="BK53" s="373">
        <f>5-5+5</f>
        <v>5</v>
      </c>
      <c r="BL53" s="373">
        <f>5-5+5</f>
        <v>5</v>
      </c>
      <c r="BM53" s="373">
        <f>5-5+3</f>
        <v>3</v>
      </c>
      <c r="BN53" s="373">
        <f t="shared" si="6"/>
        <v>0</v>
      </c>
      <c r="BO53" s="373">
        <f>5-5+5</f>
        <v>5</v>
      </c>
      <c r="BP53" s="372"/>
      <c r="BQ53" s="372" t="s">
        <v>850</v>
      </c>
      <c r="BR53" s="372" t="s">
        <v>850</v>
      </c>
      <c r="BS53" s="373">
        <f>10-10+2</f>
        <v>2</v>
      </c>
      <c r="BT53" s="372"/>
      <c r="BU53" s="372" t="s">
        <v>850</v>
      </c>
      <c r="BV53" s="372"/>
      <c r="BW53" s="373">
        <f t="shared" ref="BW53:CG53" si="7">10-10</f>
        <v>0</v>
      </c>
      <c r="BX53" s="373">
        <f>10-10+4</f>
        <v>4</v>
      </c>
      <c r="CA53" s="373">
        <f t="shared" si="7"/>
        <v>0</v>
      </c>
      <c r="CB53" s="373">
        <f>10-10+5</f>
        <v>5</v>
      </c>
      <c r="CD53" s="373">
        <f t="shared" si="7"/>
        <v>0</v>
      </c>
      <c r="CE53" s="373">
        <f t="shared" si="7"/>
        <v>0</v>
      </c>
      <c r="CG53" s="373">
        <f t="shared" si="7"/>
        <v>0</v>
      </c>
      <c r="CH53" s="373">
        <f>10-10+10</f>
        <v>10</v>
      </c>
      <c r="CI53" s="373">
        <f>50-50+3</f>
        <v>3</v>
      </c>
      <c r="CJ53" s="373">
        <f>50-50+5</f>
        <v>5</v>
      </c>
      <c r="CK53" s="373">
        <f>50-50</f>
        <v>0</v>
      </c>
      <c r="CL53" s="373">
        <f>10-10</f>
        <v>0</v>
      </c>
      <c r="CM53" s="373">
        <f>10-10</f>
        <v>0</v>
      </c>
      <c r="CN53" s="373">
        <f>50-50+5</f>
        <v>5</v>
      </c>
      <c r="CO53" s="373">
        <f>50-50+20</f>
        <v>20</v>
      </c>
      <c r="CP53" s="373">
        <f>10-10+2</f>
        <v>2</v>
      </c>
      <c r="CR53" s="373">
        <f>10-10</f>
        <v>0</v>
      </c>
      <c r="CS53" s="373">
        <f>10-10</f>
        <v>0</v>
      </c>
      <c r="CT53" s="373">
        <f t="shared" ref="CT53:DB53" si="8">50-50</f>
        <v>0</v>
      </c>
      <c r="CU53" s="373">
        <f>50-50+10</f>
        <v>10</v>
      </c>
      <c r="CV53" s="373">
        <f>50-50+10</f>
        <v>10</v>
      </c>
      <c r="CW53" s="373">
        <f>50-50+20</f>
        <v>20</v>
      </c>
      <c r="CY53" s="373">
        <f>50-50+10</f>
        <v>10</v>
      </c>
      <c r="CZ53" s="373">
        <f>50-50+5</f>
        <v>5</v>
      </c>
      <c r="DA53" s="373">
        <f t="shared" si="8"/>
        <v>0</v>
      </c>
      <c r="DB53" s="373">
        <f t="shared" si="8"/>
        <v>0</v>
      </c>
      <c r="DC53" s="372" t="s">
        <v>850</v>
      </c>
      <c r="DD53" s="373">
        <f>50-50</f>
        <v>0</v>
      </c>
      <c r="DE53" s="372" t="s">
        <v>850</v>
      </c>
      <c r="DF53" s="373">
        <f>100-100</f>
        <v>0</v>
      </c>
      <c r="DG53" s="373">
        <f>100-100+10</f>
        <v>10</v>
      </c>
      <c r="DH53" s="373">
        <f>100-100</f>
        <v>0</v>
      </c>
      <c r="DI53" s="372" t="s">
        <v>850</v>
      </c>
      <c r="DJ53" s="373">
        <f>100-100+10</f>
        <v>10</v>
      </c>
      <c r="DK53" s="372" t="s">
        <v>850</v>
      </c>
      <c r="DL53" s="373">
        <f>100-100</f>
        <v>0</v>
      </c>
      <c r="DM53" s="372" t="s">
        <v>850</v>
      </c>
      <c r="DN53" s="372"/>
      <c r="DO53" s="372" t="s">
        <v>850</v>
      </c>
      <c r="DP53" s="373">
        <f>100-100</f>
        <v>0</v>
      </c>
      <c r="DQ53" s="372" t="s">
        <v>850</v>
      </c>
      <c r="DR53" s="372"/>
      <c r="DS53" s="373">
        <f>20-20</f>
        <v>0</v>
      </c>
      <c r="DT53" s="372" t="s">
        <v>850</v>
      </c>
      <c r="DU53" s="416">
        <f>20-20+15</f>
        <v>15</v>
      </c>
      <c r="DV53" s="372" t="s">
        <v>850</v>
      </c>
      <c r="DW53" s="373">
        <f>100-100+10</f>
        <v>10</v>
      </c>
      <c r="DX53" s="372"/>
      <c r="DY53" s="373">
        <f>100-100</f>
        <v>0</v>
      </c>
      <c r="DZ53" s="373">
        <f>100-100</f>
        <v>0</v>
      </c>
      <c r="EA53" s="373">
        <f>50-50+20</f>
        <v>20</v>
      </c>
      <c r="EB53" s="373">
        <f>50-50</f>
        <v>0</v>
      </c>
      <c r="EC53" s="373">
        <f>100-100</f>
        <v>0</v>
      </c>
      <c r="ED53" s="373">
        <f>100-100</f>
        <v>0</v>
      </c>
      <c r="EE53" s="373">
        <f>100-100</f>
        <v>0</v>
      </c>
      <c r="EF53" s="372" t="s">
        <v>850</v>
      </c>
      <c r="EG53" s="373">
        <f>100-100</f>
        <v>0</v>
      </c>
      <c r="EH53" s="373">
        <f>100-100</f>
        <v>0</v>
      </c>
      <c r="EI53" s="373">
        <f>100-100</f>
        <v>0</v>
      </c>
      <c r="EJ53" s="373">
        <f>20-20</f>
        <v>0</v>
      </c>
      <c r="EK53" s="373">
        <f>100-100</f>
        <v>0</v>
      </c>
      <c r="EL53" s="373">
        <f>100-100</f>
        <v>0</v>
      </c>
      <c r="EM53" s="373">
        <f>100-100</f>
        <v>0</v>
      </c>
      <c r="EN53" s="372" t="s">
        <v>850</v>
      </c>
      <c r="EO53" s="373">
        <f>100-100</f>
        <v>0</v>
      </c>
      <c r="EP53" s="373">
        <f>100-100+10</f>
        <v>10</v>
      </c>
      <c r="EQ53" s="373">
        <f>20-20</f>
        <v>0</v>
      </c>
      <c r="ER53" s="372" t="s">
        <v>850</v>
      </c>
      <c r="ES53" s="373">
        <f>100-100</f>
        <v>0</v>
      </c>
      <c r="ET53" s="373">
        <f>20-20</f>
        <v>0</v>
      </c>
      <c r="EU53" s="373">
        <f>100-100</f>
        <v>0</v>
      </c>
      <c r="EV53" s="373">
        <f>100-100</f>
        <v>0</v>
      </c>
      <c r="EW53" s="373">
        <f>100-100</f>
        <v>0</v>
      </c>
      <c r="EX53" s="372" t="s">
        <v>850</v>
      </c>
      <c r="EY53" s="416">
        <f>40-40+40</f>
        <v>40</v>
      </c>
      <c r="EZ53" s="373">
        <f>40-40</f>
        <v>0</v>
      </c>
      <c r="FA53" s="373">
        <f>40-40</f>
        <v>0</v>
      </c>
      <c r="FB53" s="416">
        <f>40-40+40</f>
        <v>40</v>
      </c>
      <c r="FC53" s="373">
        <f>40-40</f>
        <v>0</v>
      </c>
      <c r="FD53" s="373">
        <f>60-60</f>
        <v>0</v>
      </c>
      <c r="FE53" s="416">
        <f>40-40+40</f>
        <v>40</v>
      </c>
      <c r="FF53" s="373">
        <f>60-60</f>
        <v>0</v>
      </c>
      <c r="FG53" s="373">
        <f>60-60</f>
        <v>0</v>
      </c>
      <c r="FH53" s="373">
        <f>40-40</f>
        <v>0</v>
      </c>
      <c r="FI53" s="373">
        <f>120-120</f>
        <v>0</v>
      </c>
      <c r="FJ53" s="373">
        <f>60-60</f>
        <v>0</v>
      </c>
      <c r="FK53" s="372" t="s">
        <v>850</v>
      </c>
      <c r="FL53" s="372" t="s">
        <v>850</v>
      </c>
      <c r="FM53" s="372" t="s">
        <v>850</v>
      </c>
      <c r="FN53" s="372" t="s">
        <v>850</v>
      </c>
      <c r="FO53" s="372" t="s">
        <v>850</v>
      </c>
      <c r="FP53" s="372" t="s">
        <v>850</v>
      </c>
      <c r="FQ53" s="375" t="s">
        <v>850</v>
      </c>
      <c r="FR53" s="376" t="s">
        <v>1049</v>
      </c>
      <c r="FS53" s="377" t="s">
        <v>522</v>
      </c>
      <c r="FT53" s="377" t="s">
        <v>850</v>
      </c>
      <c r="FU53" s="377" t="s">
        <v>565</v>
      </c>
      <c r="FV53" s="144">
        <f t="shared" si="4"/>
        <v>350</v>
      </c>
      <c r="FW53" s="371" t="s">
        <v>906</v>
      </c>
    </row>
    <row r="54" spans="1:179" s="371" customFormat="1">
      <c r="A54" s="368" t="s">
        <v>526</v>
      </c>
      <c r="B54" s="369" t="s">
        <v>517</v>
      </c>
      <c r="C54" s="369" t="s">
        <v>555</v>
      </c>
      <c r="D54" s="369" t="s">
        <v>3</v>
      </c>
      <c r="E54" s="370" t="s">
        <v>1063</v>
      </c>
      <c r="F54" s="369" t="s">
        <v>520</v>
      </c>
      <c r="G54" s="369"/>
      <c r="H54" s="372"/>
      <c r="I54" s="372"/>
      <c r="J54" s="372"/>
      <c r="K54" s="372"/>
      <c r="L54" s="372"/>
      <c r="M54" s="372"/>
      <c r="N54" s="372"/>
      <c r="O54" s="372"/>
      <c r="P54" s="372"/>
      <c r="Q54" s="372"/>
      <c r="R54" s="372"/>
      <c r="S54" s="372"/>
      <c r="T54" s="372"/>
      <c r="U54" s="372"/>
      <c r="V54" s="372"/>
      <c r="W54" s="372"/>
      <c r="X54" s="372"/>
      <c r="Y54" s="372"/>
      <c r="Z54" s="372"/>
      <c r="AA54" s="372"/>
      <c r="AB54" s="372"/>
      <c r="AC54" s="372"/>
      <c r="AD54" s="372"/>
      <c r="AE54" s="372"/>
      <c r="AF54" s="372"/>
      <c r="AG54" s="372"/>
      <c r="AH54" s="372"/>
      <c r="AI54" s="372"/>
      <c r="AJ54" s="372"/>
      <c r="AK54" s="372"/>
      <c r="AL54" s="372"/>
      <c r="AM54" s="372"/>
      <c r="AN54" s="372"/>
      <c r="AO54" s="372"/>
      <c r="AP54" s="372"/>
      <c r="AQ54" s="372"/>
      <c r="AR54" s="372"/>
      <c r="AS54" s="372"/>
      <c r="AT54" s="372"/>
      <c r="AU54" s="372"/>
      <c r="AV54" s="372"/>
      <c r="AW54" s="372"/>
      <c r="AX54" s="372"/>
      <c r="AY54" s="372"/>
      <c r="AZ54" s="372"/>
      <c r="BA54" s="372"/>
      <c r="BB54" s="372"/>
      <c r="BC54" s="372"/>
      <c r="BD54" s="372"/>
      <c r="BE54" s="372"/>
      <c r="BF54" s="372"/>
      <c r="BG54" s="372"/>
      <c r="BH54" s="372"/>
      <c r="BI54" s="372"/>
      <c r="BJ54" s="372"/>
      <c r="BK54" s="372"/>
      <c r="BL54" s="372"/>
      <c r="BM54" s="372"/>
      <c r="BN54" s="372"/>
      <c r="BO54" s="372"/>
      <c r="BP54" s="372"/>
      <c r="BQ54" s="372"/>
      <c r="BR54" s="372"/>
      <c r="BS54" s="372"/>
      <c r="BT54" s="372"/>
      <c r="BU54" s="372"/>
      <c r="BV54" s="372"/>
      <c r="BW54" s="372"/>
      <c r="BX54" s="372"/>
      <c r="CA54" s="372"/>
      <c r="CB54" s="372"/>
      <c r="CD54" s="372"/>
      <c r="CE54" s="372"/>
      <c r="CG54" s="372"/>
      <c r="CH54" s="372"/>
      <c r="CI54" s="372"/>
      <c r="CJ54" s="372"/>
      <c r="CK54" s="372"/>
      <c r="CL54" s="372"/>
      <c r="CM54" s="372"/>
      <c r="CN54" s="372"/>
      <c r="CO54" s="372"/>
      <c r="CP54" s="372"/>
      <c r="CR54" s="372"/>
      <c r="CS54" s="372"/>
      <c r="CT54" s="372"/>
      <c r="CU54" s="372"/>
      <c r="CV54" s="372"/>
      <c r="CW54" s="372"/>
      <c r="CY54" s="372"/>
      <c r="CZ54" s="372"/>
      <c r="DA54" s="372"/>
      <c r="DB54" s="372"/>
      <c r="DC54" s="372"/>
      <c r="DD54" s="372"/>
      <c r="DE54" s="372"/>
      <c r="DF54" s="372"/>
      <c r="DG54" s="372"/>
      <c r="DH54" s="372"/>
      <c r="DI54" s="372" t="s">
        <v>850</v>
      </c>
      <c r="DJ54" s="372"/>
      <c r="DK54" s="372" t="s">
        <v>850</v>
      </c>
      <c r="DL54" s="372"/>
      <c r="DM54" s="372"/>
      <c r="DN54" s="372"/>
      <c r="DO54" s="372"/>
      <c r="DP54" s="372"/>
      <c r="DQ54" s="372"/>
      <c r="DR54" s="372"/>
      <c r="DS54" s="372"/>
      <c r="DT54" s="372"/>
      <c r="DU54" s="372"/>
      <c r="DV54" s="372"/>
      <c r="DW54" s="372"/>
      <c r="DX54" s="372"/>
      <c r="DY54" s="372"/>
      <c r="DZ54" s="372"/>
      <c r="EA54" s="372"/>
      <c r="EB54" s="372"/>
      <c r="EC54" s="372"/>
      <c r="ED54" s="372"/>
      <c r="EE54" s="372"/>
      <c r="EF54" s="372"/>
      <c r="EG54" s="372"/>
      <c r="EH54" s="372"/>
      <c r="EI54" s="372"/>
      <c r="EJ54" s="372"/>
      <c r="EK54" s="372"/>
      <c r="EL54" s="372"/>
      <c r="EM54" s="372"/>
      <c r="EN54" s="372"/>
      <c r="EO54" s="372"/>
      <c r="EP54" s="372"/>
      <c r="EQ54" s="372"/>
      <c r="ER54" s="372"/>
      <c r="ES54" s="372"/>
      <c r="ET54" s="372"/>
      <c r="EU54" s="372"/>
      <c r="EV54" s="372"/>
      <c r="EW54" s="372"/>
      <c r="EX54" s="372"/>
      <c r="EY54" s="372"/>
      <c r="EZ54" s="372"/>
      <c r="FA54" s="372"/>
      <c r="FB54" s="372"/>
      <c r="FC54" s="372"/>
      <c r="FD54" s="372"/>
      <c r="FE54" s="372"/>
      <c r="FF54" s="372"/>
      <c r="FG54" s="372"/>
      <c r="FH54" s="372"/>
      <c r="FI54" s="372"/>
      <c r="FJ54" s="372"/>
      <c r="FK54" s="372"/>
      <c r="FL54" s="372"/>
      <c r="FM54" s="372"/>
      <c r="FN54" s="372"/>
      <c r="FO54" s="372"/>
      <c r="FP54" s="372"/>
      <c r="FQ54" s="375" t="s">
        <v>850</v>
      </c>
      <c r="FR54" s="376" t="s">
        <v>1049</v>
      </c>
      <c r="FS54" s="377" t="s">
        <v>522</v>
      </c>
      <c r="FT54" s="377" t="s">
        <v>850</v>
      </c>
      <c r="FU54" s="377" t="s">
        <v>565</v>
      </c>
      <c r="FV54" s="144">
        <f t="shared" si="4"/>
        <v>0</v>
      </c>
      <c r="FW54" s="371" t="s">
        <v>906</v>
      </c>
    </row>
    <row r="55" spans="1:179" s="371" customFormat="1" hidden="1">
      <c r="A55" s="368" t="s">
        <v>526</v>
      </c>
      <c r="B55" s="369" t="s">
        <v>517</v>
      </c>
      <c r="C55" s="369" t="s">
        <v>555</v>
      </c>
      <c r="D55" s="369" t="s">
        <v>8</v>
      </c>
      <c r="E55" s="370" t="s">
        <v>589</v>
      </c>
      <c r="F55" s="369" t="s">
        <v>520</v>
      </c>
      <c r="G55" s="369" t="s">
        <v>1064</v>
      </c>
      <c r="BT55" s="372" t="s">
        <v>850</v>
      </c>
      <c r="BV55" s="372" t="s">
        <v>850</v>
      </c>
      <c r="DI55" s="372" t="s">
        <v>850</v>
      </c>
      <c r="DK55" s="372" t="s">
        <v>850</v>
      </c>
      <c r="EU55" s="418">
        <f>10</f>
        <v>10</v>
      </c>
      <c r="FQ55" s="375" t="s">
        <v>850</v>
      </c>
      <c r="FR55" s="376" t="s">
        <v>1049</v>
      </c>
      <c r="FS55" s="377" t="s">
        <v>522</v>
      </c>
      <c r="FT55" s="377" t="s">
        <v>850</v>
      </c>
      <c r="FU55" s="377" t="s">
        <v>592</v>
      </c>
      <c r="FV55" s="144">
        <f t="shared" si="4"/>
        <v>10</v>
      </c>
      <c r="FW55" s="371" t="s">
        <v>905</v>
      </c>
    </row>
    <row r="56" spans="1:179" s="371" customFormat="1" hidden="1">
      <c r="A56" s="368" t="s">
        <v>526</v>
      </c>
      <c r="B56" s="369" t="s">
        <v>517</v>
      </c>
      <c r="C56" s="369" t="s">
        <v>555</v>
      </c>
      <c r="D56" s="369" t="s">
        <v>4</v>
      </c>
      <c r="E56" s="370" t="s">
        <v>589</v>
      </c>
      <c r="F56" s="369" t="s">
        <v>520</v>
      </c>
      <c r="G56" s="369" t="s">
        <v>1064</v>
      </c>
      <c r="H56" s="372" t="s">
        <v>850</v>
      </c>
      <c r="I56" s="372" t="s">
        <v>850</v>
      </c>
      <c r="J56" s="373">
        <f>5-5</f>
        <v>0</v>
      </c>
      <c r="K56" s="372" t="s">
        <v>850</v>
      </c>
      <c r="L56" s="372" t="s">
        <v>850</v>
      </c>
      <c r="M56" s="372" t="s">
        <v>850</v>
      </c>
      <c r="N56" s="373">
        <f>5-5</f>
        <v>0</v>
      </c>
      <c r="O56" s="373">
        <f>5-5</f>
        <v>0</v>
      </c>
      <c r="P56" s="373">
        <f>5-5</f>
        <v>0</v>
      </c>
      <c r="Q56" s="372" t="s">
        <v>850</v>
      </c>
      <c r="R56" s="372" t="s">
        <v>850</v>
      </c>
      <c r="S56" s="372" t="s">
        <v>850</v>
      </c>
      <c r="T56" s="373">
        <f>5-5</f>
        <v>0</v>
      </c>
      <c r="U56" s="373">
        <f>10-10</f>
        <v>0</v>
      </c>
      <c r="V56" s="372" t="s">
        <v>850</v>
      </c>
      <c r="W56" s="372" t="s">
        <v>850</v>
      </c>
      <c r="X56" s="372" t="s">
        <v>850</v>
      </c>
      <c r="Y56" s="372" t="s">
        <v>850</v>
      </c>
      <c r="Z56" s="373">
        <f>10-10</f>
        <v>0</v>
      </c>
      <c r="AA56" s="373">
        <f>10-10</f>
        <v>0</v>
      </c>
      <c r="AB56" s="373">
        <f>10-10</f>
        <v>0</v>
      </c>
      <c r="AC56" s="373">
        <f>10-10</f>
        <v>0</v>
      </c>
      <c r="AD56" s="373">
        <f>20-20</f>
        <v>0</v>
      </c>
      <c r="AE56" s="373">
        <f>20-20</f>
        <v>0</v>
      </c>
      <c r="AF56" s="372" t="s">
        <v>850</v>
      </c>
      <c r="AG56" s="373">
        <f>40-40</f>
        <v>0</v>
      </c>
      <c r="AH56" s="373">
        <f>50-50</f>
        <v>0</v>
      </c>
      <c r="AI56" s="372" t="s">
        <v>850</v>
      </c>
      <c r="AJ56" s="372" t="s">
        <v>850</v>
      </c>
      <c r="AK56" s="372" t="s">
        <v>850</v>
      </c>
      <c r="AL56" s="372" t="s">
        <v>850</v>
      </c>
      <c r="AM56" s="372" t="s">
        <v>850</v>
      </c>
      <c r="AN56" s="372" t="s">
        <v>850</v>
      </c>
      <c r="AO56" s="372" t="s">
        <v>850</v>
      </c>
      <c r="AP56" s="372" t="s">
        <v>850</v>
      </c>
      <c r="AQ56" s="372" t="s">
        <v>850</v>
      </c>
      <c r="AR56" s="372" t="s">
        <v>850</v>
      </c>
      <c r="AS56" s="372" t="s">
        <v>850</v>
      </c>
      <c r="AT56" s="372" t="s">
        <v>850</v>
      </c>
      <c r="AU56" s="372" t="s">
        <v>850</v>
      </c>
      <c r="AV56" s="372" t="s">
        <v>850</v>
      </c>
      <c r="AW56" s="372" t="s">
        <v>850</v>
      </c>
      <c r="AX56" s="372" t="s">
        <v>850</v>
      </c>
      <c r="AY56" s="372" t="s">
        <v>850</v>
      </c>
      <c r="AZ56" s="372" t="s">
        <v>850</v>
      </c>
      <c r="BA56" s="373">
        <f>10-10</f>
        <v>0</v>
      </c>
      <c r="BB56" s="373">
        <f>10-10</f>
        <v>0</v>
      </c>
      <c r="BC56" s="372" t="s">
        <v>850</v>
      </c>
      <c r="BD56" s="373">
        <f>10-10</f>
        <v>0</v>
      </c>
      <c r="BE56" s="372" t="s">
        <v>850</v>
      </c>
      <c r="BF56" s="372" t="s">
        <v>850</v>
      </c>
      <c r="BG56" s="372" t="s">
        <v>850</v>
      </c>
      <c r="BH56" s="372" t="s">
        <v>850</v>
      </c>
      <c r="BI56" s="372" t="s">
        <v>850</v>
      </c>
      <c r="BJ56" s="372" t="s">
        <v>850</v>
      </c>
      <c r="BK56" s="373">
        <f>5-5</f>
        <v>0</v>
      </c>
      <c r="BL56" s="372" t="s">
        <v>850</v>
      </c>
      <c r="BM56" s="372" t="s">
        <v>850</v>
      </c>
      <c r="BN56" s="373">
        <f>10-10</f>
        <v>0</v>
      </c>
      <c r="BO56" s="373">
        <f>10-10</f>
        <v>0</v>
      </c>
      <c r="BP56" s="372" t="s">
        <v>850</v>
      </c>
      <c r="BQ56" s="372" t="s">
        <v>850</v>
      </c>
      <c r="BR56" s="372" t="s">
        <v>850</v>
      </c>
      <c r="BS56" s="372" t="s">
        <v>850</v>
      </c>
      <c r="BT56" s="372" t="s">
        <v>850</v>
      </c>
      <c r="BU56" s="372" t="s">
        <v>850</v>
      </c>
      <c r="BV56" s="372" t="s">
        <v>850</v>
      </c>
      <c r="BW56" s="373">
        <f>5-5</f>
        <v>0</v>
      </c>
      <c r="BX56" s="373">
        <f>5-5</f>
        <v>0</v>
      </c>
      <c r="CA56" s="372" t="s">
        <v>850</v>
      </c>
      <c r="CB56" s="373">
        <f>10-10</f>
        <v>0</v>
      </c>
      <c r="CD56" s="373">
        <f>10-10</f>
        <v>0</v>
      </c>
      <c r="CE56" s="373">
        <f>20-20</f>
        <v>0</v>
      </c>
      <c r="CG56" s="373">
        <f>20-20</f>
        <v>0</v>
      </c>
      <c r="CH56" s="372" t="s">
        <v>850</v>
      </c>
      <c r="CI56" s="373">
        <f>5-5</f>
        <v>0</v>
      </c>
      <c r="CJ56" s="373">
        <f>10-10</f>
        <v>0</v>
      </c>
      <c r="CK56" s="373">
        <f>10-10</f>
        <v>0</v>
      </c>
      <c r="CL56" s="373">
        <f>10-10</f>
        <v>0</v>
      </c>
      <c r="CM56" s="373">
        <f>10-10</f>
        <v>0</v>
      </c>
      <c r="CN56" s="372" t="s">
        <v>850</v>
      </c>
      <c r="CO56" s="372" t="s">
        <v>850</v>
      </c>
      <c r="CP56" s="373">
        <f>10-10</f>
        <v>0</v>
      </c>
      <c r="CR56" s="373">
        <f>10-10</f>
        <v>0</v>
      </c>
      <c r="CS56" s="373">
        <f>10-10</f>
        <v>0</v>
      </c>
      <c r="CT56" s="373">
        <f>5-5</f>
        <v>0</v>
      </c>
      <c r="CU56" s="372" t="s">
        <v>850</v>
      </c>
      <c r="CV56" s="373">
        <f>10-10</f>
        <v>0</v>
      </c>
      <c r="CW56" s="373">
        <f>40-40</f>
        <v>0</v>
      </c>
      <c r="CY56" s="373">
        <f>10-10</f>
        <v>0</v>
      </c>
      <c r="CZ56" s="373">
        <f>30-30</f>
        <v>0</v>
      </c>
      <c r="DA56" s="373">
        <f>10-10</f>
        <v>0</v>
      </c>
      <c r="DB56" s="372" t="s">
        <v>850</v>
      </c>
      <c r="DC56" s="372" t="s">
        <v>850</v>
      </c>
      <c r="DD56" s="372" t="s">
        <v>850</v>
      </c>
      <c r="DE56" s="372" t="s">
        <v>850</v>
      </c>
      <c r="DF56" s="373">
        <f>10-10</f>
        <v>0</v>
      </c>
      <c r="DG56" s="373">
        <f>40-40</f>
        <v>0</v>
      </c>
      <c r="DH56" s="373">
        <f>10-10</f>
        <v>0</v>
      </c>
      <c r="DI56" s="372" t="s">
        <v>850</v>
      </c>
      <c r="DJ56" s="373">
        <f>40-40</f>
        <v>0</v>
      </c>
      <c r="DK56" s="372" t="s">
        <v>850</v>
      </c>
      <c r="DL56" s="373">
        <f>20-20</f>
        <v>0</v>
      </c>
      <c r="DM56" s="372" t="s">
        <v>850</v>
      </c>
      <c r="DN56" s="372" t="s">
        <v>850</v>
      </c>
      <c r="DO56" s="372" t="s">
        <v>850</v>
      </c>
      <c r="DP56" s="372" t="s">
        <v>850</v>
      </c>
      <c r="DQ56" s="372" t="s">
        <v>850</v>
      </c>
      <c r="DR56" s="372" t="s">
        <v>850</v>
      </c>
      <c r="DS56" s="372" t="s">
        <v>850</v>
      </c>
      <c r="DT56" s="372" t="s">
        <v>850</v>
      </c>
      <c r="DU56" s="372" t="s">
        <v>850</v>
      </c>
      <c r="DV56" s="372" t="s">
        <v>850</v>
      </c>
      <c r="DW56" s="373">
        <f>20-20</f>
        <v>0</v>
      </c>
      <c r="DX56" s="372" t="s">
        <v>850</v>
      </c>
      <c r="DY56" s="416">
        <f>20-20+15</f>
        <v>15</v>
      </c>
      <c r="DZ56" s="372" t="s">
        <v>850</v>
      </c>
      <c r="EA56" s="372" t="s">
        <v>850</v>
      </c>
      <c r="EB56" s="416">
        <f>10-10+8</f>
        <v>8</v>
      </c>
      <c r="EC56" s="373">
        <f>20-20</f>
        <v>0</v>
      </c>
      <c r="ED56" s="372" t="s">
        <v>850</v>
      </c>
      <c r="EE56" s="373">
        <f>20-20</f>
        <v>0</v>
      </c>
      <c r="EF56" s="372" t="s">
        <v>850</v>
      </c>
      <c r="EG56" s="373">
        <f>20-20</f>
        <v>0</v>
      </c>
      <c r="EH56" s="372" t="s">
        <v>850</v>
      </c>
      <c r="EI56" s="373">
        <f>20-20</f>
        <v>0</v>
      </c>
      <c r="EJ56" s="372" t="s">
        <v>850</v>
      </c>
      <c r="EK56" s="373">
        <f>20-20</f>
        <v>0</v>
      </c>
      <c r="EL56" s="373">
        <f>20-20</f>
        <v>0</v>
      </c>
      <c r="EM56" s="372" t="s">
        <v>850</v>
      </c>
      <c r="EN56" s="372" t="s">
        <v>850</v>
      </c>
      <c r="EO56" s="373">
        <f>20-20</f>
        <v>0</v>
      </c>
      <c r="EP56" s="372" t="s">
        <v>850</v>
      </c>
      <c r="EQ56" s="373">
        <f>20-20</f>
        <v>0</v>
      </c>
      <c r="ER56" s="372" t="s">
        <v>850</v>
      </c>
      <c r="ES56" s="372" t="s">
        <v>850</v>
      </c>
      <c r="ET56" s="372" t="s">
        <v>850</v>
      </c>
      <c r="EU56" s="373">
        <f>20-20</f>
        <v>0</v>
      </c>
      <c r="EV56" s="372" t="s">
        <v>850</v>
      </c>
      <c r="EW56" s="372" t="s">
        <v>850</v>
      </c>
      <c r="EX56" s="372" t="s">
        <v>850</v>
      </c>
      <c r="EY56" s="372" t="s">
        <v>850</v>
      </c>
      <c r="EZ56" s="372" t="s">
        <v>850</v>
      </c>
      <c r="FA56" s="373">
        <f>20-20</f>
        <v>0</v>
      </c>
      <c r="FB56" s="372" t="s">
        <v>850</v>
      </c>
      <c r="FC56" s="372" t="s">
        <v>850</v>
      </c>
      <c r="FD56" s="372" t="s">
        <v>850</v>
      </c>
      <c r="FE56" s="372" t="s">
        <v>850</v>
      </c>
      <c r="FF56" s="372" t="s">
        <v>850</v>
      </c>
      <c r="FG56" s="372" t="s">
        <v>850</v>
      </c>
      <c r="FH56" s="372" t="s">
        <v>850</v>
      </c>
      <c r="FI56" s="373">
        <f>60-60</f>
        <v>0</v>
      </c>
      <c r="FJ56" s="372" t="s">
        <v>850</v>
      </c>
      <c r="FK56" s="372" t="s">
        <v>850</v>
      </c>
      <c r="FL56" s="372" t="s">
        <v>850</v>
      </c>
      <c r="FM56" s="372" t="s">
        <v>850</v>
      </c>
      <c r="FN56" s="372" t="s">
        <v>850</v>
      </c>
      <c r="FO56" s="372" t="s">
        <v>850</v>
      </c>
      <c r="FP56" s="372" t="s">
        <v>850</v>
      </c>
      <c r="FQ56" s="375" t="s">
        <v>850</v>
      </c>
      <c r="FR56" s="376" t="s">
        <v>1049</v>
      </c>
      <c r="FS56" s="377" t="s">
        <v>522</v>
      </c>
      <c r="FT56" s="377" t="s">
        <v>850</v>
      </c>
      <c r="FU56" s="377" t="s">
        <v>592</v>
      </c>
      <c r="FV56" s="144">
        <f t="shared" si="4"/>
        <v>23</v>
      </c>
      <c r="FW56" s="371" t="s">
        <v>905</v>
      </c>
    </row>
    <row r="57" spans="1:179" s="371" customFormat="1" hidden="1">
      <c r="A57" s="368" t="s">
        <v>526</v>
      </c>
      <c r="B57" s="369" t="s">
        <v>517</v>
      </c>
      <c r="C57" s="369" t="s">
        <v>555</v>
      </c>
      <c r="D57" s="369" t="s">
        <v>3</v>
      </c>
      <c r="E57" s="370" t="s">
        <v>589</v>
      </c>
      <c r="F57" s="369" t="s">
        <v>520</v>
      </c>
      <c r="G57" s="369"/>
      <c r="H57" s="372"/>
      <c r="I57" s="372"/>
      <c r="J57" s="372"/>
      <c r="K57" s="372"/>
      <c r="L57" s="372"/>
      <c r="M57" s="372"/>
      <c r="N57" s="372"/>
      <c r="O57" s="372"/>
      <c r="P57" s="372"/>
      <c r="Q57" s="372"/>
      <c r="R57" s="372"/>
      <c r="S57" s="372"/>
      <c r="T57" s="372"/>
      <c r="U57" s="372"/>
      <c r="V57" s="372"/>
      <c r="W57" s="372"/>
      <c r="X57" s="372"/>
      <c r="Y57" s="372"/>
      <c r="Z57" s="372"/>
      <c r="AA57" s="372"/>
      <c r="AB57" s="372"/>
      <c r="AC57" s="372"/>
      <c r="AD57" s="372"/>
      <c r="AE57" s="372"/>
      <c r="AF57" s="372"/>
      <c r="AG57" s="372"/>
      <c r="AH57" s="372"/>
      <c r="AI57" s="372"/>
      <c r="AJ57" s="372"/>
      <c r="AK57" s="372"/>
      <c r="AL57" s="372"/>
      <c r="AM57" s="372"/>
      <c r="AN57" s="372"/>
      <c r="AO57" s="372"/>
      <c r="AP57" s="372"/>
      <c r="AQ57" s="372"/>
      <c r="AR57" s="372"/>
      <c r="AS57" s="372"/>
      <c r="AT57" s="372"/>
      <c r="AU57" s="372"/>
      <c r="AV57" s="372"/>
      <c r="AW57" s="372"/>
      <c r="AX57" s="372"/>
      <c r="AY57" s="372"/>
      <c r="AZ57" s="372"/>
      <c r="BA57" s="372"/>
      <c r="BB57" s="372"/>
      <c r="BC57" s="372"/>
      <c r="BD57" s="372"/>
      <c r="BE57" s="372"/>
      <c r="BF57" s="372"/>
      <c r="BG57" s="372"/>
      <c r="BH57" s="372"/>
      <c r="BI57" s="372"/>
      <c r="BJ57" s="372"/>
      <c r="BK57" s="372"/>
      <c r="BL57" s="372"/>
      <c r="BM57" s="372"/>
      <c r="BN57" s="372"/>
      <c r="BO57" s="372"/>
      <c r="BP57" s="372"/>
      <c r="BQ57" s="372"/>
      <c r="BR57" s="372"/>
      <c r="BS57" s="372"/>
      <c r="BT57" s="372" t="s">
        <v>850</v>
      </c>
      <c r="BU57" s="372"/>
      <c r="BV57" s="372" t="s">
        <v>850</v>
      </c>
      <c r="BW57" s="372"/>
      <c r="BX57" s="372"/>
      <c r="CA57" s="372"/>
      <c r="CB57" s="372"/>
      <c r="CD57" s="372"/>
      <c r="CE57" s="372"/>
      <c r="CG57" s="372"/>
      <c r="CH57" s="372"/>
      <c r="CI57" s="372"/>
      <c r="CJ57" s="372"/>
      <c r="CK57" s="372"/>
      <c r="CL57" s="372"/>
      <c r="CM57" s="372"/>
      <c r="CN57" s="372"/>
      <c r="CO57" s="372"/>
      <c r="CP57" s="372"/>
      <c r="CR57" s="372"/>
      <c r="CS57" s="372"/>
      <c r="CT57" s="372"/>
      <c r="CU57" s="372"/>
      <c r="CV57" s="372"/>
      <c r="CW57" s="372"/>
      <c r="CY57" s="372"/>
      <c r="CZ57" s="372"/>
      <c r="DA57" s="372"/>
      <c r="DB57" s="372"/>
      <c r="DC57" s="372"/>
      <c r="DD57" s="372"/>
      <c r="DE57" s="372"/>
      <c r="DF57" s="372"/>
      <c r="DG57" s="372"/>
      <c r="DH57" s="372"/>
      <c r="DI57" s="372" t="s">
        <v>850</v>
      </c>
      <c r="DJ57" s="372"/>
      <c r="DK57" s="372" t="s">
        <v>850</v>
      </c>
      <c r="DL57" s="372"/>
      <c r="DM57" s="372"/>
      <c r="DN57" s="372"/>
      <c r="DO57" s="372"/>
      <c r="DP57" s="372"/>
      <c r="DQ57" s="372"/>
      <c r="DR57" s="372"/>
      <c r="DS57" s="372"/>
      <c r="DT57" s="372"/>
      <c r="DU57" s="372"/>
      <c r="DV57" s="372"/>
      <c r="DW57" s="372"/>
      <c r="DX57" s="372"/>
      <c r="DY57" s="372"/>
      <c r="DZ57" s="372"/>
      <c r="EA57" s="372"/>
      <c r="EB57" s="372"/>
      <c r="EC57" s="372"/>
      <c r="ED57" s="372"/>
      <c r="EE57" s="372"/>
      <c r="EF57" s="372"/>
      <c r="EG57" s="372"/>
      <c r="EH57" s="372"/>
      <c r="EI57" s="372"/>
      <c r="EJ57" s="372"/>
      <c r="EK57" s="372"/>
      <c r="EL57" s="372"/>
      <c r="EM57" s="372"/>
      <c r="EN57" s="372"/>
      <c r="EO57" s="372"/>
      <c r="EP57" s="372"/>
      <c r="EQ57" s="372"/>
      <c r="ER57" s="372"/>
      <c r="ES57" s="372"/>
      <c r="ET57" s="372"/>
      <c r="EU57" s="372"/>
      <c r="EV57" s="372"/>
      <c r="EW57" s="372"/>
      <c r="EX57" s="372"/>
      <c r="EY57" s="372"/>
      <c r="EZ57" s="372"/>
      <c r="FA57" s="372"/>
      <c r="FB57" s="372"/>
      <c r="FC57" s="372"/>
      <c r="FD57" s="372"/>
      <c r="FE57" s="372"/>
      <c r="FF57" s="372"/>
      <c r="FG57" s="372"/>
      <c r="FH57" s="372"/>
      <c r="FI57" s="372"/>
      <c r="FJ57" s="372"/>
      <c r="FK57" s="372"/>
      <c r="FL57" s="372"/>
      <c r="FM57" s="372"/>
      <c r="FN57" s="372"/>
      <c r="FO57" s="372"/>
      <c r="FP57" s="372"/>
      <c r="FQ57" s="375" t="s">
        <v>850</v>
      </c>
      <c r="FR57" s="376" t="s">
        <v>1049</v>
      </c>
      <c r="FS57" s="377" t="s">
        <v>522</v>
      </c>
      <c r="FT57" s="377" t="s">
        <v>850</v>
      </c>
      <c r="FU57" s="377" t="s">
        <v>592</v>
      </c>
      <c r="FV57" s="144">
        <f t="shared" si="4"/>
        <v>0</v>
      </c>
      <c r="FW57" s="371" t="s">
        <v>905</v>
      </c>
    </row>
    <row r="58" spans="1:179" s="371" customFormat="1" hidden="1">
      <c r="A58" s="368" t="s">
        <v>526</v>
      </c>
      <c r="B58" s="369" t="s">
        <v>525</v>
      </c>
      <c r="C58" s="369" t="s">
        <v>555</v>
      </c>
      <c r="D58" s="369" t="s">
        <v>8</v>
      </c>
      <c r="E58" s="379" t="s">
        <v>589</v>
      </c>
      <c r="F58" s="369" t="s">
        <v>520</v>
      </c>
      <c r="G58" s="369"/>
      <c r="BT58" s="372" t="s">
        <v>850</v>
      </c>
      <c r="BV58" s="372" t="s">
        <v>850</v>
      </c>
      <c r="DK58" s="372" t="s">
        <v>850</v>
      </c>
      <c r="FQ58" s="375" t="s">
        <v>850</v>
      </c>
      <c r="FR58" s="376" t="s">
        <v>1049</v>
      </c>
      <c r="FS58" s="377" t="s">
        <v>522</v>
      </c>
      <c r="FT58" s="377" t="s">
        <v>850</v>
      </c>
      <c r="FU58" s="377" t="s">
        <v>592</v>
      </c>
      <c r="FV58" s="144">
        <f t="shared" si="4"/>
        <v>0</v>
      </c>
      <c r="FW58" s="371" t="s">
        <v>905</v>
      </c>
    </row>
    <row r="59" spans="1:179" s="371" customFormat="1" hidden="1">
      <c r="A59" s="368" t="s">
        <v>526</v>
      </c>
      <c r="B59" s="369" t="s">
        <v>525</v>
      </c>
      <c r="C59" s="369" t="s">
        <v>555</v>
      </c>
      <c r="D59" s="369" t="s">
        <v>4</v>
      </c>
      <c r="E59" s="379" t="s">
        <v>589</v>
      </c>
      <c r="F59" s="369" t="s">
        <v>520</v>
      </c>
      <c r="G59" s="369"/>
      <c r="H59" s="372" t="s">
        <v>850</v>
      </c>
      <c r="I59" s="372" t="s">
        <v>850</v>
      </c>
      <c r="J59" s="372" t="s">
        <v>850</v>
      </c>
      <c r="K59" s="372" t="s">
        <v>850</v>
      </c>
      <c r="L59" s="372" t="s">
        <v>850</v>
      </c>
      <c r="M59" s="372" t="s">
        <v>850</v>
      </c>
      <c r="N59" s="372" t="s">
        <v>850</v>
      </c>
      <c r="O59" s="372" t="s">
        <v>850</v>
      </c>
      <c r="P59" s="372" t="s">
        <v>850</v>
      </c>
      <c r="Q59" s="372" t="s">
        <v>850</v>
      </c>
      <c r="R59" s="372" t="s">
        <v>850</v>
      </c>
      <c r="S59" s="372" t="s">
        <v>850</v>
      </c>
      <c r="T59" s="372" t="s">
        <v>850</v>
      </c>
      <c r="U59" s="372" t="s">
        <v>850</v>
      </c>
      <c r="V59" s="372" t="s">
        <v>850</v>
      </c>
      <c r="W59" s="372" t="s">
        <v>850</v>
      </c>
      <c r="X59" s="372" t="s">
        <v>850</v>
      </c>
      <c r="Y59" s="372" t="s">
        <v>850</v>
      </c>
      <c r="Z59" s="372" t="s">
        <v>850</v>
      </c>
      <c r="AA59" s="372" t="s">
        <v>850</v>
      </c>
      <c r="AB59" s="372" t="s">
        <v>850</v>
      </c>
      <c r="AC59" s="372" t="s">
        <v>850</v>
      </c>
      <c r="AD59" s="372" t="s">
        <v>850</v>
      </c>
      <c r="AE59" s="372" t="s">
        <v>850</v>
      </c>
      <c r="AF59" s="372" t="s">
        <v>850</v>
      </c>
      <c r="AG59" s="372" t="s">
        <v>850</v>
      </c>
      <c r="AH59" s="372" t="s">
        <v>850</v>
      </c>
      <c r="AI59" s="372" t="s">
        <v>850</v>
      </c>
      <c r="AJ59" s="372" t="s">
        <v>850</v>
      </c>
      <c r="AK59" s="372" t="s">
        <v>850</v>
      </c>
      <c r="AL59" s="372" t="s">
        <v>850</v>
      </c>
      <c r="AM59" s="372" t="s">
        <v>850</v>
      </c>
      <c r="AN59" s="372" t="s">
        <v>850</v>
      </c>
      <c r="AO59" s="372" t="s">
        <v>850</v>
      </c>
      <c r="AP59" s="372" t="s">
        <v>850</v>
      </c>
      <c r="AQ59" s="372" t="s">
        <v>850</v>
      </c>
      <c r="AR59" s="372" t="s">
        <v>850</v>
      </c>
      <c r="AS59" s="372" t="s">
        <v>850</v>
      </c>
      <c r="AT59" s="372" t="s">
        <v>850</v>
      </c>
      <c r="AU59" s="372" t="s">
        <v>850</v>
      </c>
      <c r="AV59" s="372" t="s">
        <v>850</v>
      </c>
      <c r="AW59" s="372" t="s">
        <v>850</v>
      </c>
      <c r="AX59" s="372" t="s">
        <v>850</v>
      </c>
      <c r="AY59" s="372" t="s">
        <v>850</v>
      </c>
      <c r="AZ59" s="372" t="s">
        <v>850</v>
      </c>
      <c r="BA59" s="372" t="s">
        <v>850</v>
      </c>
      <c r="BB59" s="372" t="s">
        <v>850</v>
      </c>
      <c r="BC59" s="372" t="s">
        <v>850</v>
      </c>
      <c r="BD59" s="372" t="s">
        <v>850</v>
      </c>
      <c r="BE59" s="372" t="s">
        <v>850</v>
      </c>
      <c r="BF59" s="372" t="s">
        <v>850</v>
      </c>
      <c r="BG59" s="372" t="s">
        <v>850</v>
      </c>
      <c r="BH59" s="372" t="s">
        <v>850</v>
      </c>
      <c r="BI59" s="372" t="s">
        <v>850</v>
      </c>
      <c r="BJ59" s="372" t="s">
        <v>850</v>
      </c>
      <c r="BK59" s="372" t="s">
        <v>850</v>
      </c>
      <c r="BL59" s="372" t="s">
        <v>850</v>
      </c>
      <c r="BM59" s="372" t="s">
        <v>850</v>
      </c>
      <c r="BN59" s="372" t="s">
        <v>850</v>
      </c>
      <c r="BO59" s="372" t="s">
        <v>850</v>
      </c>
      <c r="BP59" s="372" t="s">
        <v>850</v>
      </c>
      <c r="BQ59" s="372" t="s">
        <v>850</v>
      </c>
      <c r="BR59" s="372" t="s">
        <v>850</v>
      </c>
      <c r="BS59" s="372" t="s">
        <v>850</v>
      </c>
      <c r="BT59" s="372" t="s">
        <v>850</v>
      </c>
      <c r="BU59" s="372" t="s">
        <v>850</v>
      </c>
      <c r="BV59" s="372" t="s">
        <v>850</v>
      </c>
      <c r="BW59" s="372" t="s">
        <v>850</v>
      </c>
      <c r="BX59" s="372" t="s">
        <v>850</v>
      </c>
      <c r="CA59" s="372" t="s">
        <v>850</v>
      </c>
      <c r="CB59" s="372" t="s">
        <v>850</v>
      </c>
      <c r="CD59" s="372" t="s">
        <v>850</v>
      </c>
      <c r="CE59" s="372" t="s">
        <v>850</v>
      </c>
      <c r="CG59" s="372" t="s">
        <v>850</v>
      </c>
      <c r="CH59" s="372" t="s">
        <v>850</v>
      </c>
      <c r="CI59" s="372" t="s">
        <v>850</v>
      </c>
      <c r="CJ59" s="372" t="s">
        <v>850</v>
      </c>
      <c r="CK59" s="372" t="s">
        <v>850</v>
      </c>
      <c r="CL59" s="372" t="s">
        <v>850</v>
      </c>
      <c r="CM59" s="372" t="s">
        <v>850</v>
      </c>
      <c r="CN59" s="372" t="s">
        <v>850</v>
      </c>
      <c r="CO59" s="372" t="s">
        <v>850</v>
      </c>
      <c r="CP59" s="372" t="s">
        <v>850</v>
      </c>
      <c r="CR59" s="372" t="s">
        <v>850</v>
      </c>
      <c r="CS59" s="372" t="s">
        <v>850</v>
      </c>
      <c r="CT59" s="372" t="s">
        <v>850</v>
      </c>
      <c r="CU59" s="372" t="s">
        <v>850</v>
      </c>
      <c r="CV59" s="372" t="s">
        <v>850</v>
      </c>
      <c r="CW59" s="372" t="s">
        <v>850</v>
      </c>
      <c r="CY59" s="372" t="s">
        <v>850</v>
      </c>
      <c r="CZ59" s="372" t="s">
        <v>850</v>
      </c>
      <c r="DA59" s="372" t="s">
        <v>850</v>
      </c>
      <c r="DB59" s="372" t="s">
        <v>850</v>
      </c>
      <c r="DC59" s="372" t="s">
        <v>850</v>
      </c>
      <c r="DD59" s="372" t="s">
        <v>850</v>
      </c>
      <c r="DE59" s="372" t="s">
        <v>850</v>
      </c>
      <c r="DF59" s="372" t="s">
        <v>850</v>
      </c>
      <c r="DG59" s="372" t="s">
        <v>850</v>
      </c>
      <c r="DH59" s="372" t="s">
        <v>850</v>
      </c>
      <c r="DI59" s="372" t="s">
        <v>850</v>
      </c>
      <c r="DJ59" s="372" t="s">
        <v>850</v>
      </c>
      <c r="DK59" s="372" t="s">
        <v>850</v>
      </c>
      <c r="DL59" s="372" t="s">
        <v>850</v>
      </c>
      <c r="DM59" s="372" t="s">
        <v>850</v>
      </c>
      <c r="DN59" s="372" t="s">
        <v>850</v>
      </c>
      <c r="DO59" s="372" t="s">
        <v>850</v>
      </c>
      <c r="DP59" s="372" t="s">
        <v>850</v>
      </c>
      <c r="DQ59" s="372" t="s">
        <v>850</v>
      </c>
      <c r="DR59" s="372" t="s">
        <v>850</v>
      </c>
      <c r="DS59" s="372" t="s">
        <v>850</v>
      </c>
      <c r="DT59" s="372" t="s">
        <v>850</v>
      </c>
      <c r="DU59" s="372" t="s">
        <v>850</v>
      </c>
      <c r="DV59" s="372" t="s">
        <v>850</v>
      </c>
      <c r="DW59" s="372" t="s">
        <v>850</v>
      </c>
      <c r="DX59" s="372" t="s">
        <v>850</v>
      </c>
      <c r="DY59" s="372" t="s">
        <v>850</v>
      </c>
      <c r="DZ59" s="372" t="s">
        <v>850</v>
      </c>
      <c r="EA59" s="372" t="s">
        <v>850</v>
      </c>
      <c r="EB59" s="372" t="s">
        <v>850</v>
      </c>
      <c r="EC59" s="372" t="s">
        <v>850</v>
      </c>
      <c r="ED59" s="373">
        <f>20-20</f>
        <v>0</v>
      </c>
      <c r="EE59" s="372" t="s">
        <v>850</v>
      </c>
      <c r="EF59" s="372" t="s">
        <v>850</v>
      </c>
      <c r="EG59" s="372" t="s">
        <v>850</v>
      </c>
      <c r="EH59" s="373">
        <f>20-20</f>
        <v>0</v>
      </c>
      <c r="EI59" s="373">
        <f>20-20</f>
        <v>0</v>
      </c>
      <c r="EJ59" s="372" t="s">
        <v>850</v>
      </c>
      <c r="EK59" s="372" t="s">
        <v>850</v>
      </c>
      <c r="EL59" s="372" t="s">
        <v>850</v>
      </c>
      <c r="EM59" s="373">
        <f>20-20</f>
        <v>0</v>
      </c>
      <c r="EN59" s="372" t="s">
        <v>850</v>
      </c>
      <c r="EO59" s="372" t="s">
        <v>850</v>
      </c>
      <c r="EP59" s="372" t="s">
        <v>850</v>
      </c>
      <c r="EQ59" s="372" t="s">
        <v>850</v>
      </c>
      <c r="ER59" s="372" t="s">
        <v>850</v>
      </c>
      <c r="ES59" s="373">
        <f>20-20</f>
        <v>0</v>
      </c>
      <c r="ET59" s="373">
        <f>20-20</f>
        <v>0</v>
      </c>
      <c r="EU59" s="372" t="s">
        <v>850</v>
      </c>
      <c r="EV59" s="416">
        <f>40-40+20</f>
        <v>20</v>
      </c>
      <c r="EW59" s="372" t="s">
        <v>850</v>
      </c>
      <c r="EX59" s="373">
        <f>20-20</f>
        <v>0</v>
      </c>
      <c r="EY59" s="372" t="s">
        <v>850</v>
      </c>
      <c r="EZ59" s="372" t="s">
        <v>850</v>
      </c>
      <c r="FA59" s="372" t="s">
        <v>850</v>
      </c>
      <c r="FB59" s="372" t="s">
        <v>850</v>
      </c>
      <c r="FC59" s="373">
        <f>20-20</f>
        <v>0</v>
      </c>
      <c r="FD59" s="372" t="s">
        <v>850</v>
      </c>
      <c r="FE59" s="372" t="s">
        <v>850</v>
      </c>
      <c r="FF59" s="373">
        <f>30-30</f>
        <v>0</v>
      </c>
      <c r="FG59" s="372" t="s">
        <v>850</v>
      </c>
      <c r="FH59" s="372" t="s">
        <v>850</v>
      </c>
      <c r="FI59" s="373">
        <f>90-90</f>
        <v>0</v>
      </c>
      <c r="FJ59" s="372" t="s">
        <v>850</v>
      </c>
      <c r="FK59" s="372" t="s">
        <v>850</v>
      </c>
      <c r="FL59" s="372" t="s">
        <v>850</v>
      </c>
      <c r="FM59" s="372" t="s">
        <v>850</v>
      </c>
      <c r="FN59" s="372" t="s">
        <v>850</v>
      </c>
      <c r="FO59" s="372" t="s">
        <v>850</v>
      </c>
      <c r="FP59" s="372" t="s">
        <v>850</v>
      </c>
      <c r="FQ59" s="375" t="s">
        <v>850</v>
      </c>
      <c r="FR59" s="376" t="s">
        <v>1049</v>
      </c>
      <c r="FS59" s="377" t="s">
        <v>522</v>
      </c>
      <c r="FT59" s="377" t="s">
        <v>850</v>
      </c>
      <c r="FU59" s="377" t="s">
        <v>592</v>
      </c>
      <c r="FV59" s="144">
        <f t="shared" si="4"/>
        <v>20</v>
      </c>
      <c r="FW59" s="371" t="s">
        <v>905</v>
      </c>
    </row>
    <row r="60" spans="1:179" s="371" customFormat="1" hidden="1">
      <c r="A60" s="368" t="s">
        <v>526</v>
      </c>
      <c r="B60" s="369" t="s">
        <v>525</v>
      </c>
      <c r="C60" s="369" t="s">
        <v>555</v>
      </c>
      <c r="D60" s="369" t="s">
        <v>3</v>
      </c>
      <c r="E60" s="379" t="s">
        <v>589</v>
      </c>
      <c r="F60" s="369" t="s">
        <v>520</v>
      </c>
      <c r="G60" s="369"/>
      <c r="H60" s="372"/>
      <c r="I60" s="372"/>
      <c r="J60" s="372"/>
      <c r="K60" s="372"/>
      <c r="L60" s="372"/>
      <c r="M60" s="372"/>
      <c r="N60" s="372"/>
      <c r="O60" s="372"/>
      <c r="P60" s="372"/>
      <c r="Q60" s="372"/>
      <c r="R60" s="372"/>
      <c r="S60" s="372"/>
      <c r="T60" s="372"/>
      <c r="U60" s="372"/>
      <c r="V60" s="372"/>
      <c r="W60" s="372"/>
      <c r="X60" s="372"/>
      <c r="Y60" s="372"/>
      <c r="Z60" s="372"/>
      <c r="AA60" s="372"/>
      <c r="AB60" s="372"/>
      <c r="AC60" s="372"/>
      <c r="AD60" s="372"/>
      <c r="AE60" s="372"/>
      <c r="AF60" s="372"/>
      <c r="AG60" s="372"/>
      <c r="AH60" s="372"/>
      <c r="AI60" s="372"/>
      <c r="AJ60" s="372"/>
      <c r="AK60" s="372"/>
      <c r="AL60" s="372"/>
      <c r="AM60" s="372"/>
      <c r="AN60" s="372"/>
      <c r="AO60" s="372"/>
      <c r="AP60" s="372"/>
      <c r="AQ60" s="372"/>
      <c r="AR60" s="372"/>
      <c r="AS60" s="372"/>
      <c r="AT60" s="372"/>
      <c r="AU60" s="372"/>
      <c r="AV60" s="372"/>
      <c r="AW60" s="372"/>
      <c r="AX60" s="372"/>
      <c r="AY60" s="372"/>
      <c r="AZ60" s="372"/>
      <c r="BA60" s="372"/>
      <c r="BB60" s="372"/>
      <c r="BC60" s="372"/>
      <c r="BD60" s="372"/>
      <c r="BE60" s="372"/>
      <c r="BF60" s="372"/>
      <c r="BG60" s="372"/>
      <c r="BH60" s="372"/>
      <c r="BI60" s="372"/>
      <c r="BJ60" s="372"/>
      <c r="BK60" s="372"/>
      <c r="BL60" s="372"/>
      <c r="BM60" s="372"/>
      <c r="BN60" s="372"/>
      <c r="BO60" s="372"/>
      <c r="BP60" s="372"/>
      <c r="BQ60" s="372"/>
      <c r="BR60" s="372"/>
      <c r="BS60" s="372"/>
      <c r="BT60" s="372" t="s">
        <v>850</v>
      </c>
      <c r="BU60" s="372"/>
      <c r="BV60" s="372" t="s">
        <v>850</v>
      </c>
      <c r="BW60" s="372"/>
      <c r="BX60" s="372"/>
      <c r="CA60" s="372"/>
      <c r="CB60" s="372"/>
      <c r="CD60" s="372"/>
      <c r="CE60" s="372"/>
      <c r="CG60" s="372"/>
      <c r="CH60" s="372"/>
      <c r="CI60" s="372"/>
      <c r="CJ60" s="372"/>
      <c r="CK60" s="372"/>
      <c r="CL60" s="372"/>
      <c r="CM60" s="372"/>
      <c r="CN60" s="372"/>
      <c r="CO60" s="372"/>
      <c r="CP60" s="372"/>
      <c r="CR60" s="372"/>
      <c r="CS60" s="372"/>
      <c r="CT60" s="372"/>
      <c r="CU60" s="372"/>
      <c r="CV60" s="372"/>
      <c r="CW60" s="372"/>
      <c r="CY60" s="372"/>
      <c r="CZ60" s="372"/>
      <c r="DA60" s="372"/>
      <c r="DB60" s="372"/>
      <c r="DC60" s="372"/>
      <c r="DD60" s="372"/>
      <c r="DE60" s="372"/>
      <c r="DF60" s="372"/>
      <c r="DG60" s="372"/>
      <c r="DH60" s="372"/>
      <c r="DI60" s="372"/>
      <c r="DJ60" s="372"/>
      <c r="DK60" s="372" t="s">
        <v>850</v>
      </c>
      <c r="DL60" s="372"/>
      <c r="DM60" s="372"/>
      <c r="DN60" s="372"/>
      <c r="DO60" s="372"/>
      <c r="DP60" s="372"/>
      <c r="DQ60" s="372"/>
      <c r="DR60" s="372"/>
      <c r="DS60" s="372"/>
      <c r="DT60" s="372"/>
      <c r="DU60" s="372"/>
      <c r="DV60" s="372"/>
      <c r="DW60" s="372"/>
      <c r="DX60" s="372"/>
      <c r="DY60" s="372"/>
      <c r="DZ60" s="372"/>
      <c r="EA60" s="372"/>
      <c r="EB60" s="372"/>
      <c r="EC60" s="372"/>
      <c r="ED60" s="372"/>
      <c r="EE60" s="372"/>
      <c r="EF60" s="372"/>
      <c r="EG60" s="372"/>
      <c r="EH60" s="372"/>
      <c r="EI60" s="372"/>
      <c r="EJ60" s="372"/>
      <c r="EK60" s="372"/>
      <c r="EL60" s="372"/>
      <c r="EM60" s="372"/>
      <c r="EN60" s="372"/>
      <c r="EO60" s="372"/>
      <c r="EP60" s="372"/>
      <c r="EQ60" s="372"/>
      <c r="ER60" s="372"/>
      <c r="ES60" s="372"/>
      <c r="ET60" s="372"/>
      <c r="EU60" s="372"/>
      <c r="EV60" s="372"/>
      <c r="EW60" s="372"/>
      <c r="EX60" s="372"/>
      <c r="EY60" s="372"/>
      <c r="EZ60" s="372"/>
      <c r="FA60" s="372"/>
      <c r="FB60" s="372"/>
      <c r="FC60" s="372"/>
      <c r="FD60" s="372"/>
      <c r="FE60" s="372"/>
      <c r="FF60" s="372"/>
      <c r="FG60" s="372"/>
      <c r="FH60" s="372"/>
      <c r="FI60" s="372"/>
      <c r="FJ60" s="372"/>
      <c r="FK60" s="372"/>
      <c r="FL60" s="372"/>
      <c r="FM60" s="372"/>
      <c r="FN60" s="372"/>
      <c r="FO60" s="372"/>
      <c r="FP60" s="372"/>
      <c r="FQ60" s="375" t="s">
        <v>850</v>
      </c>
      <c r="FR60" s="376" t="s">
        <v>1049</v>
      </c>
      <c r="FS60" s="377" t="s">
        <v>522</v>
      </c>
      <c r="FT60" s="377" t="s">
        <v>850</v>
      </c>
      <c r="FU60" s="377" t="s">
        <v>592</v>
      </c>
      <c r="FV60" s="144">
        <f t="shared" si="4"/>
        <v>0</v>
      </c>
      <c r="FW60" s="371" t="s">
        <v>905</v>
      </c>
    </row>
    <row r="61" spans="1:179" s="371" customFormat="1" hidden="1">
      <c r="A61" s="368" t="s">
        <v>926</v>
      </c>
      <c r="B61" s="369" t="s">
        <v>517</v>
      </c>
      <c r="C61" s="369" t="s">
        <v>555</v>
      </c>
      <c r="D61" s="369" t="s">
        <v>8</v>
      </c>
      <c r="E61" s="375" t="s">
        <v>819</v>
      </c>
      <c r="F61" s="369" t="s">
        <v>520</v>
      </c>
      <c r="G61" s="369" t="s">
        <v>1065</v>
      </c>
      <c r="BT61" s="372" t="s">
        <v>850</v>
      </c>
      <c r="BV61" s="372" t="s">
        <v>850</v>
      </c>
      <c r="DK61" s="372" t="s">
        <v>850</v>
      </c>
      <c r="FQ61" s="375" t="s">
        <v>850</v>
      </c>
      <c r="FR61" s="376" t="s">
        <v>1049</v>
      </c>
      <c r="FS61" s="377" t="s">
        <v>522</v>
      </c>
      <c r="FT61" s="377" t="s">
        <v>819</v>
      </c>
      <c r="FU61" s="377" t="s">
        <v>577</v>
      </c>
      <c r="FV61" s="144">
        <f t="shared" si="4"/>
        <v>0</v>
      </c>
      <c r="FW61" s="371" t="s">
        <v>913</v>
      </c>
    </row>
    <row r="62" spans="1:179" s="371" customFormat="1" hidden="1">
      <c r="A62" s="368" t="s">
        <v>926</v>
      </c>
      <c r="B62" s="369" t="s">
        <v>517</v>
      </c>
      <c r="C62" s="369" t="s">
        <v>555</v>
      </c>
      <c r="D62" s="369" t="s">
        <v>4</v>
      </c>
      <c r="E62" s="375" t="s">
        <v>819</v>
      </c>
      <c r="F62" s="369" t="s">
        <v>520</v>
      </c>
      <c r="G62" s="369" t="s">
        <v>1065</v>
      </c>
      <c r="H62" s="372" t="s">
        <v>850</v>
      </c>
      <c r="I62" s="372" t="s">
        <v>850</v>
      </c>
      <c r="J62" s="372" t="s">
        <v>850</v>
      </c>
      <c r="K62" s="372" t="s">
        <v>850</v>
      </c>
      <c r="L62" s="372" t="s">
        <v>850</v>
      </c>
      <c r="M62" s="372" t="s">
        <v>850</v>
      </c>
      <c r="N62" s="372" t="s">
        <v>850</v>
      </c>
      <c r="O62" s="372" t="s">
        <v>850</v>
      </c>
      <c r="P62" s="372" t="s">
        <v>850</v>
      </c>
      <c r="Q62" s="372" t="s">
        <v>850</v>
      </c>
      <c r="R62" s="372" t="s">
        <v>850</v>
      </c>
      <c r="S62" s="372" t="s">
        <v>850</v>
      </c>
      <c r="T62" s="372" t="s">
        <v>850</v>
      </c>
      <c r="U62" s="372" t="s">
        <v>850</v>
      </c>
      <c r="V62" s="372" t="s">
        <v>850</v>
      </c>
      <c r="W62" s="372" t="s">
        <v>850</v>
      </c>
      <c r="X62" s="372" t="s">
        <v>850</v>
      </c>
      <c r="Y62" s="372" t="s">
        <v>850</v>
      </c>
      <c r="Z62" s="372" t="s">
        <v>850</v>
      </c>
      <c r="AA62" s="372" t="s">
        <v>850</v>
      </c>
      <c r="AB62" s="372" t="s">
        <v>850</v>
      </c>
      <c r="AC62" s="372" t="s">
        <v>850</v>
      </c>
      <c r="AD62" s="372" t="s">
        <v>850</v>
      </c>
      <c r="AE62" s="372" t="s">
        <v>850</v>
      </c>
      <c r="AF62" s="372" t="s">
        <v>850</v>
      </c>
      <c r="AG62" s="372" t="s">
        <v>850</v>
      </c>
      <c r="AH62" s="372" t="s">
        <v>850</v>
      </c>
      <c r="AI62" s="372" t="s">
        <v>850</v>
      </c>
      <c r="AJ62" s="372" t="s">
        <v>850</v>
      </c>
      <c r="AK62" s="372" t="s">
        <v>850</v>
      </c>
      <c r="AL62" s="372" t="s">
        <v>850</v>
      </c>
      <c r="AM62" s="372" t="s">
        <v>850</v>
      </c>
      <c r="AN62" s="372" t="s">
        <v>850</v>
      </c>
      <c r="AO62" s="372" t="s">
        <v>850</v>
      </c>
      <c r="AP62" s="372" t="s">
        <v>850</v>
      </c>
      <c r="AQ62" s="372" t="s">
        <v>850</v>
      </c>
      <c r="AR62" s="372" t="s">
        <v>850</v>
      </c>
      <c r="AS62" s="372" t="s">
        <v>850</v>
      </c>
      <c r="AT62" s="372" t="s">
        <v>850</v>
      </c>
      <c r="AU62" s="372" t="s">
        <v>850</v>
      </c>
      <c r="AV62" s="372" t="s">
        <v>850</v>
      </c>
      <c r="AW62" s="372" t="s">
        <v>850</v>
      </c>
      <c r="AX62" s="372" t="s">
        <v>850</v>
      </c>
      <c r="AY62" s="373">
        <f>10-10</f>
        <v>0</v>
      </c>
      <c r="AZ62" s="373">
        <f>10-10</f>
        <v>0</v>
      </c>
      <c r="BA62" s="373">
        <f>10-10</f>
        <v>0</v>
      </c>
      <c r="BB62" s="372" t="s">
        <v>850</v>
      </c>
      <c r="BC62" s="373">
        <f>10-10</f>
        <v>0</v>
      </c>
      <c r="BD62" s="372" t="s">
        <v>850</v>
      </c>
      <c r="BE62" s="372" t="s">
        <v>850</v>
      </c>
      <c r="BF62" s="372" t="s">
        <v>850</v>
      </c>
      <c r="BG62" s="372" t="s">
        <v>850</v>
      </c>
      <c r="BH62" s="372" t="s">
        <v>850</v>
      </c>
      <c r="BI62" s="372" t="s">
        <v>850</v>
      </c>
      <c r="BJ62" s="373">
        <f>30-30</f>
        <v>0</v>
      </c>
      <c r="BK62" s="373">
        <f>30-30</f>
        <v>0</v>
      </c>
      <c r="BL62" s="373">
        <f>30-30</f>
        <v>0</v>
      </c>
      <c r="BM62" s="373">
        <f>30-30</f>
        <v>0</v>
      </c>
      <c r="BN62" s="372" t="s">
        <v>850</v>
      </c>
      <c r="BO62" s="372" t="s">
        <v>850</v>
      </c>
      <c r="BP62" s="372" t="s">
        <v>850</v>
      </c>
      <c r="BQ62" s="372" t="s">
        <v>850</v>
      </c>
      <c r="BR62" s="372" t="s">
        <v>850</v>
      </c>
      <c r="BS62" s="372" t="s">
        <v>850</v>
      </c>
      <c r="BT62" s="372" t="s">
        <v>850</v>
      </c>
      <c r="BU62" s="372" t="s">
        <v>850</v>
      </c>
      <c r="BV62" s="372" t="s">
        <v>850</v>
      </c>
      <c r="BW62" s="373">
        <f>30-30</f>
        <v>0</v>
      </c>
      <c r="BX62" s="373">
        <f>30-30</f>
        <v>0</v>
      </c>
      <c r="CA62" s="372" t="s">
        <v>850</v>
      </c>
      <c r="CB62" s="373">
        <f>50-50</f>
        <v>0</v>
      </c>
      <c r="CD62" s="373">
        <f>30-30</f>
        <v>0</v>
      </c>
      <c r="CE62" s="373">
        <f>50-50</f>
        <v>0</v>
      </c>
      <c r="CG62" s="372" t="s">
        <v>850</v>
      </c>
      <c r="CH62" s="372" t="s">
        <v>850</v>
      </c>
      <c r="CI62" s="373">
        <f>30-30</f>
        <v>0</v>
      </c>
      <c r="CJ62" s="373">
        <f>50-50</f>
        <v>0</v>
      </c>
      <c r="CK62" s="373">
        <f>30-30</f>
        <v>0</v>
      </c>
      <c r="CL62" s="373">
        <f>30-30</f>
        <v>0</v>
      </c>
      <c r="CM62" s="372" t="s">
        <v>850</v>
      </c>
      <c r="CN62" s="373">
        <f>30-30</f>
        <v>0</v>
      </c>
      <c r="CO62" s="373">
        <f>50-50</f>
        <v>0</v>
      </c>
      <c r="CP62" s="373">
        <f>30-30</f>
        <v>0</v>
      </c>
      <c r="CR62" s="373">
        <f>50-50</f>
        <v>0</v>
      </c>
      <c r="CS62" s="372" t="s">
        <v>850</v>
      </c>
      <c r="CT62" s="373">
        <f>30-30</f>
        <v>0</v>
      </c>
      <c r="CU62" s="372" t="s">
        <v>850</v>
      </c>
      <c r="CV62" s="373">
        <f>50-50</f>
        <v>0</v>
      </c>
      <c r="CW62" s="373">
        <f>50-50</f>
        <v>0</v>
      </c>
      <c r="CY62" s="373">
        <f>30-30</f>
        <v>0</v>
      </c>
      <c r="CZ62" s="373">
        <f>50-50</f>
        <v>0</v>
      </c>
      <c r="DA62" s="372" t="s">
        <v>850</v>
      </c>
      <c r="DB62" s="372" t="s">
        <v>850</v>
      </c>
      <c r="DC62" s="372" t="s">
        <v>850</v>
      </c>
      <c r="DD62" s="372" t="s">
        <v>850</v>
      </c>
      <c r="DE62" s="372" t="s">
        <v>850</v>
      </c>
      <c r="DF62" s="373">
        <f>50-50</f>
        <v>0</v>
      </c>
      <c r="DG62" s="373">
        <f>50-50</f>
        <v>0</v>
      </c>
      <c r="DH62" s="373">
        <f>50-50</f>
        <v>0</v>
      </c>
      <c r="DI62" s="372" t="s">
        <v>850</v>
      </c>
      <c r="DJ62" s="373">
        <f>50-50</f>
        <v>0</v>
      </c>
      <c r="DK62" s="372" t="s">
        <v>850</v>
      </c>
      <c r="DL62" s="372" t="s">
        <v>850</v>
      </c>
      <c r="DM62" s="372" t="s">
        <v>850</v>
      </c>
      <c r="DN62" s="372" t="s">
        <v>850</v>
      </c>
      <c r="DO62" s="372" t="s">
        <v>850</v>
      </c>
      <c r="DP62" s="372" t="s">
        <v>850</v>
      </c>
      <c r="DQ62" s="372" t="s">
        <v>850</v>
      </c>
      <c r="DR62" s="372" t="s">
        <v>850</v>
      </c>
      <c r="DS62" s="373">
        <f>50-50</f>
        <v>0</v>
      </c>
      <c r="DT62" s="372" t="s">
        <v>850</v>
      </c>
      <c r="DU62" s="372" t="s">
        <v>850</v>
      </c>
      <c r="DV62" s="372" t="s">
        <v>850</v>
      </c>
      <c r="DW62" s="373">
        <f>100-100</f>
        <v>0</v>
      </c>
      <c r="DX62" s="372" t="s">
        <v>850</v>
      </c>
      <c r="DY62" s="373">
        <f>100-100</f>
        <v>0</v>
      </c>
      <c r="DZ62" s="372" t="s">
        <v>850</v>
      </c>
      <c r="EA62" s="373">
        <f>100-100</f>
        <v>0</v>
      </c>
      <c r="EB62" s="373">
        <f>100-100</f>
        <v>0</v>
      </c>
      <c r="EC62" s="373">
        <f>100-100</f>
        <v>0</v>
      </c>
      <c r="ED62" s="416">
        <f>50-50+30</f>
        <v>30</v>
      </c>
      <c r="EE62" s="373">
        <f>50-50</f>
        <v>0</v>
      </c>
      <c r="EF62" s="372" t="s">
        <v>850</v>
      </c>
      <c r="EG62" s="373">
        <f>100-100</f>
        <v>0</v>
      </c>
      <c r="EH62" s="372" t="s">
        <v>850</v>
      </c>
      <c r="EI62" s="373">
        <f>50-50</f>
        <v>0</v>
      </c>
      <c r="EJ62" s="372" t="s">
        <v>850</v>
      </c>
      <c r="EK62" s="373">
        <f>100-100</f>
        <v>0</v>
      </c>
      <c r="EL62" s="373">
        <f>100-100</f>
        <v>0</v>
      </c>
      <c r="EM62" s="373">
        <f>100-100</f>
        <v>0</v>
      </c>
      <c r="EN62" s="372" t="s">
        <v>850</v>
      </c>
      <c r="EO62" s="373">
        <f>100-100</f>
        <v>0</v>
      </c>
      <c r="EP62" s="373">
        <f>100-100</f>
        <v>0</v>
      </c>
      <c r="EQ62" s="372" t="s">
        <v>850</v>
      </c>
      <c r="ER62" s="372" t="s">
        <v>850</v>
      </c>
      <c r="ES62" s="372" t="s">
        <v>850</v>
      </c>
      <c r="ET62" s="372" t="s">
        <v>850</v>
      </c>
      <c r="EU62" s="372" t="s">
        <v>850</v>
      </c>
      <c r="EV62" s="372" t="s">
        <v>850</v>
      </c>
      <c r="EW62" s="372" t="s">
        <v>850</v>
      </c>
      <c r="EX62" s="372" t="s">
        <v>850</v>
      </c>
      <c r="EY62" s="372" t="s">
        <v>850</v>
      </c>
      <c r="EZ62" s="372" t="s">
        <v>850</v>
      </c>
      <c r="FA62" s="372" t="s">
        <v>850</v>
      </c>
      <c r="FB62" s="372" t="s">
        <v>850</v>
      </c>
      <c r="FC62" s="372" t="s">
        <v>850</v>
      </c>
      <c r="FD62" s="372" t="s">
        <v>850</v>
      </c>
      <c r="FE62" s="372" t="s">
        <v>850</v>
      </c>
      <c r="FF62" s="372" t="s">
        <v>850</v>
      </c>
      <c r="FG62" s="372" t="s">
        <v>850</v>
      </c>
      <c r="FH62" s="372" t="s">
        <v>850</v>
      </c>
      <c r="FI62" s="372" t="s">
        <v>850</v>
      </c>
      <c r="FJ62" s="372" t="s">
        <v>850</v>
      </c>
      <c r="FK62" s="372" t="s">
        <v>850</v>
      </c>
      <c r="FL62" s="372" t="s">
        <v>850</v>
      </c>
      <c r="FM62" s="372" t="s">
        <v>850</v>
      </c>
      <c r="FN62" s="372" t="s">
        <v>850</v>
      </c>
      <c r="FO62" s="372" t="s">
        <v>850</v>
      </c>
      <c r="FP62" s="372" t="s">
        <v>850</v>
      </c>
      <c r="FQ62" s="375" t="s">
        <v>850</v>
      </c>
      <c r="FR62" s="376" t="s">
        <v>1049</v>
      </c>
      <c r="FS62" s="377" t="s">
        <v>522</v>
      </c>
      <c r="FT62" s="377" t="s">
        <v>819</v>
      </c>
      <c r="FU62" s="377" t="s">
        <v>577</v>
      </c>
      <c r="FV62" s="144">
        <f t="shared" si="4"/>
        <v>30</v>
      </c>
      <c r="FW62" s="371" t="s">
        <v>913</v>
      </c>
    </row>
    <row r="63" spans="1:179" s="371" customFormat="1" hidden="1">
      <c r="A63" s="368" t="s">
        <v>926</v>
      </c>
      <c r="B63" s="369" t="s">
        <v>517</v>
      </c>
      <c r="C63" s="369" t="s">
        <v>555</v>
      </c>
      <c r="D63" s="369" t="s">
        <v>3</v>
      </c>
      <c r="E63" s="375" t="s">
        <v>819</v>
      </c>
      <c r="F63" s="369" t="s">
        <v>520</v>
      </c>
      <c r="G63" s="369" t="s">
        <v>1066</v>
      </c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  <c r="AB63" s="372"/>
      <c r="AC63" s="372"/>
      <c r="AD63" s="372"/>
      <c r="AE63" s="372"/>
      <c r="AF63" s="372"/>
      <c r="AG63" s="372"/>
      <c r="AH63" s="372"/>
      <c r="AI63" s="372"/>
      <c r="AJ63" s="372"/>
      <c r="AK63" s="372"/>
      <c r="AL63" s="372"/>
      <c r="AM63" s="372"/>
      <c r="AN63" s="372"/>
      <c r="AO63" s="372"/>
      <c r="AP63" s="372"/>
      <c r="AQ63" s="372"/>
      <c r="AR63" s="372"/>
      <c r="AS63" s="372"/>
      <c r="AT63" s="372"/>
      <c r="AU63" s="372"/>
      <c r="AV63" s="372"/>
      <c r="AW63" s="372"/>
      <c r="AX63" s="372"/>
      <c r="AY63" s="372"/>
      <c r="AZ63" s="372"/>
      <c r="BA63" s="372"/>
      <c r="BB63" s="372"/>
      <c r="BC63" s="372"/>
      <c r="BD63" s="372"/>
      <c r="BE63" s="372"/>
      <c r="BF63" s="372"/>
      <c r="BG63" s="372"/>
      <c r="BH63" s="372"/>
      <c r="BI63" s="372"/>
      <c r="BJ63" s="372"/>
      <c r="BK63" s="372"/>
      <c r="BL63" s="372"/>
      <c r="BM63" s="372"/>
      <c r="BN63" s="372"/>
      <c r="BO63" s="372"/>
      <c r="BP63" s="372"/>
      <c r="BQ63" s="372"/>
      <c r="BR63" s="372"/>
      <c r="BS63" s="372"/>
      <c r="BT63" s="372" t="s">
        <v>850</v>
      </c>
      <c r="BU63" s="372"/>
      <c r="BV63" s="372" t="s">
        <v>850</v>
      </c>
      <c r="BW63" s="372"/>
      <c r="BX63" s="372"/>
      <c r="CA63" s="372"/>
      <c r="CB63" s="372"/>
      <c r="CD63" s="372"/>
      <c r="CE63" s="372"/>
      <c r="CG63" s="372"/>
      <c r="CH63" s="372"/>
      <c r="CI63" s="372"/>
      <c r="CJ63" s="372"/>
      <c r="CK63" s="372"/>
      <c r="CL63" s="372"/>
      <c r="CM63" s="372"/>
      <c r="CN63" s="372"/>
      <c r="CO63" s="372"/>
      <c r="CP63" s="372"/>
      <c r="CR63" s="372"/>
      <c r="CS63" s="372"/>
      <c r="CT63" s="372"/>
      <c r="CU63" s="372"/>
      <c r="CV63" s="372"/>
      <c r="CW63" s="372"/>
      <c r="CY63" s="372"/>
      <c r="CZ63" s="372"/>
      <c r="DA63" s="372"/>
      <c r="DB63" s="372"/>
      <c r="DC63" s="372"/>
      <c r="DD63" s="372"/>
      <c r="DE63" s="372"/>
      <c r="DF63" s="372"/>
      <c r="DG63" s="372"/>
      <c r="DH63" s="372"/>
      <c r="DI63" s="372" t="s">
        <v>850</v>
      </c>
      <c r="DJ63" s="372"/>
      <c r="DK63" s="372" t="s">
        <v>850</v>
      </c>
      <c r="DL63" s="372"/>
      <c r="DM63" s="372"/>
      <c r="DN63" s="372"/>
      <c r="DO63" s="372"/>
      <c r="DP63" s="372"/>
      <c r="DQ63" s="372"/>
      <c r="DR63" s="372"/>
      <c r="DS63" s="372"/>
      <c r="DT63" s="372"/>
      <c r="DU63" s="372"/>
      <c r="DV63" s="372"/>
      <c r="DW63" s="372"/>
      <c r="DX63" s="372"/>
      <c r="DY63" s="372"/>
      <c r="DZ63" s="372"/>
      <c r="EA63" s="372"/>
      <c r="EB63" s="372"/>
      <c r="EC63" s="372"/>
      <c r="ED63" s="372"/>
      <c r="EE63" s="372"/>
      <c r="EF63" s="372"/>
      <c r="EG63" s="372"/>
      <c r="EH63" s="372"/>
      <c r="EI63" s="372"/>
      <c r="EJ63" s="372"/>
      <c r="EK63" s="372"/>
      <c r="EL63" s="372"/>
      <c r="EM63" s="372"/>
      <c r="EN63" s="372"/>
      <c r="EO63" s="372"/>
      <c r="EP63" s="372"/>
      <c r="EQ63" s="372"/>
      <c r="ER63" s="372"/>
      <c r="ES63" s="372"/>
      <c r="ET63" s="372"/>
      <c r="EU63" s="372"/>
      <c r="EV63" s="372"/>
      <c r="EW63" s="372"/>
      <c r="EX63" s="372"/>
      <c r="EY63" s="372"/>
      <c r="EZ63" s="372"/>
      <c r="FA63" s="372"/>
      <c r="FB63" s="372"/>
      <c r="FC63" s="372"/>
      <c r="FD63" s="372"/>
      <c r="FE63" s="372"/>
      <c r="FF63" s="372"/>
      <c r="FG63" s="372"/>
      <c r="FH63" s="372"/>
      <c r="FI63" s="372"/>
      <c r="FJ63" s="372"/>
      <c r="FK63" s="372"/>
      <c r="FL63" s="372"/>
      <c r="FM63" s="372"/>
      <c r="FN63" s="372"/>
      <c r="FO63" s="372"/>
      <c r="FP63" s="372"/>
      <c r="FQ63" s="375" t="s">
        <v>850</v>
      </c>
      <c r="FR63" s="376" t="s">
        <v>1049</v>
      </c>
      <c r="FS63" s="377" t="s">
        <v>522</v>
      </c>
      <c r="FT63" s="377" t="s">
        <v>819</v>
      </c>
      <c r="FU63" s="377" t="s">
        <v>577</v>
      </c>
      <c r="FV63" s="144">
        <f t="shared" si="4"/>
        <v>0</v>
      </c>
      <c r="FW63" s="371" t="s">
        <v>913</v>
      </c>
    </row>
    <row r="64" spans="1:179" s="371" customFormat="1" hidden="1">
      <c r="A64" s="368" t="s">
        <v>926</v>
      </c>
      <c r="B64" s="369" t="s">
        <v>517</v>
      </c>
      <c r="C64" s="369" t="s">
        <v>555</v>
      </c>
      <c r="D64" s="369" t="s">
        <v>8</v>
      </c>
      <c r="E64" s="375" t="s">
        <v>724</v>
      </c>
      <c r="F64" s="369" t="s">
        <v>520</v>
      </c>
      <c r="G64" s="369" t="s">
        <v>1067</v>
      </c>
      <c r="BT64" s="372" t="s">
        <v>850</v>
      </c>
      <c r="BV64" s="372" t="s">
        <v>850</v>
      </c>
      <c r="DI64" s="372" t="s">
        <v>850</v>
      </c>
      <c r="DK64" s="372" t="s">
        <v>850</v>
      </c>
      <c r="EU64" s="418">
        <f>10</f>
        <v>10</v>
      </c>
      <c r="FQ64" s="375" t="s">
        <v>850</v>
      </c>
      <c r="FR64" s="376" t="s">
        <v>1049</v>
      </c>
      <c r="FS64" s="377" t="s">
        <v>522</v>
      </c>
      <c r="FT64" s="377" t="s">
        <v>724</v>
      </c>
      <c r="FU64" s="377" t="s">
        <v>577</v>
      </c>
      <c r="FV64" s="144">
        <f t="shared" si="4"/>
        <v>10</v>
      </c>
      <c r="FW64" s="371" t="s">
        <v>913</v>
      </c>
    </row>
    <row r="65" spans="1:179" s="371" customFormat="1" hidden="1">
      <c r="A65" s="368" t="s">
        <v>926</v>
      </c>
      <c r="B65" s="369" t="s">
        <v>517</v>
      </c>
      <c r="C65" s="369" t="s">
        <v>555</v>
      </c>
      <c r="D65" s="369" t="s">
        <v>4</v>
      </c>
      <c r="E65" s="375" t="s">
        <v>724</v>
      </c>
      <c r="F65" s="369" t="s">
        <v>520</v>
      </c>
      <c r="G65" s="369" t="s">
        <v>1067</v>
      </c>
      <c r="H65" s="372" t="s">
        <v>850</v>
      </c>
      <c r="I65" s="372" t="s">
        <v>850</v>
      </c>
      <c r="J65" s="372" t="s">
        <v>850</v>
      </c>
      <c r="K65" s="372" t="s">
        <v>850</v>
      </c>
      <c r="L65" s="372" t="s">
        <v>850</v>
      </c>
      <c r="M65" s="372" t="s">
        <v>850</v>
      </c>
      <c r="N65" s="372" t="s">
        <v>850</v>
      </c>
      <c r="O65" s="372" t="s">
        <v>850</v>
      </c>
      <c r="P65" s="372" t="s">
        <v>850</v>
      </c>
      <c r="Q65" s="372" t="s">
        <v>850</v>
      </c>
      <c r="R65" s="372" t="s">
        <v>850</v>
      </c>
      <c r="S65" s="372" t="s">
        <v>850</v>
      </c>
      <c r="T65" s="372" t="s">
        <v>850</v>
      </c>
      <c r="U65" s="372" t="s">
        <v>850</v>
      </c>
      <c r="V65" s="372" t="s">
        <v>850</v>
      </c>
      <c r="W65" s="372" t="s">
        <v>850</v>
      </c>
      <c r="X65" s="372" t="s">
        <v>850</v>
      </c>
      <c r="Y65" s="372" t="s">
        <v>850</v>
      </c>
      <c r="Z65" s="372" t="s">
        <v>850</v>
      </c>
      <c r="AA65" s="372" t="s">
        <v>850</v>
      </c>
      <c r="AB65" s="372" t="s">
        <v>850</v>
      </c>
      <c r="AC65" s="372" t="s">
        <v>850</v>
      </c>
      <c r="AD65" s="372" t="s">
        <v>850</v>
      </c>
      <c r="AE65" s="372" t="s">
        <v>850</v>
      </c>
      <c r="AF65" s="372" t="s">
        <v>850</v>
      </c>
      <c r="AG65" s="372" t="s">
        <v>850</v>
      </c>
      <c r="AH65" s="372" t="s">
        <v>850</v>
      </c>
      <c r="AI65" s="372" t="s">
        <v>850</v>
      </c>
      <c r="AJ65" s="372" t="s">
        <v>850</v>
      </c>
      <c r="AK65" s="372" t="s">
        <v>850</v>
      </c>
      <c r="AL65" s="372" t="s">
        <v>850</v>
      </c>
      <c r="AM65" s="372" t="s">
        <v>850</v>
      </c>
      <c r="AN65" s="372" t="s">
        <v>850</v>
      </c>
      <c r="AO65" s="372" t="s">
        <v>850</v>
      </c>
      <c r="AP65" s="372" t="s">
        <v>850</v>
      </c>
      <c r="AQ65" s="372" t="s">
        <v>850</v>
      </c>
      <c r="AR65" s="372" t="s">
        <v>850</v>
      </c>
      <c r="AS65" s="372" t="s">
        <v>850</v>
      </c>
      <c r="AT65" s="372" t="s">
        <v>850</v>
      </c>
      <c r="AU65" s="372" t="s">
        <v>850</v>
      </c>
      <c r="AV65" s="372" t="s">
        <v>850</v>
      </c>
      <c r="AW65" s="372" t="s">
        <v>850</v>
      </c>
      <c r="AX65" s="372" t="s">
        <v>850</v>
      </c>
      <c r="AY65" s="373">
        <f>50-50</f>
        <v>0</v>
      </c>
      <c r="AZ65" s="373">
        <f>50-50</f>
        <v>0</v>
      </c>
      <c r="BA65" s="373">
        <f>50-50</f>
        <v>0</v>
      </c>
      <c r="BB65" s="372" t="s">
        <v>850</v>
      </c>
      <c r="BC65" s="373">
        <f>50-50</f>
        <v>0</v>
      </c>
      <c r="BD65" s="373">
        <f>50-50</f>
        <v>0</v>
      </c>
      <c r="BE65" s="372" t="s">
        <v>850</v>
      </c>
      <c r="BF65" s="372" t="s">
        <v>850</v>
      </c>
      <c r="BG65" s="372" t="s">
        <v>850</v>
      </c>
      <c r="BH65" s="373">
        <f t="shared" ref="BH65:BM65" si="9">50-50</f>
        <v>0</v>
      </c>
      <c r="BI65" s="373">
        <f t="shared" si="9"/>
        <v>0</v>
      </c>
      <c r="BJ65" s="373">
        <f t="shared" si="9"/>
        <v>0</v>
      </c>
      <c r="BK65" s="373">
        <f t="shared" si="9"/>
        <v>0</v>
      </c>
      <c r="BL65" s="373">
        <f t="shared" si="9"/>
        <v>0</v>
      </c>
      <c r="BM65" s="373">
        <f t="shared" si="9"/>
        <v>0</v>
      </c>
      <c r="BN65" s="372" t="s">
        <v>850</v>
      </c>
      <c r="BO65" s="373">
        <f>50-50</f>
        <v>0</v>
      </c>
      <c r="BP65" s="372" t="s">
        <v>850</v>
      </c>
      <c r="BQ65" s="372" t="s">
        <v>850</v>
      </c>
      <c r="BR65" s="372" t="s">
        <v>850</v>
      </c>
      <c r="BS65" s="372" t="s">
        <v>850</v>
      </c>
      <c r="BT65" s="372" t="s">
        <v>850</v>
      </c>
      <c r="BU65" s="372" t="s">
        <v>850</v>
      </c>
      <c r="BV65" s="372" t="s">
        <v>850</v>
      </c>
      <c r="BW65" s="373">
        <f>100-100</f>
        <v>0</v>
      </c>
      <c r="BX65" s="373">
        <f>100-100</f>
        <v>0</v>
      </c>
      <c r="CA65" s="372" t="s">
        <v>850</v>
      </c>
      <c r="CB65" s="373">
        <f>100-100</f>
        <v>0</v>
      </c>
      <c r="CD65" s="373">
        <f>100-100</f>
        <v>0</v>
      </c>
      <c r="CE65" s="373">
        <f>100-100</f>
        <v>0</v>
      </c>
      <c r="CG65" s="373">
        <f>100-100</f>
        <v>0</v>
      </c>
      <c r="CH65" s="372" t="s">
        <v>850</v>
      </c>
      <c r="CI65" s="373">
        <f>200-200</f>
        <v>0</v>
      </c>
      <c r="CJ65" s="373">
        <f>200-200</f>
        <v>0</v>
      </c>
      <c r="CK65" s="373">
        <f>200-200</f>
        <v>0</v>
      </c>
      <c r="CL65" s="373">
        <f>200-200</f>
        <v>0</v>
      </c>
      <c r="CM65" s="373">
        <f>200-200</f>
        <v>0</v>
      </c>
      <c r="CN65" s="373">
        <f>300-300</f>
        <v>0</v>
      </c>
      <c r="CO65" s="373">
        <f>300-300</f>
        <v>0</v>
      </c>
      <c r="CP65" s="373">
        <f>300-300</f>
        <v>0</v>
      </c>
      <c r="CR65" s="373">
        <f>300-300</f>
        <v>0</v>
      </c>
      <c r="CS65" s="373">
        <f>300-300</f>
        <v>0</v>
      </c>
      <c r="CT65" s="373">
        <f>500-500</f>
        <v>0</v>
      </c>
      <c r="CU65" s="372" t="s">
        <v>850</v>
      </c>
      <c r="CV65" s="373">
        <f>500-500</f>
        <v>0</v>
      </c>
      <c r="CW65" s="373">
        <f>500-500</f>
        <v>0</v>
      </c>
      <c r="CY65" s="373">
        <f>500-500</f>
        <v>0</v>
      </c>
      <c r="CZ65" s="373">
        <f>1000-1000</f>
        <v>0</v>
      </c>
      <c r="DA65" s="372" t="s">
        <v>850</v>
      </c>
      <c r="DB65" s="373">
        <f>1000-1000</f>
        <v>0</v>
      </c>
      <c r="DC65" s="373">
        <f>500-500</f>
        <v>0</v>
      </c>
      <c r="DD65" s="373">
        <f>500-500</f>
        <v>0</v>
      </c>
      <c r="DE65" s="372" t="s">
        <v>850</v>
      </c>
      <c r="DF65" s="373">
        <f>500-500</f>
        <v>0</v>
      </c>
      <c r="DG65" s="373">
        <f>500-500</f>
        <v>0</v>
      </c>
      <c r="DH65" s="373">
        <f>500-500</f>
        <v>0</v>
      </c>
      <c r="DI65" s="372" t="s">
        <v>850</v>
      </c>
      <c r="DJ65" s="373">
        <f>500-500</f>
        <v>0</v>
      </c>
      <c r="DK65" s="372" t="s">
        <v>850</v>
      </c>
      <c r="DL65" s="373">
        <f>500-500</f>
        <v>0</v>
      </c>
      <c r="DM65" s="372" t="s">
        <v>850</v>
      </c>
      <c r="DN65" s="372" t="s">
        <v>850</v>
      </c>
      <c r="DO65" s="372" t="s">
        <v>850</v>
      </c>
      <c r="DP65" s="373">
        <f>300-300</f>
        <v>0</v>
      </c>
      <c r="DQ65" s="372" t="s">
        <v>850</v>
      </c>
      <c r="DR65" s="416">
        <f>300-300+300</f>
        <v>300</v>
      </c>
      <c r="DS65" s="373">
        <f>500-500</f>
        <v>0</v>
      </c>
      <c r="DT65" s="372" t="s">
        <v>850</v>
      </c>
      <c r="DU65" s="372" t="s">
        <v>850</v>
      </c>
      <c r="DV65" s="372" t="s">
        <v>850</v>
      </c>
      <c r="DW65" s="373">
        <f>500-500</f>
        <v>0</v>
      </c>
      <c r="DX65" s="372" t="s">
        <v>850</v>
      </c>
      <c r="DY65" s="372" t="s">
        <v>850</v>
      </c>
      <c r="DZ65" s="372" t="s">
        <v>850</v>
      </c>
      <c r="EA65" s="372" t="s">
        <v>850</v>
      </c>
      <c r="EB65" s="372" t="s">
        <v>850</v>
      </c>
      <c r="EC65" s="373">
        <f>500-500</f>
        <v>0</v>
      </c>
      <c r="ED65" s="372" t="s">
        <v>850</v>
      </c>
      <c r="EE65" s="372" t="s">
        <v>850</v>
      </c>
      <c r="EF65" s="372" t="s">
        <v>850</v>
      </c>
      <c r="EG65" s="373">
        <f>500-500</f>
        <v>0</v>
      </c>
      <c r="EH65" s="372" t="s">
        <v>850</v>
      </c>
      <c r="EI65" s="372" t="s">
        <v>850</v>
      </c>
      <c r="EJ65" s="372" t="s">
        <v>850</v>
      </c>
      <c r="EK65" s="372" t="s">
        <v>850</v>
      </c>
      <c r="EL65" s="373">
        <f>500-500</f>
        <v>0</v>
      </c>
      <c r="EM65" s="373">
        <f>500-500</f>
        <v>0</v>
      </c>
      <c r="EN65" s="372" t="s">
        <v>850</v>
      </c>
      <c r="EO65" s="373">
        <f>500-500</f>
        <v>0</v>
      </c>
      <c r="EP65" s="373">
        <f>500-500</f>
        <v>0</v>
      </c>
      <c r="EQ65" s="372" t="s">
        <v>850</v>
      </c>
      <c r="ER65" s="372" t="s">
        <v>850</v>
      </c>
      <c r="ES65" s="372" t="s">
        <v>850</v>
      </c>
      <c r="ET65" s="372" t="s">
        <v>850</v>
      </c>
      <c r="EU65" s="373">
        <f>500-500</f>
        <v>0</v>
      </c>
      <c r="EV65" s="416">
        <f>500-500+100</f>
        <v>100</v>
      </c>
      <c r="EW65" s="372" t="s">
        <v>850</v>
      </c>
      <c r="EX65" s="372" t="s">
        <v>850</v>
      </c>
      <c r="EY65" s="372" t="s">
        <v>850</v>
      </c>
      <c r="EZ65" s="372" t="s">
        <v>850</v>
      </c>
      <c r="FA65" s="372" t="s">
        <v>850</v>
      </c>
      <c r="FB65" s="372" t="s">
        <v>850</v>
      </c>
      <c r="FC65" s="372" t="s">
        <v>850</v>
      </c>
      <c r="FD65" s="372" t="s">
        <v>850</v>
      </c>
      <c r="FE65" s="372" t="s">
        <v>850</v>
      </c>
      <c r="FF65" s="372" t="s">
        <v>850</v>
      </c>
      <c r="FG65" s="372" t="s">
        <v>850</v>
      </c>
      <c r="FH65" s="372" t="s">
        <v>850</v>
      </c>
      <c r="FI65" s="372" t="s">
        <v>850</v>
      </c>
      <c r="FJ65" s="372" t="s">
        <v>850</v>
      </c>
      <c r="FK65" s="372" t="s">
        <v>850</v>
      </c>
      <c r="FL65" s="372" t="s">
        <v>850</v>
      </c>
      <c r="FM65" s="372" t="s">
        <v>850</v>
      </c>
      <c r="FN65" s="372" t="s">
        <v>850</v>
      </c>
      <c r="FO65" s="372" t="s">
        <v>850</v>
      </c>
      <c r="FP65" s="372" t="s">
        <v>850</v>
      </c>
      <c r="FQ65" s="375" t="s">
        <v>850</v>
      </c>
      <c r="FR65" s="376" t="s">
        <v>1049</v>
      </c>
      <c r="FS65" s="377" t="s">
        <v>522</v>
      </c>
      <c r="FT65" s="377" t="s">
        <v>724</v>
      </c>
      <c r="FU65" s="377" t="s">
        <v>577</v>
      </c>
      <c r="FV65" s="144">
        <f t="shared" si="4"/>
        <v>400</v>
      </c>
      <c r="FW65" s="371" t="s">
        <v>913</v>
      </c>
    </row>
    <row r="66" spans="1:179" s="371" customFormat="1" hidden="1">
      <c r="A66" s="368" t="s">
        <v>926</v>
      </c>
      <c r="B66" s="369" t="s">
        <v>517</v>
      </c>
      <c r="C66" s="369" t="s">
        <v>555</v>
      </c>
      <c r="D66" s="369" t="s">
        <v>3</v>
      </c>
      <c r="E66" s="375" t="s">
        <v>724</v>
      </c>
      <c r="F66" s="369" t="s">
        <v>520</v>
      </c>
      <c r="G66" s="369" t="s">
        <v>1068</v>
      </c>
      <c r="H66" s="372"/>
      <c r="I66" s="372"/>
      <c r="J66" s="372"/>
      <c r="K66" s="372"/>
      <c r="L66" s="372"/>
      <c r="M66" s="372"/>
      <c r="N66" s="372"/>
      <c r="O66" s="372"/>
      <c r="P66" s="372"/>
      <c r="Q66" s="372"/>
      <c r="R66" s="372"/>
      <c r="S66" s="372"/>
      <c r="T66" s="372"/>
      <c r="U66" s="372"/>
      <c r="V66" s="372"/>
      <c r="W66" s="372"/>
      <c r="X66" s="372"/>
      <c r="Y66" s="372"/>
      <c r="Z66" s="372"/>
      <c r="AA66" s="372"/>
      <c r="AB66" s="372"/>
      <c r="AC66" s="372"/>
      <c r="AD66" s="372"/>
      <c r="AE66" s="372"/>
      <c r="AF66" s="372"/>
      <c r="AG66" s="372"/>
      <c r="AH66" s="372"/>
      <c r="AI66" s="372"/>
      <c r="AJ66" s="372"/>
      <c r="AK66" s="372"/>
      <c r="AL66" s="372"/>
      <c r="AM66" s="372"/>
      <c r="AN66" s="372"/>
      <c r="AO66" s="372"/>
      <c r="AP66" s="372"/>
      <c r="AQ66" s="372"/>
      <c r="AR66" s="372"/>
      <c r="AS66" s="372"/>
      <c r="AT66" s="372"/>
      <c r="AU66" s="372"/>
      <c r="AV66" s="372"/>
      <c r="AW66" s="372"/>
      <c r="AX66" s="372"/>
      <c r="AY66" s="372"/>
      <c r="AZ66" s="372"/>
      <c r="BA66" s="372"/>
      <c r="BB66" s="372"/>
      <c r="BC66" s="372"/>
      <c r="BD66" s="372"/>
      <c r="BE66" s="372"/>
      <c r="BF66" s="372"/>
      <c r="BG66" s="372"/>
      <c r="BH66" s="372"/>
      <c r="BI66" s="372"/>
      <c r="BJ66" s="372"/>
      <c r="BK66" s="372"/>
      <c r="BL66" s="372"/>
      <c r="BM66" s="372"/>
      <c r="BN66" s="372"/>
      <c r="BO66" s="372"/>
      <c r="BP66" s="372"/>
      <c r="BQ66" s="372"/>
      <c r="BR66" s="372"/>
      <c r="BS66" s="372"/>
      <c r="BT66" s="372" t="s">
        <v>850</v>
      </c>
      <c r="BU66" s="372"/>
      <c r="BV66" s="372" t="s">
        <v>850</v>
      </c>
      <c r="BW66" s="372"/>
      <c r="BX66" s="372"/>
      <c r="CA66" s="372"/>
      <c r="CB66" s="372"/>
      <c r="CD66" s="372"/>
      <c r="CE66" s="372"/>
      <c r="CG66" s="372"/>
      <c r="CH66" s="372"/>
      <c r="CI66" s="372"/>
      <c r="CJ66" s="372"/>
      <c r="CK66" s="372"/>
      <c r="CL66" s="372"/>
      <c r="CM66" s="372"/>
      <c r="CN66" s="372"/>
      <c r="CO66" s="372"/>
      <c r="CP66" s="372"/>
      <c r="CR66" s="372"/>
      <c r="CS66" s="372"/>
      <c r="CT66" s="372"/>
      <c r="CU66" s="372"/>
      <c r="CV66" s="372"/>
      <c r="CW66" s="372"/>
      <c r="CY66" s="372"/>
      <c r="CZ66" s="372"/>
      <c r="DA66" s="372"/>
      <c r="DB66" s="372"/>
      <c r="DC66" s="372"/>
      <c r="DD66" s="372"/>
      <c r="DE66" s="372"/>
      <c r="DF66" s="372"/>
      <c r="DG66" s="372"/>
      <c r="DH66" s="372"/>
      <c r="DI66" s="372" t="s">
        <v>850</v>
      </c>
      <c r="DJ66" s="372"/>
      <c r="DK66" s="372" t="s">
        <v>850</v>
      </c>
      <c r="DL66" s="372"/>
      <c r="DM66" s="372"/>
      <c r="DN66" s="372"/>
      <c r="DO66" s="372"/>
      <c r="DP66" s="372"/>
      <c r="DQ66" s="372"/>
      <c r="DR66" s="372"/>
      <c r="DS66" s="372"/>
      <c r="DT66" s="372"/>
      <c r="DU66" s="372"/>
      <c r="DV66" s="372"/>
      <c r="DW66" s="372"/>
      <c r="DX66" s="372"/>
      <c r="DY66" s="372"/>
      <c r="DZ66" s="372"/>
      <c r="EA66" s="372"/>
      <c r="EB66" s="372"/>
      <c r="EC66" s="372"/>
      <c r="ED66" s="372"/>
      <c r="EE66" s="372"/>
      <c r="EF66" s="372"/>
      <c r="EG66" s="372"/>
      <c r="EH66" s="372"/>
      <c r="EI66" s="372"/>
      <c r="EJ66" s="372"/>
      <c r="EK66" s="372"/>
      <c r="EL66" s="372"/>
      <c r="EM66" s="372"/>
      <c r="EN66" s="372"/>
      <c r="EO66" s="372"/>
      <c r="EP66" s="372"/>
      <c r="EQ66" s="372"/>
      <c r="ER66" s="372"/>
      <c r="ES66" s="372"/>
      <c r="ET66" s="372"/>
      <c r="EU66" s="372"/>
      <c r="EV66" s="372"/>
      <c r="EW66" s="372"/>
      <c r="EX66" s="372"/>
      <c r="EY66" s="372"/>
      <c r="EZ66" s="372"/>
      <c r="FA66" s="372"/>
      <c r="FB66" s="372"/>
      <c r="FC66" s="372"/>
      <c r="FD66" s="372"/>
      <c r="FE66" s="372"/>
      <c r="FF66" s="372"/>
      <c r="FG66" s="372"/>
      <c r="FH66" s="372"/>
      <c r="FI66" s="372"/>
      <c r="FJ66" s="372"/>
      <c r="FK66" s="372"/>
      <c r="FL66" s="372"/>
      <c r="FM66" s="372"/>
      <c r="FN66" s="372"/>
      <c r="FO66" s="372"/>
      <c r="FP66" s="372"/>
      <c r="FQ66" s="375" t="s">
        <v>850</v>
      </c>
      <c r="FR66" s="376" t="s">
        <v>1049</v>
      </c>
      <c r="FS66" s="377" t="s">
        <v>522</v>
      </c>
      <c r="FT66" s="377" t="s">
        <v>724</v>
      </c>
      <c r="FU66" s="377" t="s">
        <v>577</v>
      </c>
      <c r="FV66" s="144">
        <f t="shared" si="4"/>
        <v>0</v>
      </c>
      <c r="FW66" s="371" t="s">
        <v>913</v>
      </c>
    </row>
    <row r="67" spans="1:179" s="371" customFormat="1">
      <c r="A67" s="368" t="s">
        <v>526</v>
      </c>
      <c r="B67" s="369" t="s">
        <v>517</v>
      </c>
      <c r="C67" s="369" t="s">
        <v>555</v>
      </c>
      <c r="D67" s="369" t="s">
        <v>8</v>
      </c>
      <c r="E67" s="370" t="s">
        <v>602</v>
      </c>
      <c r="F67" s="369" t="s">
        <v>520</v>
      </c>
      <c r="G67" s="369"/>
      <c r="BT67" s="372"/>
      <c r="BV67" s="372"/>
      <c r="DI67" s="372" t="s">
        <v>850</v>
      </c>
      <c r="DK67" s="372" t="s">
        <v>850</v>
      </c>
      <c r="EZ67" s="418">
        <f>100</f>
        <v>100</v>
      </c>
      <c r="FQ67" s="375" t="s">
        <v>850</v>
      </c>
      <c r="FR67" s="376" t="s">
        <v>1049</v>
      </c>
      <c r="FS67" s="377" t="s">
        <v>522</v>
      </c>
      <c r="FT67" s="377" t="s">
        <v>850</v>
      </c>
      <c r="FU67" s="377" t="s">
        <v>915</v>
      </c>
      <c r="FV67" s="144">
        <f t="shared" si="4"/>
        <v>100</v>
      </c>
      <c r="FW67" s="371" t="s">
        <v>911</v>
      </c>
    </row>
    <row r="68" spans="1:179" s="371" customFormat="1">
      <c r="A68" s="368" t="s">
        <v>526</v>
      </c>
      <c r="B68" s="369" t="s">
        <v>517</v>
      </c>
      <c r="C68" s="369" t="s">
        <v>555</v>
      </c>
      <c r="D68" s="369" t="s">
        <v>4</v>
      </c>
      <c r="E68" s="370" t="s">
        <v>602</v>
      </c>
      <c r="F68" s="369" t="s">
        <v>520</v>
      </c>
      <c r="G68" s="369"/>
      <c r="H68" s="372" t="s">
        <v>850</v>
      </c>
      <c r="I68" s="372" t="s">
        <v>850</v>
      </c>
      <c r="J68" s="373">
        <f>20-20</f>
        <v>0</v>
      </c>
      <c r="K68" s="372" t="s">
        <v>850</v>
      </c>
      <c r="L68" s="372" t="s">
        <v>850</v>
      </c>
      <c r="M68" s="372" t="s">
        <v>850</v>
      </c>
      <c r="N68" s="373">
        <f>40-40</f>
        <v>0</v>
      </c>
      <c r="O68" s="373">
        <f>40-40</f>
        <v>0</v>
      </c>
      <c r="P68" s="373">
        <f>20-20</f>
        <v>0</v>
      </c>
      <c r="Q68" s="372"/>
      <c r="R68" s="372" t="s">
        <v>850</v>
      </c>
      <c r="S68" s="372" t="s">
        <v>850</v>
      </c>
      <c r="T68" s="373">
        <f>16-16</f>
        <v>0</v>
      </c>
      <c r="U68" s="373">
        <f>44-44</f>
        <v>0</v>
      </c>
      <c r="V68" s="372"/>
      <c r="W68" s="372" t="s">
        <v>850</v>
      </c>
      <c r="X68" s="372" t="s">
        <v>850</v>
      </c>
      <c r="Y68" s="373">
        <f>5-5</f>
        <v>0</v>
      </c>
      <c r="Z68" s="373">
        <f>120-120+20</f>
        <v>20</v>
      </c>
      <c r="AA68" s="372" t="s">
        <v>850</v>
      </c>
      <c r="AB68" s="373">
        <f>50-50</f>
        <v>0</v>
      </c>
      <c r="AC68" s="373">
        <f>65-65</f>
        <v>0</v>
      </c>
      <c r="AD68" s="373">
        <f>90-90+20</f>
        <v>20</v>
      </c>
      <c r="AE68" s="373">
        <f>100-100+20</f>
        <v>20</v>
      </c>
      <c r="AF68" s="372" t="s">
        <v>850</v>
      </c>
      <c r="AG68" s="372" t="s">
        <v>850</v>
      </c>
      <c r="AH68" s="372"/>
      <c r="AI68" s="372" t="s">
        <v>850</v>
      </c>
      <c r="AJ68" s="372" t="s">
        <v>850</v>
      </c>
      <c r="AK68" s="372" t="s">
        <v>850</v>
      </c>
      <c r="AL68" s="372" t="s">
        <v>850</v>
      </c>
      <c r="AM68" s="372" t="s">
        <v>850</v>
      </c>
      <c r="AN68" s="372" t="s">
        <v>850</v>
      </c>
      <c r="AO68" s="372" t="s">
        <v>850</v>
      </c>
      <c r="AP68" s="372" t="s">
        <v>850</v>
      </c>
      <c r="AQ68" s="372" t="s">
        <v>850</v>
      </c>
      <c r="AR68" s="372" t="s">
        <v>850</v>
      </c>
      <c r="AS68" s="373">
        <f>200-200</f>
        <v>0</v>
      </c>
      <c r="AT68" s="373">
        <f>200-200</f>
        <v>0</v>
      </c>
      <c r="AU68" s="372" t="s">
        <v>850</v>
      </c>
      <c r="AV68" s="372" t="s">
        <v>850</v>
      </c>
      <c r="AW68" s="373">
        <f>46-46</f>
        <v>0</v>
      </c>
      <c r="AX68" s="373">
        <f>46-46+2</f>
        <v>2</v>
      </c>
      <c r="AY68" s="373">
        <f>40-40+2</f>
        <v>2</v>
      </c>
      <c r="AZ68" s="373">
        <f>75-75</f>
        <v>0</v>
      </c>
      <c r="BA68" s="373">
        <f>20-20+10</f>
        <v>10</v>
      </c>
      <c r="BB68" s="373">
        <f>400-400</f>
        <v>0</v>
      </c>
      <c r="BC68" s="373">
        <f>70-70</f>
        <v>0</v>
      </c>
      <c r="BD68" s="373">
        <f>100-100</f>
        <v>0</v>
      </c>
      <c r="BE68" s="372"/>
      <c r="BF68" s="372" t="s">
        <v>850</v>
      </c>
      <c r="BG68" s="372" t="s">
        <v>850</v>
      </c>
      <c r="BH68" s="373">
        <f>78-78</f>
        <v>0</v>
      </c>
      <c r="BI68" s="373">
        <f>77-77</f>
        <v>0</v>
      </c>
      <c r="BJ68" s="373">
        <f>46-46+2</f>
        <v>2</v>
      </c>
      <c r="BK68" s="373">
        <f>39-39+10</f>
        <v>10</v>
      </c>
      <c r="BL68" s="373">
        <f>285-285+40</f>
        <v>40</v>
      </c>
      <c r="BM68" s="373">
        <f>15-15+20</f>
        <v>20</v>
      </c>
      <c r="BN68" s="373">
        <f>100-100</f>
        <v>0</v>
      </c>
      <c r="BO68" s="373">
        <f>150-150+20</f>
        <v>20</v>
      </c>
      <c r="BP68" s="373">
        <f>100-100+6</f>
        <v>6</v>
      </c>
      <c r="BQ68" s="372" t="s">
        <v>850</v>
      </c>
      <c r="BR68" s="372" t="s">
        <v>850</v>
      </c>
      <c r="BS68" s="373">
        <f>464-464+4</f>
        <v>4</v>
      </c>
      <c r="BT68" s="372"/>
      <c r="BU68" s="373">
        <f>10-10</f>
        <v>0</v>
      </c>
      <c r="BV68" s="372"/>
      <c r="BW68" s="373">
        <f>335-335</f>
        <v>0</v>
      </c>
      <c r="BX68" s="373">
        <f>507-507+10</f>
        <v>10</v>
      </c>
      <c r="CA68" s="373">
        <f>430-430</f>
        <v>0</v>
      </c>
      <c r="CB68" s="373">
        <f>500-500+20</f>
        <v>20</v>
      </c>
      <c r="CD68" s="373">
        <f>383-383</f>
        <v>0</v>
      </c>
      <c r="CE68" s="373">
        <f>490-490</f>
        <v>0</v>
      </c>
      <c r="CG68" s="373">
        <f>470-470</f>
        <v>0</v>
      </c>
      <c r="CH68" s="373">
        <f>329-329+20</f>
        <v>20</v>
      </c>
      <c r="CI68" s="373">
        <f>121-121+15</f>
        <v>15</v>
      </c>
      <c r="CJ68" s="373">
        <f>310-310+20</f>
        <v>20</v>
      </c>
      <c r="CK68" s="373">
        <f>463-463</f>
        <v>0</v>
      </c>
      <c r="CL68" s="373">
        <f>500-500</f>
        <v>0</v>
      </c>
      <c r="CM68" s="373">
        <f>440-440</f>
        <v>0</v>
      </c>
      <c r="CN68" s="373">
        <f>80-80+20</f>
        <v>20</v>
      </c>
      <c r="CO68" s="373">
        <f>280-280+40</f>
        <v>40</v>
      </c>
      <c r="CP68" s="373">
        <f>375-375</f>
        <v>0</v>
      </c>
      <c r="CR68" s="373">
        <f>420-420</f>
        <v>0</v>
      </c>
      <c r="CS68" s="373">
        <f>525-525</f>
        <v>0</v>
      </c>
      <c r="CT68" s="373">
        <f>491-491</f>
        <v>0</v>
      </c>
      <c r="CU68" s="373">
        <f>314-314+60</f>
        <v>60</v>
      </c>
      <c r="CV68" s="373">
        <f>370-370+60</f>
        <v>60</v>
      </c>
      <c r="CW68" s="373">
        <f>50-50+40</f>
        <v>40</v>
      </c>
      <c r="CY68" s="373">
        <f>288-288+30</f>
        <v>30</v>
      </c>
      <c r="CZ68" s="373">
        <f>120-120+110</f>
        <v>110</v>
      </c>
      <c r="DA68" s="373">
        <f>500-500</f>
        <v>0</v>
      </c>
      <c r="DB68" s="372" t="s">
        <v>850</v>
      </c>
      <c r="DC68" s="372" t="s">
        <v>850</v>
      </c>
      <c r="DD68" s="373">
        <f>538-538+100</f>
        <v>100</v>
      </c>
      <c r="DE68" s="372" t="s">
        <v>850</v>
      </c>
      <c r="DF68" s="373">
        <f>240-240</f>
        <v>0</v>
      </c>
      <c r="DG68" s="373">
        <f>580-580+50</f>
        <v>50</v>
      </c>
      <c r="DH68" s="373">
        <f>415-415</f>
        <v>0</v>
      </c>
      <c r="DI68" s="372" t="s">
        <v>850</v>
      </c>
      <c r="DJ68" s="373">
        <f>400-400+40</f>
        <v>40</v>
      </c>
      <c r="DK68" s="372" t="s">
        <v>850</v>
      </c>
      <c r="DL68" s="373">
        <f>480-480</f>
        <v>0</v>
      </c>
      <c r="DM68" s="372" t="s">
        <v>850</v>
      </c>
      <c r="DN68" s="372"/>
      <c r="DO68" s="372" t="s">
        <v>850</v>
      </c>
      <c r="DP68" s="373">
        <f>390-390</f>
        <v>0</v>
      </c>
      <c r="DQ68" s="372" t="s">
        <v>850</v>
      </c>
      <c r="DR68" s="416">
        <f>100-100+100</f>
        <v>100</v>
      </c>
      <c r="DS68" s="373">
        <f>100-100</f>
        <v>0</v>
      </c>
      <c r="DT68" s="372" t="s">
        <v>850</v>
      </c>
      <c r="DU68" s="372"/>
      <c r="DV68" s="372" t="s">
        <v>850</v>
      </c>
      <c r="DW68" s="373">
        <f>260-260+40</f>
        <v>40</v>
      </c>
      <c r="DX68" s="372"/>
      <c r="DY68" s="373">
        <f>430-430</f>
        <v>0</v>
      </c>
      <c r="DZ68" s="373">
        <f>164-164</f>
        <v>0</v>
      </c>
      <c r="EA68" s="373">
        <f>500-500+30</f>
        <v>30</v>
      </c>
      <c r="EB68" s="373">
        <f>480-480</f>
        <v>0</v>
      </c>
      <c r="EC68" s="373">
        <f>360-360</f>
        <v>0</v>
      </c>
      <c r="ED68" s="373">
        <f>380-380</f>
        <v>0</v>
      </c>
      <c r="EE68" s="373">
        <f>490-490</f>
        <v>0</v>
      </c>
      <c r="EF68" s="372" t="s">
        <v>850</v>
      </c>
      <c r="EG68" s="373">
        <f>400-400</f>
        <v>0</v>
      </c>
      <c r="EH68" s="373">
        <f>480-480</f>
        <v>0</v>
      </c>
      <c r="EI68" s="373">
        <f>320-320</f>
        <v>0</v>
      </c>
      <c r="EJ68" s="372" t="s">
        <v>850</v>
      </c>
      <c r="EK68" s="373">
        <f>500-500</f>
        <v>0</v>
      </c>
      <c r="EL68" s="373">
        <f>500-500</f>
        <v>0</v>
      </c>
      <c r="EM68" s="373">
        <f>390-390</f>
        <v>0</v>
      </c>
      <c r="EN68" s="372" t="s">
        <v>850</v>
      </c>
      <c r="EO68" s="373">
        <f>390-390</f>
        <v>0</v>
      </c>
      <c r="EP68" s="373">
        <f>340-340+40</f>
        <v>40</v>
      </c>
      <c r="EQ68" s="373">
        <f>460-460</f>
        <v>0</v>
      </c>
      <c r="ER68" s="373">
        <f>500-500</f>
        <v>0</v>
      </c>
      <c r="ES68" s="373">
        <f>500-500</f>
        <v>0</v>
      </c>
      <c r="ET68" s="373">
        <f>450-450</f>
        <v>0</v>
      </c>
      <c r="EU68" s="373">
        <f>180-180</f>
        <v>0</v>
      </c>
      <c r="EV68" s="416">
        <f>200-200+100</f>
        <v>100</v>
      </c>
      <c r="EW68" s="373">
        <f>340-340</f>
        <v>0</v>
      </c>
      <c r="EX68" s="372" t="s">
        <v>850</v>
      </c>
      <c r="EY68" s="416">
        <f>500-500+100</f>
        <v>100</v>
      </c>
      <c r="EZ68" s="373">
        <f>400-400</f>
        <v>0</v>
      </c>
      <c r="FA68" s="373">
        <f>375-375</f>
        <v>0</v>
      </c>
      <c r="FB68" s="416">
        <f>500-500+100</f>
        <v>100</v>
      </c>
      <c r="FC68" s="373">
        <f>185-185</f>
        <v>0</v>
      </c>
      <c r="FD68" s="372"/>
      <c r="FE68" s="372"/>
      <c r="FF68" s="373">
        <f>483-483</f>
        <v>0</v>
      </c>
      <c r="FG68" s="372" t="s">
        <v>850</v>
      </c>
      <c r="FH68" s="372" t="s">
        <v>850</v>
      </c>
      <c r="FI68" s="373">
        <f>1000-1000</f>
        <v>0</v>
      </c>
      <c r="FJ68" s="373">
        <f>400-400</f>
        <v>0</v>
      </c>
      <c r="FK68" s="372" t="s">
        <v>850</v>
      </c>
      <c r="FL68" s="372" t="s">
        <v>850</v>
      </c>
      <c r="FM68" s="372" t="s">
        <v>850</v>
      </c>
      <c r="FN68" s="372" t="s">
        <v>850</v>
      </c>
      <c r="FO68" s="372" t="s">
        <v>850</v>
      </c>
      <c r="FP68" s="372" t="s">
        <v>850</v>
      </c>
      <c r="FQ68" s="375" t="s">
        <v>850</v>
      </c>
      <c r="FR68" s="376" t="s">
        <v>1049</v>
      </c>
      <c r="FS68" s="377" t="s">
        <v>522</v>
      </c>
      <c r="FT68" s="377" t="s">
        <v>850</v>
      </c>
      <c r="FU68" s="377" t="s">
        <v>915</v>
      </c>
      <c r="FV68" s="144">
        <f t="shared" si="4"/>
        <v>1321</v>
      </c>
      <c r="FW68" s="371" t="s">
        <v>911</v>
      </c>
    </row>
    <row r="69" spans="1:179" s="371" customFormat="1">
      <c r="A69" s="368" t="s">
        <v>526</v>
      </c>
      <c r="B69" s="369" t="s">
        <v>517</v>
      </c>
      <c r="C69" s="369" t="s">
        <v>555</v>
      </c>
      <c r="D69" s="369" t="s">
        <v>3</v>
      </c>
      <c r="E69" s="370" t="s">
        <v>602</v>
      </c>
      <c r="F69" s="369" t="s">
        <v>520</v>
      </c>
      <c r="G69" s="369"/>
      <c r="H69" s="372"/>
      <c r="I69" s="372"/>
      <c r="J69" s="372"/>
      <c r="K69" s="372"/>
      <c r="L69" s="372"/>
      <c r="M69" s="372"/>
      <c r="N69" s="372"/>
      <c r="O69" s="372"/>
      <c r="P69" s="372"/>
      <c r="Q69" s="372"/>
      <c r="R69" s="372"/>
      <c r="S69" s="372"/>
      <c r="T69" s="372"/>
      <c r="U69" s="372"/>
      <c r="V69" s="372"/>
      <c r="W69" s="372"/>
      <c r="X69" s="372"/>
      <c r="Y69" s="372"/>
      <c r="Z69" s="372"/>
      <c r="AA69" s="372"/>
      <c r="AB69" s="372"/>
      <c r="AC69" s="372"/>
      <c r="AD69" s="372"/>
      <c r="AE69" s="372"/>
      <c r="AF69" s="372"/>
      <c r="AG69" s="372"/>
      <c r="AH69" s="372"/>
      <c r="AI69" s="372"/>
      <c r="AJ69" s="372"/>
      <c r="AK69" s="372"/>
      <c r="AL69" s="372"/>
      <c r="AM69" s="372"/>
      <c r="AN69" s="372"/>
      <c r="AO69" s="372"/>
      <c r="AP69" s="372"/>
      <c r="AQ69" s="372"/>
      <c r="AR69" s="372"/>
      <c r="AS69" s="372"/>
      <c r="AT69" s="372"/>
      <c r="AU69" s="372"/>
      <c r="AV69" s="372"/>
      <c r="AW69" s="372"/>
      <c r="AX69" s="372"/>
      <c r="AY69" s="372"/>
      <c r="AZ69" s="372"/>
      <c r="BA69" s="372"/>
      <c r="BB69" s="372"/>
      <c r="BC69" s="372"/>
      <c r="BD69" s="372"/>
      <c r="BE69" s="372"/>
      <c r="BF69" s="372"/>
      <c r="BG69" s="372"/>
      <c r="BH69" s="372"/>
      <c r="BI69" s="372"/>
      <c r="BJ69" s="372"/>
      <c r="BK69" s="372"/>
      <c r="BL69" s="372"/>
      <c r="BM69" s="372"/>
      <c r="BN69" s="372"/>
      <c r="BO69" s="372"/>
      <c r="BP69" s="372"/>
      <c r="BQ69" s="372"/>
      <c r="BR69" s="372"/>
      <c r="BS69" s="372"/>
      <c r="BT69" s="372"/>
      <c r="BU69" s="372"/>
      <c r="BV69" s="372"/>
      <c r="BW69" s="372"/>
      <c r="BX69" s="372"/>
      <c r="CA69" s="372"/>
      <c r="CB69" s="372"/>
      <c r="CC69" s="372"/>
      <c r="CD69" s="372"/>
      <c r="CE69" s="372"/>
      <c r="CG69" s="372"/>
      <c r="CH69" s="372"/>
      <c r="CI69" s="372"/>
      <c r="CJ69" s="372"/>
      <c r="CK69" s="372"/>
      <c r="CL69" s="372"/>
      <c r="CM69" s="372"/>
      <c r="CN69" s="372"/>
      <c r="CO69" s="372"/>
      <c r="CP69" s="372"/>
      <c r="CR69" s="372"/>
      <c r="CS69" s="372"/>
      <c r="CT69" s="372"/>
      <c r="CU69" s="372"/>
      <c r="CV69" s="372"/>
      <c r="CW69" s="372"/>
      <c r="CY69" s="372"/>
      <c r="CZ69" s="372"/>
      <c r="DA69" s="372"/>
      <c r="DB69" s="372"/>
      <c r="DC69" s="372"/>
      <c r="DD69" s="372"/>
      <c r="DE69" s="372"/>
      <c r="DF69" s="372"/>
      <c r="DG69" s="372"/>
      <c r="DH69" s="372"/>
      <c r="DI69" s="372" t="s">
        <v>850</v>
      </c>
      <c r="DJ69" s="372"/>
      <c r="DK69" s="372" t="s">
        <v>850</v>
      </c>
      <c r="DL69" s="372"/>
      <c r="DM69" s="372"/>
      <c r="DN69" s="372"/>
      <c r="DO69" s="372"/>
      <c r="DP69" s="372"/>
      <c r="DQ69" s="372"/>
      <c r="DR69" s="372"/>
      <c r="DS69" s="372"/>
      <c r="DT69" s="372"/>
      <c r="DU69" s="372"/>
      <c r="DV69" s="372"/>
      <c r="DW69" s="372"/>
      <c r="DX69" s="372"/>
      <c r="DY69" s="372"/>
      <c r="DZ69" s="372"/>
      <c r="EA69" s="372"/>
      <c r="EB69" s="372"/>
      <c r="EC69" s="372"/>
      <c r="ED69" s="372"/>
      <c r="EE69" s="372"/>
      <c r="EF69" s="372"/>
      <c r="EG69" s="372"/>
      <c r="EH69" s="372"/>
      <c r="EI69" s="372"/>
      <c r="EJ69" s="372"/>
      <c r="EK69" s="372"/>
      <c r="EL69" s="372"/>
      <c r="EM69" s="372"/>
      <c r="EN69" s="372"/>
      <c r="EO69" s="372"/>
      <c r="EP69" s="372"/>
      <c r="EQ69" s="372"/>
      <c r="ER69" s="372"/>
      <c r="ES69" s="372"/>
      <c r="ET69" s="372"/>
      <c r="EU69" s="372"/>
      <c r="EV69" s="372"/>
      <c r="EW69" s="372"/>
      <c r="EX69" s="372"/>
      <c r="EY69" s="372"/>
      <c r="EZ69" s="372"/>
      <c r="FA69" s="372"/>
      <c r="FB69" s="372"/>
      <c r="FC69" s="372"/>
      <c r="FD69" s="372"/>
      <c r="FE69" s="372"/>
      <c r="FF69" s="372"/>
      <c r="FG69" s="372"/>
      <c r="FH69" s="372"/>
      <c r="FI69" s="372"/>
      <c r="FJ69" s="372"/>
      <c r="FK69" s="372"/>
      <c r="FL69" s="372"/>
      <c r="FM69" s="372"/>
      <c r="FN69" s="372"/>
      <c r="FO69" s="372"/>
      <c r="FP69" s="372"/>
      <c r="FQ69" s="375" t="s">
        <v>850</v>
      </c>
      <c r="FR69" s="376" t="s">
        <v>1049</v>
      </c>
      <c r="FS69" s="377" t="s">
        <v>522</v>
      </c>
      <c r="FT69" s="377" t="s">
        <v>850</v>
      </c>
      <c r="FU69" s="377" t="s">
        <v>915</v>
      </c>
      <c r="FV69" s="144">
        <f t="shared" si="4"/>
        <v>0</v>
      </c>
      <c r="FW69" s="371" t="s">
        <v>911</v>
      </c>
    </row>
    <row r="70" spans="1:179" s="371" customFormat="1">
      <c r="A70" s="368" t="s">
        <v>526</v>
      </c>
      <c r="B70" s="369" t="s">
        <v>517</v>
      </c>
      <c r="C70" s="369" t="s">
        <v>555</v>
      </c>
      <c r="D70" s="369" t="s">
        <v>8</v>
      </c>
      <c r="E70" s="370" t="s">
        <v>603</v>
      </c>
      <c r="F70" s="369" t="s">
        <v>520</v>
      </c>
      <c r="G70" s="369"/>
      <c r="BT70" s="372"/>
      <c r="BV70" s="372"/>
      <c r="DI70" s="372" t="s">
        <v>850</v>
      </c>
      <c r="DK70" s="372" t="s">
        <v>850</v>
      </c>
      <c r="FQ70" s="375" t="s">
        <v>850</v>
      </c>
      <c r="FR70" s="376" t="s">
        <v>1049</v>
      </c>
      <c r="FS70" s="377" t="s">
        <v>522</v>
      </c>
      <c r="FT70" s="377" t="s">
        <v>850</v>
      </c>
      <c r="FU70" s="377" t="s">
        <v>915</v>
      </c>
      <c r="FV70" s="144">
        <f t="shared" si="4"/>
        <v>0</v>
      </c>
      <c r="FW70" s="371" t="s">
        <v>911</v>
      </c>
    </row>
    <row r="71" spans="1:179" s="371" customFormat="1">
      <c r="A71" s="368" t="s">
        <v>526</v>
      </c>
      <c r="B71" s="369" t="s">
        <v>517</v>
      </c>
      <c r="C71" s="369" t="s">
        <v>555</v>
      </c>
      <c r="D71" s="369" t="s">
        <v>4</v>
      </c>
      <c r="E71" s="370" t="s">
        <v>603</v>
      </c>
      <c r="F71" s="369" t="s">
        <v>520</v>
      </c>
      <c r="G71" s="369"/>
      <c r="H71" s="372" t="s">
        <v>850</v>
      </c>
      <c r="I71" s="372" t="s">
        <v>850</v>
      </c>
      <c r="J71" s="373">
        <f>5-5</f>
        <v>0</v>
      </c>
      <c r="K71" s="373">
        <f>5-5</f>
        <v>0</v>
      </c>
      <c r="L71" s="372" t="s">
        <v>850</v>
      </c>
      <c r="M71" s="372" t="s">
        <v>850</v>
      </c>
      <c r="N71" s="373">
        <f>5-5</f>
        <v>0</v>
      </c>
      <c r="O71" s="373">
        <f>5-5</f>
        <v>0</v>
      </c>
      <c r="P71" s="373">
        <f>5-5</f>
        <v>0</v>
      </c>
      <c r="Q71" s="372"/>
      <c r="R71" s="372" t="s">
        <v>850</v>
      </c>
      <c r="S71" s="372" t="s">
        <v>850</v>
      </c>
      <c r="T71" s="373">
        <f>5-5+2</f>
        <v>2</v>
      </c>
      <c r="U71" s="373">
        <f>5-5+2</f>
        <v>2</v>
      </c>
      <c r="V71" s="372"/>
      <c r="W71" s="372" t="s">
        <v>850</v>
      </c>
      <c r="X71" s="372" t="s">
        <v>850</v>
      </c>
      <c r="Y71" s="373">
        <f>5-5</f>
        <v>0</v>
      </c>
      <c r="Z71" s="372"/>
      <c r="AA71" s="372" t="s">
        <v>850</v>
      </c>
      <c r="AB71" s="373">
        <f>5-5+2</f>
        <v>2</v>
      </c>
      <c r="AC71" s="372"/>
      <c r="AD71" s="372"/>
      <c r="AE71" s="372"/>
      <c r="AF71" s="372" t="s">
        <v>850</v>
      </c>
      <c r="AG71" s="372" t="s">
        <v>850</v>
      </c>
      <c r="AH71" s="372"/>
      <c r="AI71" s="372" t="s">
        <v>850</v>
      </c>
      <c r="AJ71" s="372" t="s">
        <v>850</v>
      </c>
      <c r="AK71" s="372" t="s">
        <v>850</v>
      </c>
      <c r="AL71" s="372" t="s">
        <v>850</v>
      </c>
      <c r="AM71" s="372" t="s">
        <v>850</v>
      </c>
      <c r="AN71" s="372" t="s">
        <v>850</v>
      </c>
      <c r="AO71" s="372" t="s">
        <v>850</v>
      </c>
      <c r="AP71" s="372" t="s">
        <v>850</v>
      </c>
      <c r="AQ71" s="372" t="s">
        <v>850</v>
      </c>
      <c r="AR71" s="372" t="s">
        <v>850</v>
      </c>
      <c r="AS71" s="372" t="s">
        <v>850</v>
      </c>
      <c r="AT71" s="372" t="s">
        <v>850</v>
      </c>
      <c r="AU71" s="372" t="s">
        <v>850</v>
      </c>
      <c r="AV71" s="372" t="s">
        <v>850</v>
      </c>
      <c r="AW71" s="372" t="s">
        <v>850</v>
      </c>
      <c r="AX71" s="372"/>
      <c r="AY71" s="372"/>
      <c r="AZ71" s="373">
        <f>40-40</f>
        <v>0</v>
      </c>
      <c r="BA71" s="373">
        <f>5-5+3</f>
        <v>3</v>
      </c>
      <c r="BB71" s="373">
        <f>10-10</f>
        <v>0</v>
      </c>
      <c r="BC71" s="373">
        <f>20-20+1</f>
        <v>1</v>
      </c>
      <c r="BD71" s="373">
        <f>20-20</f>
        <v>0</v>
      </c>
      <c r="BE71" s="372"/>
      <c r="BF71" s="372" t="s">
        <v>850</v>
      </c>
      <c r="BG71" s="372" t="s">
        <v>850</v>
      </c>
      <c r="BH71" s="372" t="s">
        <v>850</v>
      </c>
      <c r="BI71" s="372" t="s">
        <v>850</v>
      </c>
      <c r="BJ71" s="372"/>
      <c r="BK71" s="372"/>
      <c r="BL71" s="372"/>
      <c r="BM71" s="372"/>
      <c r="BN71" s="372"/>
      <c r="BO71" s="372"/>
      <c r="BP71" s="372"/>
      <c r="BQ71" s="372" t="s">
        <v>850</v>
      </c>
      <c r="BR71" s="372" t="s">
        <v>850</v>
      </c>
      <c r="BS71" s="372"/>
      <c r="BT71" s="372"/>
      <c r="BU71" s="372" t="s">
        <v>850</v>
      </c>
      <c r="BV71" s="372"/>
      <c r="BW71" s="373">
        <f>10-10</f>
        <v>0</v>
      </c>
      <c r="BX71" s="373">
        <f>10-10+5</f>
        <v>5</v>
      </c>
      <c r="CA71" s="372" t="s">
        <v>850</v>
      </c>
      <c r="CB71" s="373">
        <f>10-10+5</f>
        <v>5</v>
      </c>
      <c r="CD71" s="373">
        <f>10-10</f>
        <v>0</v>
      </c>
      <c r="CE71" s="373">
        <f>20-20</f>
        <v>0</v>
      </c>
      <c r="CG71" s="373">
        <f>20-20</f>
        <v>0</v>
      </c>
      <c r="CH71" s="372"/>
      <c r="CI71" s="373">
        <f>30-30+5</f>
        <v>5</v>
      </c>
      <c r="CJ71" s="373">
        <f>30-30+5</f>
        <v>5</v>
      </c>
      <c r="CK71" s="373">
        <f>30-30</f>
        <v>0</v>
      </c>
      <c r="CL71" s="373">
        <f>30-30</f>
        <v>0</v>
      </c>
      <c r="CM71" s="373">
        <f>30-30</f>
        <v>0</v>
      </c>
      <c r="CN71" s="373">
        <f>20-20+5</f>
        <v>5</v>
      </c>
      <c r="CO71" s="373">
        <f>20-20+20</f>
        <v>20</v>
      </c>
      <c r="CP71" s="373">
        <f>20-20+2</f>
        <v>2</v>
      </c>
      <c r="CR71" s="373">
        <f>20-20</f>
        <v>0</v>
      </c>
      <c r="CS71" s="373">
        <f>20-20</f>
        <v>0</v>
      </c>
      <c r="CT71" s="373">
        <f>30-30</f>
        <v>0</v>
      </c>
      <c r="CU71" s="372"/>
      <c r="CV71" s="373">
        <f>30-30+10</f>
        <v>10</v>
      </c>
      <c r="CW71" s="373">
        <f>30-30+120</f>
        <v>120</v>
      </c>
      <c r="CY71" s="373">
        <f>30-30+10</f>
        <v>10</v>
      </c>
      <c r="CZ71" s="373">
        <f>20-20+10</f>
        <v>10</v>
      </c>
      <c r="DA71" s="372"/>
      <c r="DB71" s="372" t="s">
        <v>850</v>
      </c>
      <c r="DC71" s="372" t="s">
        <v>850</v>
      </c>
      <c r="DD71" s="373">
        <f>20-20</f>
        <v>0</v>
      </c>
      <c r="DE71" s="372" t="s">
        <v>850</v>
      </c>
      <c r="DF71" s="372" t="s">
        <v>850</v>
      </c>
      <c r="DG71" s="373">
        <f>30-30+10</f>
        <v>10</v>
      </c>
      <c r="DH71" s="373">
        <f>30-30</f>
        <v>0</v>
      </c>
      <c r="DI71" s="372" t="s">
        <v>850</v>
      </c>
      <c r="DJ71" s="373">
        <f>30-30+10</f>
        <v>10</v>
      </c>
      <c r="DK71" s="372" t="s">
        <v>850</v>
      </c>
      <c r="DL71" s="373">
        <f>30-30</f>
        <v>0</v>
      </c>
      <c r="DM71" s="372" t="s">
        <v>850</v>
      </c>
      <c r="DN71" s="372"/>
      <c r="DO71" s="372" t="s">
        <v>850</v>
      </c>
      <c r="DP71" s="372" t="s">
        <v>850</v>
      </c>
      <c r="DQ71" s="372" t="s">
        <v>850</v>
      </c>
      <c r="DR71" s="372"/>
      <c r="DS71" s="372" t="s">
        <v>850</v>
      </c>
      <c r="DT71" s="372" t="s">
        <v>850</v>
      </c>
      <c r="DU71" s="372"/>
      <c r="DV71" s="372" t="s">
        <v>850</v>
      </c>
      <c r="DW71" s="373">
        <f>50-50+20</f>
        <v>20</v>
      </c>
      <c r="DX71" s="372"/>
      <c r="DY71" s="373">
        <f>50-50</f>
        <v>0</v>
      </c>
      <c r="DZ71" s="372" t="s">
        <v>850</v>
      </c>
      <c r="EA71" s="372"/>
      <c r="EB71" s="373">
        <f t="shared" ref="EB71:EI71" si="10">50-50</f>
        <v>0</v>
      </c>
      <c r="EC71" s="373">
        <f t="shared" si="10"/>
        <v>0</v>
      </c>
      <c r="ED71" s="373">
        <f t="shared" si="10"/>
        <v>0</v>
      </c>
      <c r="EE71" s="373">
        <f t="shared" si="10"/>
        <v>0</v>
      </c>
      <c r="EF71" s="373">
        <f t="shared" si="10"/>
        <v>0</v>
      </c>
      <c r="EG71" s="373">
        <f t="shared" si="10"/>
        <v>0</v>
      </c>
      <c r="EH71" s="373">
        <f t="shared" si="10"/>
        <v>0</v>
      </c>
      <c r="EI71" s="373">
        <f t="shared" si="10"/>
        <v>0</v>
      </c>
      <c r="EJ71" s="372" t="s">
        <v>850</v>
      </c>
      <c r="EK71" s="373">
        <f>50-50</f>
        <v>0</v>
      </c>
      <c r="EL71" s="373">
        <f>50-50</f>
        <v>0</v>
      </c>
      <c r="EM71" s="373">
        <f>50-50</f>
        <v>0</v>
      </c>
      <c r="EN71" s="372" t="s">
        <v>850</v>
      </c>
      <c r="EO71" s="373">
        <f>50-50</f>
        <v>0</v>
      </c>
      <c r="EP71" s="373">
        <f>50-50+20</f>
        <v>20</v>
      </c>
      <c r="EQ71" s="373">
        <f>20-20</f>
        <v>0</v>
      </c>
      <c r="ER71" s="372" t="s">
        <v>850</v>
      </c>
      <c r="ES71" s="373">
        <f>50-50</f>
        <v>0</v>
      </c>
      <c r="ET71" s="373">
        <f>20-20</f>
        <v>0</v>
      </c>
      <c r="EU71" s="372" t="s">
        <v>850</v>
      </c>
      <c r="EV71" s="373">
        <f>30-30</f>
        <v>0</v>
      </c>
      <c r="EW71" s="372" t="s">
        <v>850</v>
      </c>
      <c r="EX71" s="372" t="s">
        <v>850</v>
      </c>
      <c r="EY71" s="372"/>
      <c r="EZ71" s="372"/>
      <c r="FA71" s="372" t="s">
        <v>850</v>
      </c>
      <c r="FB71" s="372"/>
      <c r="FC71" s="372" t="s">
        <v>850</v>
      </c>
      <c r="FD71" s="372"/>
      <c r="FE71" s="372"/>
      <c r="FF71" s="372" t="s">
        <v>850</v>
      </c>
      <c r="FG71" s="372" t="s">
        <v>850</v>
      </c>
      <c r="FH71" s="372" t="s">
        <v>850</v>
      </c>
      <c r="FI71" s="372" t="s">
        <v>850</v>
      </c>
      <c r="FJ71" s="372" t="s">
        <v>850</v>
      </c>
      <c r="FK71" s="372" t="s">
        <v>850</v>
      </c>
      <c r="FL71" s="372" t="s">
        <v>850</v>
      </c>
      <c r="FM71" s="372" t="s">
        <v>850</v>
      </c>
      <c r="FN71" s="372" t="s">
        <v>850</v>
      </c>
      <c r="FO71" s="372" t="s">
        <v>850</v>
      </c>
      <c r="FP71" s="372" t="s">
        <v>850</v>
      </c>
      <c r="FQ71" s="375" t="s">
        <v>850</v>
      </c>
      <c r="FR71" s="376" t="s">
        <v>1049</v>
      </c>
      <c r="FS71" s="377" t="s">
        <v>522</v>
      </c>
      <c r="FT71" s="377" t="s">
        <v>850</v>
      </c>
      <c r="FU71" s="377" t="s">
        <v>915</v>
      </c>
      <c r="FV71" s="144">
        <f t="shared" ref="FV71:FV99" si="11">SUM(H71:FP71)</f>
        <v>267</v>
      </c>
      <c r="FW71" s="371" t="s">
        <v>911</v>
      </c>
    </row>
    <row r="72" spans="1:179" s="371" customFormat="1">
      <c r="A72" s="368" t="s">
        <v>526</v>
      </c>
      <c r="B72" s="369" t="s">
        <v>517</v>
      </c>
      <c r="C72" s="369" t="s">
        <v>555</v>
      </c>
      <c r="D72" s="369" t="s">
        <v>3</v>
      </c>
      <c r="E72" s="370" t="s">
        <v>603</v>
      </c>
      <c r="F72" s="369" t="s">
        <v>520</v>
      </c>
      <c r="G72" s="369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  <c r="AO72" s="372"/>
      <c r="AP72" s="372"/>
      <c r="AQ72" s="372"/>
      <c r="AR72" s="372"/>
      <c r="AS72" s="372"/>
      <c r="AT72" s="372"/>
      <c r="AU72" s="372"/>
      <c r="AV72" s="372"/>
      <c r="AW72" s="372"/>
      <c r="AX72" s="372"/>
      <c r="AY72" s="372"/>
      <c r="AZ72" s="372"/>
      <c r="BA72" s="372"/>
      <c r="BB72" s="372"/>
      <c r="BC72" s="372"/>
      <c r="BD72" s="372"/>
      <c r="BE72" s="372"/>
      <c r="BF72" s="372"/>
      <c r="BG72" s="372"/>
      <c r="BH72" s="372"/>
      <c r="BI72" s="372"/>
      <c r="BJ72" s="372"/>
      <c r="BK72" s="372"/>
      <c r="BL72" s="372"/>
      <c r="BM72" s="372"/>
      <c r="BN72" s="372"/>
      <c r="BO72" s="372"/>
      <c r="BP72" s="372"/>
      <c r="BQ72" s="372"/>
      <c r="BR72" s="372"/>
      <c r="BS72" s="372"/>
      <c r="BT72" s="372"/>
      <c r="BU72" s="372"/>
      <c r="BV72" s="372"/>
      <c r="BW72" s="372"/>
      <c r="BX72" s="372"/>
      <c r="CA72" s="372"/>
      <c r="CB72" s="372"/>
      <c r="CD72" s="372"/>
      <c r="CE72" s="372"/>
      <c r="CG72" s="372"/>
      <c r="CH72" s="372"/>
      <c r="CI72" s="372"/>
      <c r="CJ72" s="372"/>
      <c r="CK72" s="372"/>
      <c r="CL72" s="372"/>
      <c r="CM72" s="372"/>
      <c r="CN72" s="372"/>
      <c r="CO72" s="372"/>
      <c r="CP72" s="372"/>
      <c r="CR72" s="372"/>
      <c r="CS72" s="372"/>
      <c r="CT72" s="372"/>
      <c r="CU72" s="372"/>
      <c r="CV72" s="372"/>
      <c r="CW72" s="372"/>
      <c r="CY72" s="372"/>
      <c r="CZ72" s="372"/>
      <c r="DA72" s="372"/>
      <c r="DB72" s="372"/>
      <c r="DC72" s="372"/>
      <c r="DD72" s="372"/>
      <c r="DE72" s="372"/>
      <c r="DF72" s="372"/>
      <c r="DG72" s="372"/>
      <c r="DH72" s="372"/>
      <c r="DI72" s="372" t="s">
        <v>850</v>
      </c>
      <c r="DJ72" s="372"/>
      <c r="DK72" s="372" t="s">
        <v>850</v>
      </c>
      <c r="DL72" s="372"/>
      <c r="DM72" s="372"/>
      <c r="DN72" s="372"/>
      <c r="DO72" s="372"/>
      <c r="DP72" s="372"/>
      <c r="DQ72" s="372"/>
      <c r="DR72" s="372"/>
      <c r="DS72" s="372"/>
      <c r="DT72" s="372"/>
      <c r="DU72" s="372"/>
      <c r="DV72" s="372"/>
      <c r="DW72" s="372"/>
      <c r="DX72" s="372"/>
      <c r="DY72" s="372"/>
      <c r="DZ72" s="372"/>
      <c r="EA72" s="372"/>
      <c r="EB72" s="372"/>
      <c r="EC72" s="372"/>
      <c r="ED72" s="372"/>
      <c r="EE72" s="372"/>
      <c r="EF72" s="372"/>
      <c r="EG72" s="372"/>
      <c r="EH72" s="372"/>
      <c r="EI72" s="372"/>
      <c r="EJ72" s="372"/>
      <c r="EK72" s="372"/>
      <c r="EL72" s="372"/>
      <c r="EM72" s="372"/>
      <c r="EN72" s="372"/>
      <c r="EO72" s="372"/>
      <c r="EP72" s="372"/>
      <c r="EQ72" s="372"/>
      <c r="ER72" s="372"/>
      <c r="ES72" s="372"/>
      <c r="ET72" s="372"/>
      <c r="EU72" s="372"/>
      <c r="EV72" s="372"/>
      <c r="EW72" s="372"/>
      <c r="EX72" s="372"/>
      <c r="EY72" s="372"/>
      <c r="EZ72" s="372"/>
      <c r="FA72" s="372"/>
      <c r="FB72" s="372"/>
      <c r="FC72" s="372"/>
      <c r="FD72" s="372"/>
      <c r="FE72" s="372"/>
      <c r="FF72" s="372"/>
      <c r="FG72" s="372"/>
      <c r="FH72" s="372"/>
      <c r="FI72" s="372"/>
      <c r="FJ72" s="372"/>
      <c r="FK72" s="372"/>
      <c r="FL72" s="372"/>
      <c r="FM72" s="372"/>
      <c r="FN72" s="372"/>
      <c r="FO72" s="372"/>
      <c r="FP72" s="372"/>
      <c r="FQ72" s="375" t="s">
        <v>850</v>
      </c>
      <c r="FR72" s="376" t="s">
        <v>1049</v>
      </c>
      <c r="FS72" s="377" t="s">
        <v>522</v>
      </c>
      <c r="FT72" s="377" t="s">
        <v>850</v>
      </c>
      <c r="FU72" s="377" t="s">
        <v>915</v>
      </c>
      <c r="FV72" s="144">
        <f t="shared" si="11"/>
        <v>0</v>
      </c>
      <c r="FW72" s="371" t="s">
        <v>911</v>
      </c>
    </row>
    <row r="73" spans="1:179" s="371" customFormat="1" hidden="1">
      <c r="A73" s="368" t="s">
        <v>526</v>
      </c>
      <c r="B73" s="369" t="s">
        <v>517</v>
      </c>
      <c r="C73" s="369" t="s">
        <v>555</v>
      </c>
      <c r="D73" s="369" t="s">
        <v>8</v>
      </c>
      <c r="E73" s="370" t="s">
        <v>1069</v>
      </c>
      <c r="F73" s="369" t="s">
        <v>520</v>
      </c>
      <c r="G73" s="369" t="s">
        <v>1070</v>
      </c>
      <c r="BT73" s="372" t="s">
        <v>850</v>
      </c>
      <c r="BV73" s="372" t="s">
        <v>850</v>
      </c>
      <c r="DI73" s="372" t="s">
        <v>850</v>
      </c>
      <c r="DK73" s="372" t="s">
        <v>850</v>
      </c>
      <c r="FQ73" s="375" t="s">
        <v>850</v>
      </c>
      <c r="FR73" s="376" t="s">
        <v>1049</v>
      </c>
      <c r="FS73" s="377" t="s">
        <v>522</v>
      </c>
      <c r="FT73" s="377" t="s">
        <v>850</v>
      </c>
      <c r="FU73" s="377" t="s">
        <v>1071</v>
      </c>
      <c r="FV73" s="144">
        <f t="shared" si="11"/>
        <v>0</v>
      </c>
      <c r="FW73" s="371" t="s">
        <v>905</v>
      </c>
    </row>
    <row r="74" spans="1:179" s="371" customFormat="1" hidden="1">
      <c r="A74" s="368" t="s">
        <v>526</v>
      </c>
      <c r="B74" s="369" t="s">
        <v>517</v>
      </c>
      <c r="C74" s="369" t="s">
        <v>555</v>
      </c>
      <c r="D74" s="369" t="s">
        <v>4</v>
      </c>
      <c r="E74" s="370" t="s">
        <v>1069</v>
      </c>
      <c r="F74" s="369" t="s">
        <v>520</v>
      </c>
      <c r="G74" s="369" t="s">
        <v>1070</v>
      </c>
      <c r="H74" s="372" t="s">
        <v>850</v>
      </c>
      <c r="I74" s="372" t="s">
        <v>850</v>
      </c>
      <c r="J74" s="372" t="s">
        <v>850</v>
      </c>
      <c r="K74" s="372" t="s">
        <v>850</v>
      </c>
      <c r="L74" s="372" t="s">
        <v>850</v>
      </c>
      <c r="M74" s="372" t="s">
        <v>850</v>
      </c>
      <c r="N74" s="372" t="s">
        <v>850</v>
      </c>
      <c r="O74" s="372" t="s">
        <v>850</v>
      </c>
      <c r="P74" s="372" t="s">
        <v>850</v>
      </c>
      <c r="Q74" s="372" t="s">
        <v>850</v>
      </c>
      <c r="R74" s="372" t="s">
        <v>850</v>
      </c>
      <c r="S74" s="372" t="s">
        <v>850</v>
      </c>
      <c r="T74" s="372" t="s">
        <v>850</v>
      </c>
      <c r="U74" s="372" t="s">
        <v>850</v>
      </c>
      <c r="V74" s="372" t="s">
        <v>850</v>
      </c>
      <c r="W74" s="372" t="s">
        <v>850</v>
      </c>
      <c r="X74" s="372" t="s">
        <v>850</v>
      </c>
      <c r="Y74" s="372" t="s">
        <v>850</v>
      </c>
      <c r="Z74" s="372" t="s">
        <v>850</v>
      </c>
      <c r="AA74" s="372" t="s">
        <v>850</v>
      </c>
      <c r="AB74" s="372" t="s">
        <v>850</v>
      </c>
      <c r="AC74" s="372" t="s">
        <v>850</v>
      </c>
      <c r="AD74" s="372" t="s">
        <v>850</v>
      </c>
      <c r="AE74" s="372" t="s">
        <v>850</v>
      </c>
      <c r="AF74" s="372" t="s">
        <v>850</v>
      </c>
      <c r="AG74" s="372" t="s">
        <v>850</v>
      </c>
      <c r="AH74" s="372" t="s">
        <v>850</v>
      </c>
      <c r="AI74" s="372" t="s">
        <v>850</v>
      </c>
      <c r="AJ74" s="372" t="s">
        <v>850</v>
      </c>
      <c r="AK74" s="372" t="s">
        <v>850</v>
      </c>
      <c r="AL74" s="372" t="s">
        <v>850</v>
      </c>
      <c r="AM74" s="372" t="s">
        <v>850</v>
      </c>
      <c r="AN74" s="372" t="s">
        <v>850</v>
      </c>
      <c r="AO74" s="372" t="s">
        <v>850</v>
      </c>
      <c r="AP74" s="372" t="s">
        <v>850</v>
      </c>
      <c r="AQ74" s="372" t="s">
        <v>850</v>
      </c>
      <c r="AR74" s="372" t="s">
        <v>850</v>
      </c>
      <c r="AS74" s="372" t="s">
        <v>850</v>
      </c>
      <c r="AT74" s="372" t="s">
        <v>850</v>
      </c>
      <c r="AU74" s="372" t="s">
        <v>850</v>
      </c>
      <c r="AV74" s="372" t="s">
        <v>850</v>
      </c>
      <c r="AW74" s="372" t="s">
        <v>850</v>
      </c>
      <c r="AX74" s="372" t="s">
        <v>850</v>
      </c>
      <c r="AY74" s="372" t="s">
        <v>850</v>
      </c>
      <c r="AZ74" s="372" t="s">
        <v>850</v>
      </c>
      <c r="BA74" s="372" t="s">
        <v>850</v>
      </c>
      <c r="BB74" s="372" t="s">
        <v>850</v>
      </c>
      <c r="BC74" s="372" t="s">
        <v>850</v>
      </c>
      <c r="BD74" s="372" t="s">
        <v>850</v>
      </c>
      <c r="BE74" s="372" t="s">
        <v>850</v>
      </c>
      <c r="BF74" s="372" t="s">
        <v>850</v>
      </c>
      <c r="BG74" s="372" t="s">
        <v>850</v>
      </c>
      <c r="BH74" s="372" t="s">
        <v>850</v>
      </c>
      <c r="BI74" s="372" t="s">
        <v>850</v>
      </c>
      <c r="BJ74" s="373">
        <f>20-20</f>
        <v>0</v>
      </c>
      <c r="BK74" s="372" t="s">
        <v>850</v>
      </c>
      <c r="BL74" s="372" t="s">
        <v>850</v>
      </c>
      <c r="BM74" s="372" t="s">
        <v>850</v>
      </c>
      <c r="BN74" s="372" t="s">
        <v>850</v>
      </c>
      <c r="BO74" s="372" t="s">
        <v>850</v>
      </c>
      <c r="BP74" s="372" t="s">
        <v>850</v>
      </c>
      <c r="BQ74" s="372" t="s">
        <v>850</v>
      </c>
      <c r="BR74" s="372" t="s">
        <v>850</v>
      </c>
      <c r="BS74" s="372" t="s">
        <v>850</v>
      </c>
      <c r="BT74" s="372" t="s">
        <v>850</v>
      </c>
      <c r="BU74" s="372" t="s">
        <v>850</v>
      </c>
      <c r="BV74" s="372" t="s">
        <v>850</v>
      </c>
      <c r="BW74" s="372" t="s">
        <v>850</v>
      </c>
      <c r="BX74" s="372" t="s">
        <v>850</v>
      </c>
      <c r="CA74" s="372" t="s">
        <v>850</v>
      </c>
      <c r="CB74" s="372" t="s">
        <v>850</v>
      </c>
      <c r="CD74" s="372" t="s">
        <v>850</v>
      </c>
      <c r="CE74" s="372" t="s">
        <v>850</v>
      </c>
      <c r="CG74" s="372" t="s">
        <v>850</v>
      </c>
      <c r="CH74" s="372" t="s">
        <v>850</v>
      </c>
      <c r="CI74" s="372" t="s">
        <v>850</v>
      </c>
      <c r="CJ74" s="372" t="s">
        <v>850</v>
      </c>
      <c r="CK74" s="372" t="s">
        <v>850</v>
      </c>
      <c r="CL74" s="372" t="s">
        <v>850</v>
      </c>
      <c r="CM74" s="372" t="s">
        <v>850</v>
      </c>
      <c r="CN74" s="373">
        <f>20-20</f>
        <v>0</v>
      </c>
      <c r="CO74" s="372" t="s">
        <v>850</v>
      </c>
      <c r="CP74" s="372" t="s">
        <v>850</v>
      </c>
      <c r="CR74" s="372" t="s">
        <v>850</v>
      </c>
      <c r="CS74" s="372" t="s">
        <v>850</v>
      </c>
      <c r="CT74" s="373">
        <f>20-20</f>
        <v>0</v>
      </c>
      <c r="CU74" s="372" t="s">
        <v>850</v>
      </c>
      <c r="CV74" s="373">
        <f>20-20</f>
        <v>0</v>
      </c>
      <c r="CW74" s="372" t="s">
        <v>850</v>
      </c>
      <c r="CY74" s="372" t="s">
        <v>850</v>
      </c>
      <c r="CZ74" s="372" t="s">
        <v>850</v>
      </c>
      <c r="DA74" s="372" t="s">
        <v>850</v>
      </c>
      <c r="DB74" s="372" t="s">
        <v>850</v>
      </c>
      <c r="DC74" s="372" t="s">
        <v>850</v>
      </c>
      <c r="DD74" s="372" t="s">
        <v>850</v>
      </c>
      <c r="DE74" s="372" t="s">
        <v>850</v>
      </c>
      <c r="DF74" s="373">
        <f>20-20</f>
        <v>0</v>
      </c>
      <c r="DG74" s="372" t="s">
        <v>850</v>
      </c>
      <c r="DH74" s="372" t="s">
        <v>850</v>
      </c>
      <c r="DI74" s="372" t="s">
        <v>850</v>
      </c>
      <c r="DJ74" s="372" t="s">
        <v>850</v>
      </c>
      <c r="DK74" s="372" t="s">
        <v>850</v>
      </c>
      <c r="DL74" s="372" t="s">
        <v>850</v>
      </c>
      <c r="DM74" s="372" t="s">
        <v>850</v>
      </c>
      <c r="DN74" s="372" t="s">
        <v>850</v>
      </c>
      <c r="DO74" s="372" t="s">
        <v>850</v>
      </c>
      <c r="DP74" s="372" t="s">
        <v>850</v>
      </c>
      <c r="DQ74" s="372" t="s">
        <v>850</v>
      </c>
      <c r="DR74" s="372" t="s">
        <v>850</v>
      </c>
      <c r="DS74" s="372" t="s">
        <v>850</v>
      </c>
      <c r="DT74" s="372" t="s">
        <v>850</v>
      </c>
      <c r="DU74" s="372" t="s">
        <v>850</v>
      </c>
      <c r="DV74" s="372" t="s">
        <v>850</v>
      </c>
      <c r="DW74" s="372" t="s">
        <v>850</v>
      </c>
      <c r="DX74" s="372" t="s">
        <v>850</v>
      </c>
      <c r="DY74" s="372" t="s">
        <v>850</v>
      </c>
      <c r="DZ74" s="372" t="s">
        <v>850</v>
      </c>
      <c r="EA74" s="372" t="s">
        <v>850</v>
      </c>
      <c r="EB74" s="372" t="s">
        <v>850</v>
      </c>
      <c r="EC74" s="373">
        <f>50-50</f>
        <v>0</v>
      </c>
      <c r="ED74" s="372" t="s">
        <v>850</v>
      </c>
      <c r="EE74" s="372" t="s">
        <v>850</v>
      </c>
      <c r="EF74" s="372" t="s">
        <v>850</v>
      </c>
      <c r="EG74" s="372" t="s">
        <v>850</v>
      </c>
      <c r="EH74" s="372" t="s">
        <v>850</v>
      </c>
      <c r="EI74" s="372" t="s">
        <v>850</v>
      </c>
      <c r="EJ74" s="372" t="s">
        <v>850</v>
      </c>
      <c r="EK74" s="373">
        <f>100-100</f>
        <v>0</v>
      </c>
      <c r="EL74" s="372" t="s">
        <v>850</v>
      </c>
      <c r="EM74" s="372" t="s">
        <v>850</v>
      </c>
      <c r="EN74" s="372" t="s">
        <v>850</v>
      </c>
      <c r="EO74" s="372" t="s">
        <v>850</v>
      </c>
      <c r="EP74" s="372" t="s">
        <v>850</v>
      </c>
      <c r="EQ74" s="372" t="s">
        <v>850</v>
      </c>
      <c r="ER74" s="372" t="s">
        <v>850</v>
      </c>
      <c r="ES74" s="372" t="s">
        <v>850</v>
      </c>
      <c r="ET74" s="372" t="s">
        <v>850</v>
      </c>
      <c r="EU74" s="372" t="s">
        <v>850</v>
      </c>
      <c r="EV74" s="372" t="s">
        <v>850</v>
      </c>
      <c r="EW74" s="372" t="s">
        <v>850</v>
      </c>
      <c r="EX74" s="372" t="s">
        <v>850</v>
      </c>
      <c r="EY74" s="372" t="s">
        <v>850</v>
      </c>
      <c r="EZ74" s="372" t="s">
        <v>850</v>
      </c>
      <c r="FA74" s="372" t="s">
        <v>850</v>
      </c>
      <c r="FB74" s="372" t="s">
        <v>850</v>
      </c>
      <c r="FC74" s="372" t="s">
        <v>850</v>
      </c>
      <c r="FD74" s="372" t="s">
        <v>850</v>
      </c>
      <c r="FE74" s="372" t="s">
        <v>850</v>
      </c>
      <c r="FF74" s="372" t="s">
        <v>850</v>
      </c>
      <c r="FG74" s="372" t="s">
        <v>850</v>
      </c>
      <c r="FH74" s="372" t="s">
        <v>850</v>
      </c>
      <c r="FI74" s="372" t="s">
        <v>850</v>
      </c>
      <c r="FJ74" s="372" t="s">
        <v>850</v>
      </c>
      <c r="FK74" s="372" t="s">
        <v>850</v>
      </c>
      <c r="FL74" s="372" t="s">
        <v>850</v>
      </c>
      <c r="FM74" s="372" t="s">
        <v>850</v>
      </c>
      <c r="FN74" s="372" t="s">
        <v>850</v>
      </c>
      <c r="FO74" s="372" t="s">
        <v>850</v>
      </c>
      <c r="FP74" s="372" t="s">
        <v>850</v>
      </c>
      <c r="FQ74" s="375" t="s">
        <v>850</v>
      </c>
      <c r="FR74" s="376" t="s">
        <v>1049</v>
      </c>
      <c r="FS74" s="377" t="s">
        <v>522</v>
      </c>
      <c r="FT74" s="377" t="s">
        <v>850</v>
      </c>
      <c r="FU74" s="377" t="s">
        <v>1071</v>
      </c>
      <c r="FV74" s="144">
        <f t="shared" si="11"/>
        <v>0</v>
      </c>
      <c r="FW74" s="371" t="s">
        <v>905</v>
      </c>
    </row>
    <row r="75" spans="1:179" s="371" customFormat="1" hidden="1">
      <c r="A75" s="368" t="s">
        <v>526</v>
      </c>
      <c r="B75" s="369" t="s">
        <v>517</v>
      </c>
      <c r="C75" s="369" t="s">
        <v>555</v>
      </c>
      <c r="D75" s="369" t="s">
        <v>3</v>
      </c>
      <c r="E75" s="370" t="s">
        <v>1069</v>
      </c>
      <c r="F75" s="369" t="s">
        <v>520</v>
      </c>
      <c r="G75" s="369"/>
      <c r="H75" s="372"/>
      <c r="I75" s="372"/>
      <c r="J75" s="372"/>
      <c r="K75" s="372"/>
      <c r="L75" s="372"/>
      <c r="M75" s="372"/>
      <c r="N75" s="372"/>
      <c r="O75" s="372"/>
      <c r="P75" s="372"/>
      <c r="Q75" s="372"/>
      <c r="R75" s="372"/>
      <c r="S75" s="372"/>
      <c r="T75" s="372"/>
      <c r="U75" s="372"/>
      <c r="V75" s="372"/>
      <c r="W75" s="372"/>
      <c r="X75" s="372"/>
      <c r="Y75" s="372"/>
      <c r="Z75" s="372"/>
      <c r="AA75" s="372"/>
      <c r="AB75" s="372"/>
      <c r="AC75" s="372"/>
      <c r="AD75" s="372"/>
      <c r="AE75" s="372"/>
      <c r="AF75" s="372"/>
      <c r="AG75" s="372"/>
      <c r="AH75" s="372"/>
      <c r="AI75" s="372"/>
      <c r="AJ75" s="372"/>
      <c r="AK75" s="372"/>
      <c r="AL75" s="372"/>
      <c r="AM75" s="372"/>
      <c r="AN75" s="372"/>
      <c r="AO75" s="372"/>
      <c r="AP75" s="372"/>
      <c r="AQ75" s="372"/>
      <c r="AR75" s="372"/>
      <c r="AS75" s="372"/>
      <c r="AT75" s="372"/>
      <c r="AU75" s="372"/>
      <c r="AV75" s="372"/>
      <c r="AW75" s="372"/>
      <c r="AX75" s="372"/>
      <c r="AY75" s="372"/>
      <c r="AZ75" s="372"/>
      <c r="BA75" s="372"/>
      <c r="BB75" s="372"/>
      <c r="BC75" s="372"/>
      <c r="BD75" s="372"/>
      <c r="BE75" s="372"/>
      <c r="BF75" s="372"/>
      <c r="BG75" s="372"/>
      <c r="BH75" s="372"/>
      <c r="BI75" s="372"/>
      <c r="BJ75" s="372"/>
      <c r="BK75" s="372"/>
      <c r="BL75" s="372"/>
      <c r="BM75" s="372"/>
      <c r="BN75" s="372"/>
      <c r="BO75" s="372"/>
      <c r="BP75" s="372"/>
      <c r="BQ75" s="372"/>
      <c r="BR75" s="372"/>
      <c r="BS75" s="372"/>
      <c r="BT75" s="372" t="s">
        <v>850</v>
      </c>
      <c r="BU75" s="372"/>
      <c r="BV75" s="372" t="s">
        <v>850</v>
      </c>
      <c r="BW75" s="372"/>
      <c r="BX75" s="372"/>
      <c r="CA75" s="372"/>
      <c r="CB75" s="372"/>
      <c r="CD75" s="372"/>
      <c r="CE75" s="372"/>
      <c r="CG75" s="372"/>
      <c r="CH75" s="372"/>
      <c r="CI75" s="372"/>
      <c r="CJ75" s="372"/>
      <c r="CK75" s="372"/>
      <c r="CL75" s="372"/>
      <c r="CM75" s="372"/>
      <c r="CN75" s="372"/>
      <c r="CO75" s="372"/>
      <c r="CP75" s="372"/>
      <c r="CR75" s="372"/>
      <c r="CS75" s="372"/>
      <c r="CT75" s="372"/>
      <c r="CU75" s="372"/>
      <c r="CV75" s="372"/>
      <c r="CW75" s="372"/>
      <c r="CY75" s="372"/>
      <c r="CZ75" s="372"/>
      <c r="DA75" s="372"/>
      <c r="DB75" s="372"/>
      <c r="DC75" s="372"/>
      <c r="DD75" s="372"/>
      <c r="DE75" s="372"/>
      <c r="DF75" s="372"/>
      <c r="DG75" s="372"/>
      <c r="DH75" s="372"/>
      <c r="DI75" s="372" t="s">
        <v>850</v>
      </c>
      <c r="DJ75" s="372"/>
      <c r="DK75" s="372" t="s">
        <v>850</v>
      </c>
      <c r="DL75" s="372"/>
      <c r="DM75" s="372"/>
      <c r="DN75" s="372"/>
      <c r="DO75" s="372"/>
      <c r="DP75" s="372"/>
      <c r="DQ75" s="372"/>
      <c r="DR75" s="372"/>
      <c r="DS75" s="372"/>
      <c r="DT75" s="372"/>
      <c r="DU75" s="372"/>
      <c r="DV75" s="372"/>
      <c r="DW75" s="372"/>
      <c r="DX75" s="372"/>
      <c r="DY75" s="372"/>
      <c r="DZ75" s="372"/>
      <c r="EA75" s="372"/>
      <c r="EB75" s="372"/>
      <c r="EC75" s="372"/>
      <c r="ED75" s="372"/>
      <c r="EE75" s="372"/>
      <c r="EF75" s="372"/>
      <c r="EG75" s="372"/>
      <c r="EH75" s="372"/>
      <c r="EI75" s="372"/>
      <c r="EJ75" s="372"/>
      <c r="EK75" s="372"/>
      <c r="EL75" s="372"/>
      <c r="EM75" s="372"/>
      <c r="EN75" s="372"/>
      <c r="EO75" s="372"/>
      <c r="EP75" s="372"/>
      <c r="EQ75" s="372"/>
      <c r="ER75" s="372"/>
      <c r="ES75" s="372"/>
      <c r="ET75" s="372"/>
      <c r="EU75" s="372"/>
      <c r="EV75" s="372"/>
      <c r="EW75" s="372"/>
      <c r="EX75" s="372"/>
      <c r="EY75" s="372"/>
      <c r="EZ75" s="372"/>
      <c r="FA75" s="372"/>
      <c r="FB75" s="372"/>
      <c r="FC75" s="372"/>
      <c r="FD75" s="372"/>
      <c r="FE75" s="372"/>
      <c r="FF75" s="372"/>
      <c r="FG75" s="372"/>
      <c r="FH75" s="372"/>
      <c r="FI75" s="372"/>
      <c r="FJ75" s="372"/>
      <c r="FK75" s="372"/>
      <c r="FL75" s="372"/>
      <c r="FM75" s="372"/>
      <c r="FN75" s="372"/>
      <c r="FO75" s="372"/>
      <c r="FP75" s="372"/>
      <c r="FQ75" s="375" t="s">
        <v>850</v>
      </c>
      <c r="FR75" s="376" t="s">
        <v>1049</v>
      </c>
      <c r="FS75" s="377" t="s">
        <v>522</v>
      </c>
      <c r="FT75" s="377" t="s">
        <v>850</v>
      </c>
      <c r="FU75" s="377" t="s">
        <v>1071</v>
      </c>
      <c r="FV75" s="144">
        <f t="shared" si="11"/>
        <v>0</v>
      </c>
      <c r="FW75" s="371" t="s">
        <v>905</v>
      </c>
    </row>
    <row r="76" spans="1:179" s="371" customFormat="1">
      <c r="A76" s="368" t="s">
        <v>540</v>
      </c>
      <c r="B76" s="369" t="s">
        <v>517</v>
      </c>
      <c r="C76" s="369" t="s">
        <v>555</v>
      </c>
      <c r="D76" s="369" t="s">
        <v>8</v>
      </c>
      <c r="E76" s="370" t="s">
        <v>1072</v>
      </c>
      <c r="F76" s="369" t="s">
        <v>520</v>
      </c>
      <c r="G76" s="369"/>
      <c r="BT76" s="372"/>
      <c r="BV76" s="372"/>
      <c r="DI76" s="372" t="s">
        <v>850</v>
      </c>
      <c r="DK76" s="372" t="s">
        <v>850</v>
      </c>
      <c r="DL76" s="418">
        <v>2</v>
      </c>
      <c r="FQ76" s="375" t="s">
        <v>850</v>
      </c>
      <c r="FR76" s="376" t="s">
        <v>1049</v>
      </c>
      <c r="FS76" s="377" t="s">
        <v>522</v>
      </c>
      <c r="FT76" s="377" t="s">
        <v>850</v>
      </c>
      <c r="FU76" s="377" t="s">
        <v>908</v>
      </c>
      <c r="FV76" s="144">
        <f t="shared" si="11"/>
        <v>2</v>
      </c>
      <c r="FW76" s="371" t="s">
        <v>906</v>
      </c>
    </row>
    <row r="77" spans="1:179" s="371" customFormat="1">
      <c r="A77" s="368" t="s">
        <v>540</v>
      </c>
      <c r="B77" s="369" t="s">
        <v>517</v>
      </c>
      <c r="C77" s="369" t="s">
        <v>555</v>
      </c>
      <c r="D77" s="369" t="s">
        <v>4</v>
      </c>
      <c r="E77" s="370" t="s">
        <v>1072</v>
      </c>
      <c r="F77" s="369" t="s">
        <v>520</v>
      </c>
      <c r="H77" s="372" t="s">
        <v>850</v>
      </c>
      <c r="I77" s="372" t="s">
        <v>850</v>
      </c>
      <c r="J77" s="372" t="s">
        <v>850</v>
      </c>
      <c r="K77" s="372" t="s">
        <v>850</v>
      </c>
      <c r="L77" s="372" t="s">
        <v>850</v>
      </c>
      <c r="M77" s="372" t="s">
        <v>850</v>
      </c>
      <c r="N77" s="372" t="s">
        <v>850</v>
      </c>
      <c r="O77" s="372" t="s">
        <v>850</v>
      </c>
      <c r="P77" s="372" t="s">
        <v>850</v>
      </c>
      <c r="Q77" s="372"/>
      <c r="R77" s="372" t="s">
        <v>850</v>
      </c>
      <c r="S77" s="372" t="s">
        <v>850</v>
      </c>
      <c r="T77" s="372"/>
      <c r="U77" s="372"/>
      <c r="V77" s="372"/>
      <c r="W77" s="372" t="s">
        <v>850</v>
      </c>
      <c r="X77" s="372" t="s">
        <v>850</v>
      </c>
      <c r="Y77" s="372" t="s">
        <v>850</v>
      </c>
      <c r="Z77" s="372"/>
      <c r="AA77" s="372" t="s">
        <v>850</v>
      </c>
      <c r="AB77" s="372"/>
      <c r="AC77" s="372"/>
      <c r="AD77" s="372"/>
      <c r="AE77" s="372"/>
      <c r="AF77" s="372" t="s">
        <v>850</v>
      </c>
      <c r="AG77" s="373">
        <f>100-100</f>
        <v>0</v>
      </c>
      <c r="AH77" s="372"/>
      <c r="AI77" s="372" t="s">
        <v>850</v>
      </c>
      <c r="AJ77" s="372" t="s">
        <v>850</v>
      </c>
      <c r="AK77" s="372" t="s">
        <v>850</v>
      </c>
      <c r="AL77" s="372" t="s">
        <v>850</v>
      </c>
      <c r="AM77" s="372" t="s">
        <v>850</v>
      </c>
      <c r="AN77" s="372" t="s">
        <v>850</v>
      </c>
      <c r="AO77" s="372" t="s">
        <v>850</v>
      </c>
      <c r="AP77" s="372" t="s">
        <v>850</v>
      </c>
      <c r="AQ77" s="372" t="s">
        <v>850</v>
      </c>
      <c r="AR77" s="372" t="s">
        <v>850</v>
      </c>
      <c r="AS77" s="372" t="s">
        <v>850</v>
      </c>
      <c r="AT77" s="372" t="s">
        <v>850</v>
      </c>
      <c r="AU77" s="372" t="s">
        <v>850</v>
      </c>
      <c r="AV77" s="372" t="s">
        <v>850</v>
      </c>
      <c r="AW77" s="372" t="s">
        <v>850</v>
      </c>
      <c r="AX77" s="372"/>
      <c r="AY77" s="373">
        <f>5-5+1</f>
        <v>1</v>
      </c>
      <c r="AZ77" s="373">
        <f>5-5</f>
        <v>0</v>
      </c>
      <c r="BA77" s="373">
        <f>5-5+5</f>
        <v>5</v>
      </c>
      <c r="BB77" s="373">
        <f>5-5</f>
        <v>0</v>
      </c>
      <c r="BC77" s="373">
        <f>5-5</f>
        <v>0</v>
      </c>
      <c r="BD77" s="372" t="s">
        <v>850</v>
      </c>
      <c r="BE77" s="372"/>
      <c r="BF77" s="372" t="s">
        <v>850</v>
      </c>
      <c r="BG77" s="372" t="s">
        <v>850</v>
      </c>
      <c r="BH77" s="372" t="s">
        <v>850</v>
      </c>
      <c r="BI77" s="372" t="s">
        <v>850</v>
      </c>
      <c r="BJ77" s="372"/>
      <c r="BK77" s="372"/>
      <c r="BL77" s="372"/>
      <c r="BM77" s="373">
        <f>5-5+2</f>
        <v>2</v>
      </c>
      <c r="BN77" s="372"/>
      <c r="BO77" s="372"/>
      <c r="BP77" s="372"/>
      <c r="BQ77" s="372" t="s">
        <v>850</v>
      </c>
      <c r="BR77" s="372" t="s">
        <v>850</v>
      </c>
      <c r="BS77" s="372"/>
      <c r="BT77" s="372"/>
      <c r="BU77" s="372" t="s">
        <v>850</v>
      </c>
      <c r="BV77" s="372"/>
      <c r="BW77" s="373">
        <f>10-10</f>
        <v>0</v>
      </c>
      <c r="BX77" s="372"/>
      <c r="CA77" s="372" t="s">
        <v>850</v>
      </c>
      <c r="CB77" s="373">
        <f>10-10+5</f>
        <v>5</v>
      </c>
      <c r="CD77" s="372" t="s">
        <v>850</v>
      </c>
      <c r="CE77" s="372" t="s">
        <v>850</v>
      </c>
      <c r="CG77" s="373">
        <f>10-10</f>
        <v>0</v>
      </c>
      <c r="CH77" s="372"/>
      <c r="CI77" s="373">
        <f>30-30+2</f>
        <v>2</v>
      </c>
      <c r="CJ77" s="373">
        <f>30-30+5</f>
        <v>5</v>
      </c>
      <c r="CK77" s="373">
        <f>30-30</f>
        <v>0</v>
      </c>
      <c r="CL77" s="372" t="s">
        <v>850</v>
      </c>
      <c r="CM77" s="372"/>
      <c r="CN77" s="373">
        <f>10-10+2</f>
        <v>2</v>
      </c>
      <c r="CO77" s="372"/>
      <c r="CP77" s="373">
        <f>10-10+2</f>
        <v>2</v>
      </c>
      <c r="CR77" s="372"/>
      <c r="CS77" s="372"/>
      <c r="CT77" s="372" t="s">
        <v>850</v>
      </c>
      <c r="CU77" s="373">
        <f>30-30+10</f>
        <v>10</v>
      </c>
      <c r="CV77" s="372"/>
      <c r="CW77" s="373">
        <f>50-50+20</f>
        <v>20</v>
      </c>
      <c r="CY77" s="373">
        <f>30-30+5</f>
        <v>5</v>
      </c>
      <c r="CZ77" s="373">
        <f>50-50+5</f>
        <v>5</v>
      </c>
      <c r="DA77" s="373">
        <f>30-30</f>
        <v>0</v>
      </c>
      <c r="DB77" s="372" t="s">
        <v>850</v>
      </c>
      <c r="DC77" s="372" t="s">
        <v>850</v>
      </c>
      <c r="DD77" s="373">
        <f>30-30+10</f>
        <v>10</v>
      </c>
      <c r="DE77" s="372" t="s">
        <v>850</v>
      </c>
      <c r="DF77" s="373">
        <f>50-50</f>
        <v>0</v>
      </c>
      <c r="DG77" s="373">
        <f>50-50+10</f>
        <v>10</v>
      </c>
      <c r="DH77" s="373">
        <f>50-50</f>
        <v>0</v>
      </c>
      <c r="DI77" s="372" t="s">
        <v>850</v>
      </c>
      <c r="DJ77" s="373">
        <f>50-50+10</f>
        <v>10</v>
      </c>
      <c r="DK77" s="372" t="s">
        <v>850</v>
      </c>
      <c r="DL77" s="373">
        <f>50-50</f>
        <v>0</v>
      </c>
      <c r="DM77" s="372" t="s">
        <v>850</v>
      </c>
      <c r="DN77" s="372"/>
      <c r="DO77" s="372" t="s">
        <v>850</v>
      </c>
      <c r="DP77" s="372" t="s">
        <v>850</v>
      </c>
      <c r="DQ77" s="372" t="s">
        <v>850</v>
      </c>
      <c r="DR77" s="372"/>
      <c r="DS77" s="372" t="s">
        <v>850</v>
      </c>
      <c r="DT77" s="372" t="s">
        <v>850</v>
      </c>
      <c r="DU77" s="372"/>
      <c r="DV77" s="372" t="s">
        <v>850</v>
      </c>
      <c r="DW77" s="373">
        <f>50-50+10</f>
        <v>10</v>
      </c>
      <c r="DX77" s="373">
        <f>100-100</f>
        <v>0</v>
      </c>
      <c r="DY77" s="373">
        <f>50-50</f>
        <v>0</v>
      </c>
      <c r="DZ77" s="372" t="s">
        <v>850</v>
      </c>
      <c r="EA77" s="372"/>
      <c r="EB77" s="373">
        <f>100-100</f>
        <v>0</v>
      </c>
      <c r="EC77" s="373">
        <f>50-50</f>
        <v>0</v>
      </c>
      <c r="ED77" s="373">
        <f>50-50</f>
        <v>0</v>
      </c>
      <c r="EE77" s="372" t="s">
        <v>850</v>
      </c>
      <c r="EF77" s="372" t="s">
        <v>850</v>
      </c>
      <c r="EG77" s="372" t="s">
        <v>850</v>
      </c>
      <c r="EH77" s="372" t="s">
        <v>850</v>
      </c>
      <c r="EI77" s="372" t="s">
        <v>850</v>
      </c>
      <c r="EJ77" s="372" t="s">
        <v>850</v>
      </c>
      <c r="EK77" s="373">
        <f t="shared" ref="EK77:EO77" si="12">50-50</f>
        <v>0</v>
      </c>
      <c r="EL77" s="373">
        <f t="shared" si="12"/>
        <v>0</v>
      </c>
      <c r="EM77" s="373">
        <f t="shared" si="12"/>
        <v>0</v>
      </c>
      <c r="EN77" s="373">
        <f t="shared" si="12"/>
        <v>0</v>
      </c>
      <c r="EO77" s="373">
        <f t="shared" si="12"/>
        <v>0</v>
      </c>
      <c r="EP77" s="373">
        <f>50-50+10</f>
        <v>10</v>
      </c>
      <c r="EQ77" s="372" t="s">
        <v>850</v>
      </c>
      <c r="ER77" s="372" t="s">
        <v>850</v>
      </c>
      <c r="ES77" s="372" t="s">
        <v>850</v>
      </c>
      <c r="ET77" s="373">
        <f>50-50</f>
        <v>0</v>
      </c>
      <c r="EU77" s="373">
        <f>50-50</f>
        <v>0</v>
      </c>
      <c r="EV77" s="373">
        <f>50-50</f>
        <v>0</v>
      </c>
      <c r="EW77" s="373">
        <f>50-50</f>
        <v>0</v>
      </c>
      <c r="EX77" s="372" t="s">
        <v>850</v>
      </c>
      <c r="EY77" s="372"/>
      <c r="EZ77" s="372"/>
      <c r="FA77" s="372" t="s">
        <v>850</v>
      </c>
      <c r="FB77" s="372"/>
      <c r="FC77" s="372" t="s">
        <v>850</v>
      </c>
      <c r="FD77" s="372"/>
      <c r="FE77" s="372"/>
      <c r="FF77" s="372" t="s">
        <v>850</v>
      </c>
      <c r="FG77" s="372" t="s">
        <v>850</v>
      </c>
      <c r="FH77" s="372" t="s">
        <v>850</v>
      </c>
      <c r="FI77" s="372" t="s">
        <v>850</v>
      </c>
      <c r="FJ77" s="372" t="s">
        <v>850</v>
      </c>
      <c r="FK77" s="372" t="s">
        <v>850</v>
      </c>
      <c r="FL77" s="372" t="s">
        <v>850</v>
      </c>
      <c r="FM77" s="372" t="s">
        <v>850</v>
      </c>
      <c r="FN77" s="372" t="s">
        <v>850</v>
      </c>
      <c r="FO77" s="372" t="s">
        <v>850</v>
      </c>
      <c r="FP77" s="372" t="s">
        <v>850</v>
      </c>
      <c r="FQ77" s="375" t="s">
        <v>850</v>
      </c>
      <c r="FR77" s="376" t="s">
        <v>1049</v>
      </c>
      <c r="FS77" s="377" t="s">
        <v>522</v>
      </c>
      <c r="FT77" s="377" t="s">
        <v>850</v>
      </c>
      <c r="FU77" s="377" t="s">
        <v>908</v>
      </c>
      <c r="FV77" s="144">
        <f t="shared" si="11"/>
        <v>114</v>
      </c>
      <c r="FW77" s="371" t="s">
        <v>906</v>
      </c>
    </row>
    <row r="78" spans="1:179" s="371" customFormat="1">
      <c r="A78" s="368" t="s">
        <v>540</v>
      </c>
      <c r="B78" s="369" t="s">
        <v>517</v>
      </c>
      <c r="C78" s="369" t="s">
        <v>555</v>
      </c>
      <c r="D78" s="369" t="s">
        <v>3</v>
      </c>
      <c r="E78" s="370" t="s">
        <v>1072</v>
      </c>
      <c r="F78" s="369" t="s">
        <v>520</v>
      </c>
      <c r="G78" s="369"/>
      <c r="H78" s="372"/>
      <c r="I78" s="372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2"/>
      <c r="AK78" s="372"/>
      <c r="AL78" s="372"/>
      <c r="AM78" s="372"/>
      <c r="AN78" s="372"/>
      <c r="AO78" s="372"/>
      <c r="AP78" s="372"/>
      <c r="AQ78" s="372"/>
      <c r="AR78" s="372"/>
      <c r="AS78" s="372"/>
      <c r="AT78" s="372"/>
      <c r="AU78" s="372"/>
      <c r="AV78" s="372"/>
      <c r="AW78" s="372"/>
      <c r="AX78" s="372"/>
      <c r="AY78" s="372"/>
      <c r="AZ78" s="372"/>
      <c r="BA78" s="372"/>
      <c r="BB78" s="372"/>
      <c r="BC78" s="372"/>
      <c r="BD78" s="372"/>
      <c r="BE78" s="372"/>
      <c r="BF78" s="372"/>
      <c r="BG78" s="372"/>
      <c r="BH78" s="372"/>
      <c r="BI78" s="372"/>
      <c r="BJ78" s="372"/>
      <c r="BK78" s="372"/>
      <c r="BL78" s="372"/>
      <c r="BM78" s="372"/>
      <c r="BN78" s="372"/>
      <c r="BO78" s="372"/>
      <c r="BP78" s="372"/>
      <c r="BQ78" s="372"/>
      <c r="BR78" s="372"/>
      <c r="BS78" s="372"/>
      <c r="BT78" s="372"/>
      <c r="BU78" s="372"/>
      <c r="BV78" s="372"/>
      <c r="BW78" s="372"/>
      <c r="BX78" s="372"/>
      <c r="CA78" s="372"/>
      <c r="CB78" s="372"/>
      <c r="CD78" s="372"/>
      <c r="CE78" s="372"/>
      <c r="CG78" s="372"/>
      <c r="CH78" s="372"/>
      <c r="CI78" s="372"/>
      <c r="CJ78" s="372"/>
      <c r="CK78" s="372"/>
      <c r="CL78" s="372"/>
      <c r="CM78" s="372"/>
      <c r="CN78" s="372"/>
      <c r="CO78" s="372"/>
      <c r="CP78" s="372"/>
      <c r="CR78" s="372"/>
      <c r="CS78" s="372"/>
      <c r="CT78" s="372"/>
      <c r="CU78" s="372"/>
      <c r="CV78" s="372"/>
      <c r="CW78" s="372"/>
      <c r="CY78" s="372"/>
      <c r="CZ78" s="372"/>
      <c r="DA78" s="372"/>
      <c r="DB78" s="372"/>
      <c r="DC78" s="372"/>
      <c r="DD78" s="372"/>
      <c r="DE78" s="372"/>
      <c r="DF78" s="372"/>
      <c r="DG78" s="372"/>
      <c r="DH78" s="372"/>
      <c r="DI78" s="372" t="s">
        <v>850</v>
      </c>
      <c r="DJ78" s="372"/>
      <c r="DK78" s="372" t="s">
        <v>850</v>
      </c>
      <c r="DL78" s="372"/>
      <c r="DM78" s="372"/>
      <c r="DN78" s="372"/>
      <c r="DO78" s="372"/>
      <c r="DP78" s="372"/>
      <c r="DQ78" s="372"/>
      <c r="DR78" s="372"/>
      <c r="DS78" s="372"/>
      <c r="DT78" s="372"/>
      <c r="DU78" s="372"/>
      <c r="DV78" s="372"/>
      <c r="DW78" s="372"/>
      <c r="DX78" s="372"/>
      <c r="DY78" s="372"/>
      <c r="DZ78" s="372"/>
      <c r="EA78" s="372"/>
      <c r="EB78" s="372"/>
      <c r="EC78" s="372"/>
      <c r="ED78" s="372"/>
      <c r="EE78" s="372"/>
      <c r="EF78" s="372"/>
      <c r="EG78" s="372"/>
      <c r="EH78" s="372"/>
      <c r="EI78" s="372"/>
      <c r="EJ78" s="372"/>
      <c r="EK78" s="372"/>
      <c r="EL78" s="372"/>
      <c r="EM78" s="372"/>
      <c r="EN78" s="372"/>
      <c r="EO78" s="372"/>
      <c r="EP78" s="372"/>
      <c r="EQ78" s="372"/>
      <c r="ER78" s="372"/>
      <c r="ES78" s="372"/>
      <c r="ET78" s="372"/>
      <c r="EU78" s="372"/>
      <c r="EV78" s="372"/>
      <c r="EW78" s="372"/>
      <c r="EX78" s="372"/>
      <c r="EY78" s="372"/>
      <c r="EZ78" s="372"/>
      <c r="FA78" s="372"/>
      <c r="FB78" s="372"/>
      <c r="FC78" s="372"/>
      <c r="FD78" s="372"/>
      <c r="FE78" s="372"/>
      <c r="FF78" s="372"/>
      <c r="FG78" s="372"/>
      <c r="FH78" s="372"/>
      <c r="FI78" s="372"/>
      <c r="FJ78" s="372"/>
      <c r="FK78" s="372"/>
      <c r="FL78" s="372"/>
      <c r="FM78" s="372"/>
      <c r="FN78" s="372"/>
      <c r="FO78" s="372"/>
      <c r="FP78" s="372"/>
      <c r="FQ78" s="375" t="s">
        <v>850</v>
      </c>
      <c r="FR78" s="376" t="s">
        <v>1049</v>
      </c>
      <c r="FS78" s="377" t="s">
        <v>522</v>
      </c>
      <c r="FT78" s="377" t="s">
        <v>850</v>
      </c>
      <c r="FU78" s="377" t="s">
        <v>908</v>
      </c>
      <c r="FV78" s="144">
        <f t="shared" si="11"/>
        <v>0</v>
      </c>
      <c r="FW78" s="371" t="s">
        <v>906</v>
      </c>
    </row>
    <row r="79" spans="1:179" s="371" customFormat="1" hidden="1">
      <c r="A79" s="368" t="s">
        <v>999</v>
      </c>
      <c r="B79" s="369" t="s">
        <v>525</v>
      </c>
      <c r="C79" s="369" t="s">
        <v>555</v>
      </c>
      <c r="D79" s="369" t="s">
        <v>8</v>
      </c>
      <c r="E79" s="370" t="s">
        <v>1000</v>
      </c>
      <c r="F79" s="369" t="s">
        <v>520</v>
      </c>
      <c r="G79" s="369" t="s">
        <v>1073</v>
      </c>
      <c r="BT79" s="372" t="s">
        <v>850</v>
      </c>
      <c r="BV79" s="372" t="s">
        <v>850</v>
      </c>
      <c r="DI79" s="372" t="s">
        <v>850</v>
      </c>
      <c r="DK79" s="372" t="s">
        <v>850</v>
      </c>
      <c r="FQ79" s="375" t="s">
        <v>850</v>
      </c>
      <c r="FR79" s="376" t="s">
        <v>1049</v>
      </c>
      <c r="FS79" s="377" t="s">
        <v>522</v>
      </c>
      <c r="FT79" s="377" t="s">
        <v>1002</v>
      </c>
      <c r="FU79" s="377" t="s">
        <v>600</v>
      </c>
      <c r="FV79" s="144">
        <f t="shared" si="11"/>
        <v>0</v>
      </c>
      <c r="FW79" s="371" t="s">
        <v>913</v>
      </c>
    </row>
    <row r="80" spans="1:179" s="371" customFormat="1" hidden="1">
      <c r="A80" s="368" t="s">
        <v>999</v>
      </c>
      <c r="B80" s="369" t="s">
        <v>525</v>
      </c>
      <c r="C80" s="369" t="s">
        <v>555</v>
      </c>
      <c r="D80" s="369" t="s">
        <v>4</v>
      </c>
      <c r="E80" s="370" t="s">
        <v>1000</v>
      </c>
      <c r="F80" s="369" t="s">
        <v>520</v>
      </c>
      <c r="G80" s="369" t="s">
        <v>1073</v>
      </c>
      <c r="H80" s="372" t="s">
        <v>850</v>
      </c>
      <c r="I80" s="372" t="s">
        <v>850</v>
      </c>
      <c r="J80" s="372" t="s">
        <v>850</v>
      </c>
      <c r="K80" s="372" t="s">
        <v>850</v>
      </c>
      <c r="L80" s="372" t="s">
        <v>850</v>
      </c>
      <c r="M80" s="372" t="s">
        <v>850</v>
      </c>
      <c r="N80" s="372" t="s">
        <v>850</v>
      </c>
      <c r="O80" s="372" t="s">
        <v>850</v>
      </c>
      <c r="P80" s="372" t="s">
        <v>850</v>
      </c>
      <c r="Q80" s="372" t="s">
        <v>850</v>
      </c>
      <c r="R80" s="372" t="s">
        <v>850</v>
      </c>
      <c r="S80" s="372" t="s">
        <v>850</v>
      </c>
      <c r="T80" s="372" t="s">
        <v>850</v>
      </c>
      <c r="U80" s="372" t="s">
        <v>850</v>
      </c>
      <c r="V80" s="372" t="s">
        <v>850</v>
      </c>
      <c r="W80" s="372" t="s">
        <v>850</v>
      </c>
      <c r="X80" s="372" t="s">
        <v>850</v>
      </c>
      <c r="Y80" s="372" t="s">
        <v>850</v>
      </c>
      <c r="Z80" s="372" t="s">
        <v>850</v>
      </c>
      <c r="AA80" s="372" t="s">
        <v>850</v>
      </c>
      <c r="AB80" s="372" t="s">
        <v>850</v>
      </c>
      <c r="AC80" s="372" t="s">
        <v>850</v>
      </c>
      <c r="AD80" s="372" t="s">
        <v>850</v>
      </c>
      <c r="AE80" s="372" t="s">
        <v>850</v>
      </c>
      <c r="AF80" s="372" t="s">
        <v>850</v>
      </c>
      <c r="AG80" s="372" t="s">
        <v>850</v>
      </c>
      <c r="AH80" s="372" t="s">
        <v>850</v>
      </c>
      <c r="AI80" s="372" t="s">
        <v>850</v>
      </c>
      <c r="AJ80" s="372" t="s">
        <v>850</v>
      </c>
      <c r="AK80" s="372" t="s">
        <v>850</v>
      </c>
      <c r="AL80" s="372" t="s">
        <v>850</v>
      </c>
      <c r="AM80" s="372" t="s">
        <v>850</v>
      </c>
      <c r="AN80" s="372" t="s">
        <v>850</v>
      </c>
      <c r="AO80" s="372" t="s">
        <v>850</v>
      </c>
      <c r="AP80" s="372" t="s">
        <v>850</v>
      </c>
      <c r="AQ80" s="372" t="s">
        <v>850</v>
      </c>
      <c r="AR80" s="372" t="s">
        <v>850</v>
      </c>
      <c r="AS80" s="372" t="s">
        <v>850</v>
      </c>
      <c r="AT80" s="372" t="s">
        <v>850</v>
      </c>
      <c r="AU80" s="372" t="s">
        <v>850</v>
      </c>
      <c r="AV80" s="372" t="s">
        <v>850</v>
      </c>
      <c r="AW80" s="372" t="s">
        <v>850</v>
      </c>
      <c r="AX80" s="372" t="s">
        <v>850</v>
      </c>
      <c r="AY80" s="372" t="s">
        <v>850</v>
      </c>
      <c r="AZ80" s="372" t="s">
        <v>850</v>
      </c>
      <c r="BA80" s="372" t="s">
        <v>850</v>
      </c>
      <c r="BB80" s="372" t="s">
        <v>850</v>
      </c>
      <c r="BC80" s="372" t="s">
        <v>850</v>
      </c>
      <c r="BD80" s="372" t="s">
        <v>850</v>
      </c>
      <c r="BE80" s="372" t="s">
        <v>850</v>
      </c>
      <c r="BF80" s="372" t="s">
        <v>850</v>
      </c>
      <c r="BG80" s="372" t="s">
        <v>850</v>
      </c>
      <c r="BH80" s="372" t="s">
        <v>850</v>
      </c>
      <c r="BI80" s="372" t="s">
        <v>850</v>
      </c>
      <c r="BJ80" s="372" t="s">
        <v>850</v>
      </c>
      <c r="BK80" s="372" t="s">
        <v>850</v>
      </c>
      <c r="BL80" s="373">
        <f>5-5</f>
        <v>0</v>
      </c>
      <c r="BM80" s="372" t="s">
        <v>850</v>
      </c>
      <c r="BN80" s="372" t="s">
        <v>850</v>
      </c>
      <c r="BO80" s="373">
        <f>10-10</f>
        <v>0</v>
      </c>
      <c r="BP80" s="372" t="s">
        <v>850</v>
      </c>
      <c r="BQ80" s="372" t="s">
        <v>850</v>
      </c>
      <c r="BR80" s="372" t="s">
        <v>850</v>
      </c>
      <c r="BS80" s="372" t="s">
        <v>850</v>
      </c>
      <c r="BT80" s="372" t="s">
        <v>850</v>
      </c>
      <c r="BU80" s="372" t="s">
        <v>850</v>
      </c>
      <c r="BV80" s="372" t="s">
        <v>850</v>
      </c>
      <c r="BW80" s="372" t="s">
        <v>850</v>
      </c>
      <c r="BX80" s="372" t="s">
        <v>850</v>
      </c>
      <c r="CA80" s="372" t="s">
        <v>850</v>
      </c>
      <c r="CB80" s="373">
        <f>20-20</f>
        <v>0</v>
      </c>
      <c r="CD80" s="372" t="s">
        <v>850</v>
      </c>
      <c r="CE80" s="372" t="s">
        <v>850</v>
      </c>
      <c r="CG80" s="372" t="s">
        <v>850</v>
      </c>
      <c r="CH80" s="372" t="s">
        <v>850</v>
      </c>
      <c r="CI80" s="372" t="s">
        <v>850</v>
      </c>
      <c r="CJ80" s="373">
        <f>25-25</f>
        <v>0</v>
      </c>
      <c r="CK80" s="373">
        <f>25-25</f>
        <v>0</v>
      </c>
      <c r="CL80" s="373">
        <f>30-30</f>
        <v>0</v>
      </c>
      <c r="CM80" s="373">
        <f>50-50</f>
        <v>0</v>
      </c>
      <c r="CN80" s="372" t="s">
        <v>850</v>
      </c>
      <c r="CO80" s="373">
        <f>20-20</f>
        <v>0</v>
      </c>
      <c r="CP80" s="373">
        <f>30-30</f>
        <v>0</v>
      </c>
      <c r="CR80" s="373">
        <f>50-50</f>
        <v>0</v>
      </c>
      <c r="CS80" s="373">
        <f>40-40</f>
        <v>0</v>
      </c>
      <c r="CT80" s="372" t="s">
        <v>850</v>
      </c>
      <c r="CU80" s="372" t="s">
        <v>850</v>
      </c>
      <c r="CV80" s="372" t="s">
        <v>850</v>
      </c>
      <c r="CW80" s="373">
        <f>100-100</f>
        <v>0</v>
      </c>
      <c r="CY80" s="373">
        <f>50-50</f>
        <v>0</v>
      </c>
      <c r="CZ80" s="373">
        <f>40-40</f>
        <v>0</v>
      </c>
      <c r="DA80" s="372" t="s">
        <v>850</v>
      </c>
      <c r="DB80" s="372" t="s">
        <v>850</v>
      </c>
      <c r="DC80" s="372" t="s">
        <v>850</v>
      </c>
      <c r="DD80" s="372" t="s">
        <v>850</v>
      </c>
      <c r="DE80" s="372" t="s">
        <v>850</v>
      </c>
      <c r="DF80" s="372" t="s">
        <v>850</v>
      </c>
      <c r="DG80" s="373">
        <f>100-100</f>
        <v>0</v>
      </c>
      <c r="DH80" s="372" t="s">
        <v>850</v>
      </c>
      <c r="DI80" s="372" t="s">
        <v>850</v>
      </c>
      <c r="DJ80" s="373">
        <f>50-50</f>
        <v>0</v>
      </c>
      <c r="DK80" s="372" t="s">
        <v>850</v>
      </c>
      <c r="DL80" s="373">
        <f>50-50</f>
        <v>0</v>
      </c>
      <c r="DM80" s="372" t="s">
        <v>850</v>
      </c>
      <c r="DN80" s="372" t="s">
        <v>850</v>
      </c>
      <c r="DO80" s="372" t="s">
        <v>850</v>
      </c>
      <c r="DP80" s="372" t="s">
        <v>850</v>
      </c>
      <c r="DQ80" s="372" t="s">
        <v>850</v>
      </c>
      <c r="DR80" s="372" t="s">
        <v>850</v>
      </c>
      <c r="DS80" s="372" t="s">
        <v>850</v>
      </c>
      <c r="DT80" s="372" t="s">
        <v>850</v>
      </c>
      <c r="DU80" s="372" t="s">
        <v>850</v>
      </c>
      <c r="DV80" s="372" t="s">
        <v>850</v>
      </c>
      <c r="DW80" s="372" t="s">
        <v>850</v>
      </c>
      <c r="DX80" s="372" t="s">
        <v>850</v>
      </c>
      <c r="DY80" s="372" t="s">
        <v>850</v>
      </c>
      <c r="DZ80" s="372" t="s">
        <v>850</v>
      </c>
      <c r="EA80" s="372" t="s">
        <v>850</v>
      </c>
      <c r="EB80" s="372" t="s">
        <v>850</v>
      </c>
      <c r="EC80" s="373">
        <f>200-200</f>
        <v>0</v>
      </c>
      <c r="ED80" s="373">
        <f>200-200</f>
        <v>0</v>
      </c>
      <c r="EE80" s="373">
        <f>250-250</f>
        <v>0</v>
      </c>
      <c r="EF80" s="372" t="s">
        <v>850</v>
      </c>
      <c r="EG80" s="373">
        <f>100-100</f>
        <v>0</v>
      </c>
      <c r="EH80" s="373">
        <f>100-100</f>
        <v>0</v>
      </c>
      <c r="EI80" s="372" t="s">
        <v>850</v>
      </c>
      <c r="EJ80" s="372" t="s">
        <v>850</v>
      </c>
      <c r="EK80" s="372" t="s">
        <v>850</v>
      </c>
      <c r="EL80" s="372" t="s">
        <v>850</v>
      </c>
      <c r="EM80" s="373">
        <f>50-50</f>
        <v>0</v>
      </c>
      <c r="EN80" s="372" t="s">
        <v>850</v>
      </c>
      <c r="EO80" s="373">
        <f>150-150</f>
        <v>0</v>
      </c>
      <c r="EP80" s="373">
        <f>150-150</f>
        <v>0</v>
      </c>
      <c r="EQ80" s="372" t="s">
        <v>850</v>
      </c>
      <c r="ER80" s="372" t="s">
        <v>850</v>
      </c>
      <c r="ES80" s="373">
        <f>100-100</f>
        <v>0</v>
      </c>
      <c r="ET80" s="372" t="s">
        <v>850</v>
      </c>
      <c r="EU80" s="372" t="s">
        <v>850</v>
      </c>
      <c r="EV80" s="416">
        <f>150-150+60</f>
        <v>60</v>
      </c>
      <c r="EW80" s="372" t="s">
        <v>850</v>
      </c>
      <c r="EX80" s="372" t="s">
        <v>850</v>
      </c>
      <c r="EY80" s="372" t="s">
        <v>850</v>
      </c>
      <c r="EZ80" s="372" t="s">
        <v>850</v>
      </c>
      <c r="FA80" s="372" t="s">
        <v>850</v>
      </c>
      <c r="FB80" s="372" t="s">
        <v>850</v>
      </c>
      <c r="FC80" s="372" t="s">
        <v>850</v>
      </c>
      <c r="FD80" s="372" t="s">
        <v>850</v>
      </c>
      <c r="FE80" s="372" t="s">
        <v>850</v>
      </c>
      <c r="FF80" s="372" t="s">
        <v>850</v>
      </c>
      <c r="FG80" s="372" t="s">
        <v>850</v>
      </c>
      <c r="FH80" s="372" t="s">
        <v>850</v>
      </c>
      <c r="FI80" s="372" t="s">
        <v>850</v>
      </c>
      <c r="FJ80" s="372" t="s">
        <v>850</v>
      </c>
      <c r="FK80" s="372" t="s">
        <v>850</v>
      </c>
      <c r="FL80" s="372" t="s">
        <v>850</v>
      </c>
      <c r="FM80" s="372" t="s">
        <v>850</v>
      </c>
      <c r="FN80" s="372" t="s">
        <v>850</v>
      </c>
      <c r="FO80" s="372" t="s">
        <v>850</v>
      </c>
      <c r="FP80" s="372" t="s">
        <v>850</v>
      </c>
      <c r="FQ80" s="375" t="s">
        <v>850</v>
      </c>
      <c r="FR80" s="376" t="s">
        <v>1049</v>
      </c>
      <c r="FS80" s="377" t="s">
        <v>522</v>
      </c>
      <c r="FT80" s="377" t="s">
        <v>1002</v>
      </c>
      <c r="FU80" s="377" t="s">
        <v>600</v>
      </c>
      <c r="FV80" s="144">
        <f t="shared" si="11"/>
        <v>60</v>
      </c>
      <c r="FW80" s="371" t="s">
        <v>913</v>
      </c>
    </row>
    <row r="81" spans="1:179" s="371" customFormat="1" hidden="1">
      <c r="A81" s="368" t="s">
        <v>999</v>
      </c>
      <c r="B81" s="369" t="s">
        <v>525</v>
      </c>
      <c r="C81" s="369" t="s">
        <v>555</v>
      </c>
      <c r="D81" s="369" t="s">
        <v>3</v>
      </c>
      <c r="E81" s="370" t="s">
        <v>1000</v>
      </c>
      <c r="F81" s="369" t="s">
        <v>520</v>
      </c>
      <c r="G81" s="369" t="s">
        <v>1074</v>
      </c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  <c r="AB81" s="372"/>
      <c r="AC81" s="372"/>
      <c r="AD81" s="372"/>
      <c r="AE81" s="372"/>
      <c r="AF81" s="372"/>
      <c r="AG81" s="372"/>
      <c r="AH81" s="372"/>
      <c r="AI81" s="372"/>
      <c r="AJ81" s="372"/>
      <c r="AK81" s="372"/>
      <c r="AL81" s="372"/>
      <c r="AM81" s="372"/>
      <c r="AN81" s="372"/>
      <c r="AO81" s="372"/>
      <c r="AP81" s="372"/>
      <c r="AQ81" s="372"/>
      <c r="AR81" s="372"/>
      <c r="AS81" s="372"/>
      <c r="AT81" s="372"/>
      <c r="AU81" s="372"/>
      <c r="AV81" s="372"/>
      <c r="AW81" s="372"/>
      <c r="AX81" s="372"/>
      <c r="AY81" s="372"/>
      <c r="AZ81" s="372"/>
      <c r="BA81" s="372"/>
      <c r="BB81" s="372"/>
      <c r="BC81" s="372"/>
      <c r="BD81" s="372"/>
      <c r="BE81" s="372"/>
      <c r="BF81" s="372"/>
      <c r="BG81" s="372"/>
      <c r="BH81" s="372"/>
      <c r="BI81" s="372"/>
      <c r="BJ81" s="372"/>
      <c r="BK81" s="372"/>
      <c r="BL81" s="372"/>
      <c r="BM81" s="372"/>
      <c r="BN81" s="372"/>
      <c r="BO81" s="372"/>
      <c r="BP81" s="372"/>
      <c r="BQ81" s="372"/>
      <c r="BR81" s="372"/>
      <c r="BS81" s="372"/>
      <c r="BT81" s="372" t="s">
        <v>850</v>
      </c>
      <c r="BU81" s="372"/>
      <c r="BV81" s="372" t="s">
        <v>850</v>
      </c>
      <c r="BW81" s="372"/>
      <c r="BX81" s="372"/>
      <c r="CA81" s="372"/>
      <c r="CB81" s="372"/>
      <c r="CD81" s="372"/>
      <c r="CE81" s="372"/>
      <c r="CG81" s="372"/>
      <c r="CH81" s="372"/>
      <c r="CI81" s="372"/>
      <c r="CJ81" s="372"/>
      <c r="CK81" s="372"/>
      <c r="CL81" s="372"/>
      <c r="CM81" s="372"/>
      <c r="CN81" s="372"/>
      <c r="CO81" s="372"/>
      <c r="CP81" s="372"/>
      <c r="CR81" s="372"/>
      <c r="CS81" s="372"/>
      <c r="CT81" s="372"/>
      <c r="CU81" s="372"/>
      <c r="CV81" s="372"/>
      <c r="CW81" s="372"/>
      <c r="CY81" s="372"/>
      <c r="CZ81" s="372"/>
      <c r="DA81" s="372"/>
      <c r="DB81" s="372"/>
      <c r="DC81" s="372"/>
      <c r="DD81" s="372"/>
      <c r="DE81" s="372"/>
      <c r="DF81" s="372"/>
      <c r="DG81" s="372"/>
      <c r="DH81" s="372"/>
      <c r="DI81" s="372" t="s">
        <v>850</v>
      </c>
      <c r="DJ81" s="372"/>
      <c r="DK81" s="372" t="s">
        <v>850</v>
      </c>
      <c r="DL81" s="372"/>
      <c r="DM81" s="372"/>
      <c r="DN81" s="372"/>
      <c r="DO81" s="372"/>
      <c r="DP81" s="372"/>
      <c r="DQ81" s="372"/>
      <c r="DR81" s="372"/>
      <c r="DS81" s="372"/>
      <c r="DT81" s="372"/>
      <c r="DU81" s="372"/>
      <c r="DV81" s="372"/>
      <c r="DW81" s="372"/>
      <c r="DX81" s="372"/>
      <c r="DY81" s="372"/>
      <c r="DZ81" s="372"/>
      <c r="EA81" s="372"/>
      <c r="EB81" s="372"/>
      <c r="EC81" s="372"/>
      <c r="ED81" s="372"/>
      <c r="EE81" s="372"/>
      <c r="EF81" s="372"/>
      <c r="EG81" s="372"/>
      <c r="EH81" s="372"/>
      <c r="EI81" s="372"/>
      <c r="EJ81" s="372"/>
      <c r="EK81" s="372"/>
      <c r="EL81" s="372"/>
      <c r="EM81" s="372"/>
      <c r="EN81" s="372"/>
      <c r="EO81" s="372"/>
      <c r="EP81" s="372"/>
      <c r="EQ81" s="372"/>
      <c r="ER81" s="372"/>
      <c r="ES81" s="372"/>
      <c r="ET81" s="372"/>
      <c r="EU81" s="372"/>
      <c r="EV81" s="372"/>
      <c r="EW81" s="372"/>
      <c r="EX81" s="372"/>
      <c r="EY81" s="372"/>
      <c r="EZ81" s="372"/>
      <c r="FA81" s="372"/>
      <c r="FB81" s="372"/>
      <c r="FC81" s="372"/>
      <c r="FD81" s="372"/>
      <c r="FE81" s="372"/>
      <c r="FF81" s="372"/>
      <c r="FG81" s="372"/>
      <c r="FH81" s="372"/>
      <c r="FI81" s="372"/>
      <c r="FJ81" s="372"/>
      <c r="FK81" s="372"/>
      <c r="FL81" s="372"/>
      <c r="FM81" s="372"/>
      <c r="FN81" s="372"/>
      <c r="FO81" s="372"/>
      <c r="FP81" s="372"/>
      <c r="FQ81" s="375" t="s">
        <v>850</v>
      </c>
      <c r="FR81" s="376" t="s">
        <v>1049</v>
      </c>
      <c r="FS81" s="377" t="s">
        <v>522</v>
      </c>
      <c r="FT81" s="377" t="s">
        <v>1002</v>
      </c>
      <c r="FU81" s="377" t="s">
        <v>600</v>
      </c>
      <c r="FV81" s="144">
        <f t="shared" si="11"/>
        <v>0</v>
      </c>
      <c r="FW81" s="371" t="s">
        <v>913</v>
      </c>
    </row>
    <row r="82" spans="1:179" s="371" customFormat="1" hidden="1">
      <c r="A82" s="368" t="s">
        <v>526</v>
      </c>
      <c r="B82" s="369" t="s">
        <v>517</v>
      </c>
      <c r="C82" s="369" t="s">
        <v>555</v>
      </c>
      <c r="D82" s="369" t="s">
        <v>8</v>
      </c>
      <c r="E82" s="370" t="s">
        <v>604</v>
      </c>
      <c r="F82" s="369" t="s">
        <v>520</v>
      </c>
      <c r="G82" s="369" t="s">
        <v>1075</v>
      </c>
      <c r="BT82" s="372" t="s">
        <v>850</v>
      </c>
      <c r="BV82" s="372" t="s">
        <v>850</v>
      </c>
      <c r="DI82" s="372" t="s">
        <v>850</v>
      </c>
      <c r="DK82" s="372" t="s">
        <v>850</v>
      </c>
      <c r="EU82" s="418">
        <f>10</f>
        <v>10</v>
      </c>
      <c r="FQ82" s="375" t="s">
        <v>850</v>
      </c>
      <c r="FR82" s="376" t="s">
        <v>1049</v>
      </c>
      <c r="FS82" s="377" t="s">
        <v>522</v>
      </c>
      <c r="FT82" s="377" t="s">
        <v>850</v>
      </c>
      <c r="FU82" s="377" t="s">
        <v>607</v>
      </c>
      <c r="FV82" s="144">
        <f t="shared" si="11"/>
        <v>10</v>
      </c>
      <c r="FW82" s="371" t="s">
        <v>905</v>
      </c>
    </row>
    <row r="83" spans="1:179" s="371" customFormat="1" hidden="1">
      <c r="A83" s="368" t="s">
        <v>526</v>
      </c>
      <c r="B83" s="369" t="s">
        <v>517</v>
      </c>
      <c r="C83" s="369" t="s">
        <v>555</v>
      </c>
      <c r="D83" s="369" t="s">
        <v>4</v>
      </c>
      <c r="E83" s="370" t="s">
        <v>604</v>
      </c>
      <c r="F83" s="369" t="s">
        <v>520</v>
      </c>
      <c r="G83" s="369" t="s">
        <v>1075</v>
      </c>
      <c r="H83" s="372" t="s">
        <v>850</v>
      </c>
      <c r="I83" s="372" t="s">
        <v>850</v>
      </c>
      <c r="J83" s="372" t="s">
        <v>850</v>
      </c>
      <c r="K83" s="372" t="s">
        <v>850</v>
      </c>
      <c r="L83" s="372" t="s">
        <v>850</v>
      </c>
      <c r="M83" s="372" t="s">
        <v>850</v>
      </c>
      <c r="N83" s="372" t="s">
        <v>850</v>
      </c>
      <c r="O83" s="372" t="s">
        <v>850</v>
      </c>
      <c r="P83" s="372" t="s">
        <v>850</v>
      </c>
      <c r="Q83" s="372" t="s">
        <v>850</v>
      </c>
      <c r="R83" s="372" t="s">
        <v>850</v>
      </c>
      <c r="S83" s="372" t="s">
        <v>850</v>
      </c>
      <c r="T83" s="372" t="s">
        <v>850</v>
      </c>
      <c r="U83" s="372" t="s">
        <v>850</v>
      </c>
      <c r="V83" s="372" t="s">
        <v>850</v>
      </c>
      <c r="W83" s="372" t="s">
        <v>850</v>
      </c>
      <c r="X83" s="372" t="s">
        <v>850</v>
      </c>
      <c r="Y83" s="372" t="s">
        <v>850</v>
      </c>
      <c r="Z83" s="372" t="s">
        <v>850</v>
      </c>
      <c r="AA83" s="372" t="s">
        <v>850</v>
      </c>
      <c r="AB83" s="372" t="s">
        <v>850</v>
      </c>
      <c r="AC83" s="372" t="s">
        <v>850</v>
      </c>
      <c r="AD83" s="372" t="s">
        <v>850</v>
      </c>
      <c r="AE83" s="372" t="s">
        <v>850</v>
      </c>
      <c r="AF83" s="372" t="s">
        <v>850</v>
      </c>
      <c r="AG83" s="372" t="s">
        <v>850</v>
      </c>
      <c r="AH83" s="372" t="s">
        <v>850</v>
      </c>
      <c r="AI83" s="372" t="s">
        <v>850</v>
      </c>
      <c r="AJ83" s="372" t="s">
        <v>850</v>
      </c>
      <c r="AK83" s="372" t="s">
        <v>850</v>
      </c>
      <c r="AL83" s="372" t="s">
        <v>850</v>
      </c>
      <c r="AM83" s="372" t="s">
        <v>850</v>
      </c>
      <c r="AN83" s="372" t="s">
        <v>850</v>
      </c>
      <c r="AO83" s="372" t="s">
        <v>850</v>
      </c>
      <c r="AP83" s="372" t="s">
        <v>850</v>
      </c>
      <c r="AQ83" s="372" t="s">
        <v>850</v>
      </c>
      <c r="AR83" s="372" t="s">
        <v>850</v>
      </c>
      <c r="AS83" s="372" t="s">
        <v>850</v>
      </c>
      <c r="AT83" s="372" t="s">
        <v>850</v>
      </c>
      <c r="AU83" s="372" t="s">
        <v>850</v>
      </c>
      <c r="AV83" s="372" t="s">
        <v>850</v>
      </c>
      <c r="AW83" s="372" t="s">
        <v>850</v>
      </c>
      <c r="AX83" s="372" t="s">
        <v>850</v>
      </c>
      <c r="AY83" s="372" t="s">
        <v>850</v>
      </c>
      <c r="AZ83" s="372" t="s">
        <v>850</v>
      </c>
      <c r="BA83" s="373">
        <f>10-10</f>
        <v>0</v>
      </c>
      <c r="BB83" s="372" t="s">
        <v>850</v>
      </c>
      <c r="BC83" s="372" t="s">
        <v>850</v>
      </c>
      <c r="BD83" s="372" t="s">
        <v>850</v>
      </c>
      <c r="BE83" s="372" t="s">
        <v>850</v>
      </c>
      <c r="BF83" s="372" t="s">
        <v>850</v>
      </c>
      <c r="BG83" s="372" t="s">
        <v>850</v>
      </c>
      <c r="BH83" s="372" t="s">
        <v>850</v>
      </c>
      <c r="BI83" s="372" t="s">
        <v>850</v>
      </c>
      <c r="BJ83" s="372" t="s">
        <v>850</v>
      </c>
      <c r="BK83" s="372" t="s">
        <v>850</v>
      </c>
      <c r="BL83" s="373">
        <f>10-10</f>
        <v>0</v>
      </c>
      <c r="BM83" s="372" t="s">
        <v>850</v>
      </c>
      <c r="BN83" s="373">
        <f>10-10</f>
        <v>0</v>
      </c>
      <c r="BO83" s="372" t="s">
        <v>850</v>
      </c>
      <c r="BP83" s="372" t="s">
        <v>850</v>
      </c>
      <c r="BQ83" s="372" t="s">
        <v>850</v>
      </c>
      <c r="BR83" s="372" t="s">
        <v>850</v>
      </c>
      <c r="BS83" s="372" t="s">
        <v>850</v>
      </c>
      <c r="BT83" s="372" t="s">
        <v>850</v>
      </c>
      <c r="BU83" s="372" t="s">
        <v>850</v>
      </c>
      <c r="BV83" s="372" t="s">
        <v>850</v>
      </c>
      <c r="BW83" s="372" t="s">
        <v>850</v>
      </c>
      <c r="BX83" s="372" t="s">
        <v>850</v>
      </c>
      <c r="CA83" s="372" t="s">
        <v>850</v>
      </c>
      <c r="CB83" s="373">
        <f>20-20</f>
        <v>0</v>
      </c>
      <c r="CD83" s="373">
        <f>20-20</f>
        <v>0</v>
      </c>
      <c r="CE83" s="373">
        <f>20-20</f>
        <v>0</v>
      </c>
      <c r="CG83" s="372" t="s">
        <v>850</v>
      </c>
      <c r="CH83" s="372" t="s">
        <v>850</v>
      </c>
      <c r="CI83" s="372" t="s">
        <v>850</v>
      </c>
      <c r="CJ83" s="373">
        <f>50-50</f>
        <v>0</v>
      </c>
      <c r="CK83" s="373">
        <f>50-50</f>
        <v>0</v>
      </c>
      <c r="CL83" s="373">
        <f>30-30</f>
        <v>0</v>
      </c>
      <c r="CM83" s="373">
        <f>50-50</f>
        <v>0</v>
      </c>
      <c r="CN83" s="372" t="s">
        <v>850</v>
      </c>
      <c r="CO83" s="373">
        <f>50-50</f>
        <v>0</v>
      </c>
      <c r="CP83" s="373">
        <f>30-30</f>
        <v>0</v>
      </c>
      <c r="CR83" s="373">
        <f>50-50</f>
        <v>0</v>
      </c>
      <c r="CS83" s="372" t="s">
        <v>850</v>
      </c>
      <c r="CT83" s="372" t="s">
        <v>850</v>
      </c>
      <c r="CU83" s="372" t="s">
        <v>850</v>
      </c>
      <c r="CV83" s="372" t="s">
        <v>850</v>
      </c>
      <c r="CW83" s="373">
        <f>50-50</f>
        <v>0</v>
      </c>
      <c r="CY83" s="373">
        <f>50-50</f>
        <v>0</v>
      </c>
      <c r="CZ83" s="373">
        <f>50-50</f>
        <v>0</v>
      </c>
      <c r="DA83" s="372" t="s">
        <v>850</v>
      </c>
      <c r="DB83" s="372" t="s">
        <v>850</v>
      </c>
      <c r="DC83" s="372" t="s">
        <v>850</v>
      </c>
      <c r="DD83" s="372" t="s">
        <v>850</v>
      </c>
      <c r="DE83" s="372" t="s">
        <v>850</v>
      </c>
      <c r="DF83" s="372" t="s">
        <v>850</v>
      </c>
      <c r="DG83" s="373">
        <f>50-50</f>
        <v>0</v>
      </c>
      <c r="DH83" s="373">
        <f>50-50</f>
        <v>0</v>
      </c>
      <c r="DI83" s="372" t="s">
        <v>850</v>
      </c>
      <c r="DJ83" s="373">
        <f>50-50</f>
        <v>0</v>
      </c>
      <c r="DK83" s="372" t="s">
        <v>850</v>
      </c>
      <c r="DL83" s="372" t="s">
        <v>850</v>
      </c>
      <c r="DM83" s="372" t="s">
        <v>850</v>
      </c>
      <c r="DN83" s="372" t="s">
        <v>850</v>
      </c>
      <c r="DO83" s="372" t="s">
        <v>850</v>
      </c>
      <c r="DP83" s="373">
        <f>50-50</f>
        <v>0</v>
      </c>
      <c r="DQ83" s="372" t="s">
        <v>850</v>
      </c>
      <c r="DR83" s="416">
        <f>50-50+50</f>
        <v>50</v>
      </c>
      <c r="DS83" s="372" t="s">
        <v>850</v>
      </c>
      <c r="DT83" s="372" t="s">
        <v>850</v>
      </c>
      <c r="DU83" s="372" t="s">
        <v>850</v>
      </c>
      <c r="DV83" s="372" t="s">
        <v>850</v>
      </c>
      <c r="DW83" s="373">
        <f>100-100</f>
        <v>0</v>
      </c>
      <c r="DX83" s="372" t="s">
        <v>850</v>
      </c>
      <c r="DY83" s="373">
        <f>100-100</f>
        <v>0</v>
      </c>
      <c r="DZ83" s="372" t="s">
        <v>850</v>
      </c>
      <c r="EA83" s="372" t="s">
        <v>850</v>
      </c>
      <c r="EB83" s="372" t="s">
        <v>850</v>
      </c>
      <c r="EC83" s="373">
        <f>100-100</f>
        <v>0</v>
      </c>
      <c r="ED83" s="372" t="s">
        <v>850</v>
      </c>
      <c r="EE83" s="372" t="s">
        <v>850</v>
      </c>
      <c r="EF83" s="372" t="s">
        <v>850</v>
      </c>
      <c r="EG83" s="373">
        <f>50-50</f>
        <v>0</v>
      </c>
      <c r="EH83" s="373">
        <f>50-50</f>
        <v>0</v>
      </c>
      <c r="EI83" s="372" t="s">
        <v>850</v>
      </c>
      <c r="EJ83" s="372" t="s">
        <v>850</v>
      </c>
      <c r="EK83" s="372" t="s">
        <v>850</v>
      </c>
      <c r="EL83" s="372" t="s">
        <v>850</v>
      </c>
      <c r="EM83" s="372" t="s">
        <v>850</v>
      </c>
      <c r="EN83" s="372" t="s">
        <v>850</v>
      </c>
      <c r="EO83" s="372" t="s">
        <v>850</v>
      </c>
      <c r="EP83" s="372" t="s">
        <v>850</v>
      </c>
      <c r="EQ83" s="372" t="s">
        <v>850</v>
      </c>
      <c r="ER83" s="372" t="s">
        <v>850</v>
      </c>
      <c r="ES83" s="372" t="s">
        <v>850</v>
      </c>
      <c r="ET83" s="372" t="s">
        <v>850</v>
      </c>
      <c r="EU83" s="373">
        <f>50-50</f>
        <v>0</v>
      </c>
      <c r="EV83" s="372" t="s">
        <v>850</v>
      </c>
      <c r="EW83" s="372" t="s">
        <v>850</v>
      </c>
      <c r="EX83" s="372" t="s">
        <v>850</v>
      </c>
      <c r="EY83" s="372" t="s">
        <v>850</v>
      </c>
      <c r="EZ83" s="372" t="s">
        <v>850</v>
      </c>
      <c r="FA83" s="372" t="s">
        <v>850</v>
      </c>
      <c r="FB83" s="372" t="s">
        <v>850</v>
      </c>
      <c r="FC83" s="372" t="s">
        <v>850</v>
      </c>
      <c r="FD83" s="372" t="s">
        <v>850</v>
      </c>
      <c r="FE83" s="372" t="s">
        <v>850</v>
      </c>
      <c r="FF83" s="372" t="s">
        <v>850</v>
      </c>
      <c r="FG83" s="372" t="s">
        <v>850</v>
      </c>
      <c r="FH83" s="372" t="s">
        <v>850</v>
      </c>
      <c r="FI83" s="372" t="s">
        <v>850</v>
      </c>
      <c r="FJ83" s="372" t="s">
        <v>850</v>
      </c>
      <c r="FK83" s="372" t="s">
        <v>850</v>
      </c>
      <c r="FL83" s="372" t="s">
        <v>850</v>
      </c>
      <c r="FM83" s="372" t="s">
        <v>850</v>
      </c>
      <c r="FN83" s="372" t="s">
        <v>850</v>
      </c>
      <c r="FO83" s="372" t="s">
        <v>850</v>
      </c>
      <c r="FP83" s="372" t="s">
        <v>850</v>
      </c>
      <c r="FQ83" s="375" t="s">
        <v>850</v>
      </c>
      <c r="FR83" s="376" t="s">
        <v>1049</v>
      </c>
      <c r="FS83" s="377" t="s">
        <v>522</v>
      </c>
      <c r="FT83" s="377" t="s">
        <v>850</v>
      </c>
      <c r="FU83" s="377" t="s">
        <v>607</v>
      </c>
      <c r="FV83" s="144">
        <f t="shared" si="11"/>
        <v>50</v>
      </c>
      <c r="FW83" s="371" t="s">
        <v>905</v>
      </c>
    </row>
    <row r="84" spans="1:179" s="371" customFormat="1" hidden="1">
      <c r="A84" s="368" t="s">
        <v>526</v>
      </c>
      <c r="B84" s="369" t="s">
        <v>517</v>
      </c>
      <c r="C84" s="369" t="s">
        <v>555</v>
      </c>
      <c r="D84" s="369" t="s">
        <v>3</v>
      </c>
      <c r="E84" s="370" t="s">
        <v>604</v>
      </c>
      <c r="F84" s="369" t="s">
        <v>520</v>
      </c>
      <c r="G84" s="369" t="s">
        <v>550</v>
      </c>
      <c r="H84" s="372"/>
      <c r="I84" s="372"/>
      <c r="J84" s="372"/>
      <c r="K84" s="372"/>
      <c r="L84" s="372"/>
      <c r="M84" s="372"/>
      <c r="N84" s="372"/>
      <c r="O84" s="372"/>
      <c r="P84" s="372"/>
      <c r="Q84" s="372"/>
      <c r="R84" s="372"/>
      <c r="S84" s="372"/>
      <c r="T84" s="372"/>
      <c r="U84" s="372"/>
      <c r="V84" s="372"/>
      <c r="W84" s="372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2"/>
      <c r="AK84" s="372"/>
      <c r="AL84" s="372"/>
      <c r="AM84" s="372"/>
      <c r="AN84" s="372"/>
      <c r="AO84" s="372"/>
      <c r="AP84" s="372"/>
      <c r="AQ84" s="372"/>
      <c r="AR84" s="372"/>
      <c r="AS84" s="372"/>
      <c r="AT84" s="372"/>
      <c r="AU84" s="372"/>
      <c r="AV84" s="372"/>
      <c r="AW84" s="372"/>
      <c r="AX84" s="372"/>
      <c r="AY84" s="372"/>
      <c r="AZ84" s="372"/>
      <c r="BA84" s="372"/>
      <c r="BB84" s="372"/>
      <c r="BC84" s="372"/>
      <c r="BD84" s="372"/>
      <c r="BE84" s="372"/>
      <c r="BF84" s="372"/>
      <c r="BG84" s="372"/>
      <c r="BH84" s="372"/>
      <c r="BI84" s="372"/>
      <c r="BJ84" s="372"/>
      <c r="BK84" s="372"/>
      <c r="BL84" s="372"/>
      <c r="BM84" s="372"/>
      <c r="BN84" s="372"/>
      <c r="BO84" s="372"/>
      <c r="BP84" s="372"/>
      <c r="BQ84" s="372"/>
      <c r="BR84" s="372"/>
      <c r="BS84" s="372"/>
      <c r="BT84" s="372" t="s">
        <v>850</v>
      </c>
      <c r="BU84" s="372"/>
      <c r="BV84" s="372" t="s">
        <v>850</v>
      </c>
      <c r="BW84" s="372"/>
      <c r="BX84" s="372"/>
      <c r="CA84" s="372"/>
      <c r="CB84" s="372"/>
      <c r="CD84" s="372"/>
      <c r="CE84" s="372"/>
      <c r="CG84" s="372"/>
      <c r="CH84" s="372"/>
      <c r="CI84" s="372"/>
      <c r="CJ84" s="372"/>
      <c r="CK84" s="372"/>
      <c r="CL84" s="372"/>
      <c r="CM84" s="372"/>
      <c r="CN84" s="372"/>
      <c r="CO84" s="372"/>
      <c r="CP84" s="372"/>
      <c r="CR84" s="372"/>
      <c r="CS84" s="372"/>
      <c r="CT84" s="372"/>
      <c r="CU84" s="372"/>
      <c r="CV84" s="372"/>
      <c r="CW84" s="372"/>
      <c r="CY84" s="372"/>
      <c r="CZ84" s="372"/>
      <c r="DA84" s="372"/>
      <c r="DB84" s="372"/>
      <c r="DC84" s="372"/>
      <c r="DD84" s="372"/>
      <c r="DE84" s="372"/>
      <c r="DF84" s="372"/>
      <c r="DG84" s="372"/>
      <c r="DH84" s="372"/>
      <c r="DI84" s="372" t="s">
        <v>850</v>
      </c>
      <c r="DJ84" s="372"/>
      <c r="DK84" s="372" t="s">
        <v>850</v>
      </c>
      <c r="DL84" s="372"/>
      <c r="DM84" s="372"/>
      <c r="DN84" s="372"/>
      <c r="DO84" s="372"/>
      <c r="DP84" s="372"/>
      <c r="DQ84" s="372"/>
      <c r="DR84" s="372"/>
      <c r="DS84" s="372"/>
      <c r="DT84" s="372"/>
      <c r="DU84" s="372"/>
      <c r="DV84" s="372"/>
      <c r="DW84" s="372"/>
      <c r="DX84" s="372"/>
      <c r="DY84" s="372"/>
      <c r="DZ84" s="372"/>
      <c r="EA84" s="372"/>
      <c r="EB84" s="372"/>
      <c r="EC84" s="372"/>
      <c r="ED84" s="372"/>
      <c r="EE84" s="372"/>
      <c r="EF84" s="372"/>
      <c r="EG84" s="372"/>
      <c r="EH84" s="372"/>
      <c r="EI84" s="372"/>
      <c r="EJ84" s="372"/>
      <c r="EK84" s="372"/>
      <c r="EL84" s="372"/>
      <c r="EM84" s="372"/>
      <c r="EN84" s="372"/>
      <c r="EO84" s="372"/>
      <c r="EP84" s="372"/>
      <c r="EQ84" s="372"/>
      <c r="ER84" s="372"/>
      <c r="ES84" s="372"/>
      <c r="ET84" s="372"/>
      <c r="EU84" s="372"/>
      <c r="EV84" s="372"/>
      <c r="EW84" s="372"/>
      <c r="EX84" s="372"/>
      <c r="EY84" s="372"/>
      <c r="EZ84" s="372"/>
      <c r="FA84" s="372"/>
      <c r="FB84" s="372"/>
      <c r="FC84" s="372"/>
      <c r="FD84" s="372"/>
      <c r="FE84" s="372"/>
      <c r="FF84" s="372"/>
      <c r="FG84" s="372"/>
      <c r="FH84" s="372"/>
      <c r="FI84" s="372"/>
      <c r="FJ84" s="372"/>
      <c r="FK84" s="372"/>
      <c r="FL84" s="372"/>
      <c r="FM84" s="372"/>
      <c r="FN84" s="372"/>
      <c r="FO84" s="372"/>
      <c r="FP84" s="372"/>
      <c r="FQ84" s="375" t="s">
        <v>850</v>
      </c>
      <c r="FR84" s="376" t="s">
        <v>1049</v>
      </c>
      <c r="FS84" s="377" t="s">
        <v>522</v>
      </c>
      <c r="FT84" s="377" t="s">
        <v>850</v>
      </c>
      <c r="FU84" s="377" t="s">
        <v>607</v>
      </c>
      <c r="FV84" s="144">
        <f t="shared" si="11"/>
        <v>0</v>
      </c>
      <c r="FW84" s="371" t="s">
        <v>905</v>
      </c>
    </row>
    <row r="85" spans="1:179" s="371" customFormat="1">
      <c r="A85" s="368" t="s">
        <v>526</v>
      </c>
      <c r="B85" s="369" t="s">
        <v>517</v>
      </c>
      <c r="C85" s="369" t="s">
        <v>555</v>
      </c>
      <c r="D85" s="369" t="s">
        <v>8</v>
      </c>
      <c r="E85" s="370" t="s">
        <v>609</v>
      </c>
      <c r="F85" s="369" t="s">
        <v>520</v>
      </c>
      <c r="G85" s="369" t="s">
        <v>1076</v>
      </c>
      <c r="BT85" s="372"/>
      <c r="BV85" s="372"/>
      <c r="DI85" s="372" t="s">
        <v>850</v>
      </c>
      <c r="DK85" s="372" t="s">
        <v>850</v>
      </c>
      <c r="EZ85" s="418">
        <f>100</f>
        <v>100</v>
      </c>
      <c r="FQ85" s="375" t="s">
        <v>850</v>
      </c>
      <c r="FR85" s="376" t="s">
        <v>1049</v>
      </c>
      <c r="FS85" s="377" t="s">
        <v>522</v>
      </c>
      <c r="FT85" s="377" t="s">
        <v>850</v>
      </c>
      <c r="FU85" s="377" t="s">
        <v>579</v>
      </c>
      <c r="FV85" s="144">
        <f t="shared" si="11"/>
        <v>100</v>
      </c>
      <c r="FW85" s="371" t="s">
        <v>920</v>
      </c>
    </row>
    <row r="86" spans="1:179" s="371" customFormat="1">
      <c r="A86" s="368" t="s">
        <v>526</v>
      </c>
      <c r="B86" s="369" t="s">
        <v>517</v>
      </c>
      <c r="C86" s="369" t="s">
        <v>555</v>
      </c>
      <c r="D86" s="369" t="s">
        <v>4</v>
      </c>
      <c r="E86" s="370" t="s">
        <v>609</v>
      </c>
      <c r="F86" s="369" t="s">
        <v>520</v>
      </c>
      <c r="G86" s="369" t="s">
        <v>1076</v>
      </c>
      <c r="H86" s="372" t="s">
        <v>850</v>
      </c>
      <c r="I86" s="372" t="s">
        <v>850</v>
      </c>
      <c r="J86" s="373">
        <f>10-10</f>
        <v>0</v>
      </c>
      <c r="K86" s="373">
        <f>40-40</f>
        <v>0</v>
      </c>
      <c r="L86" s="372" t="s">
        <v>850</v>
      </c>
      <c r="M86" s="373">
        <f>1000-1000</f>
        <v>0</v>
      </c>
      <c r="N86" s="373">
        <f>1000-1000</f>
        <v>0</v>
      </c>
      <c r="O86" s="373">
        <f>1000-1000</f>
        <v>0</v>
      </c>
      <c r="P86" s="373">
        <f>1000-1000</f>
        <v>0</v>
      </c>
      <c r="Q86" s="416">
        <f>1000-1000+1</f>
        <v>1</v>
      </c>
      <c r="R86" s="372" t="s">
        <v>850</v>
      </c>
      <c r="S86" s="373">
        <f>1000-1000</f>
        <v>0</v>
      </c>
      <c r="T86" s="373">
        <f>1000-1000</f>
        <v>0</v>
      </c>
      <c r="U86" s="373">
        <f>1000-1000</f>
        <v>0</v>
      </c>
      <c r="V86" s="373">
        <f>1000-1000+2</f>
        <v>2</v>
      </c>
      <c r="W86" s="372" t="s">
        <v>850</v>
      </c>
      <c r="X86" s="372" t="s">
        <v>850</v>
      </c>
      <c r="Y86" s="373">
        <f>1000-1000</f>
        <v>0</v>
      </c>
      <c r="Z86" s="373">
        <f>1000-1000+20</f>
        <v>20</v>
      </c>
      <c r="AA86" s="372" t="s">
        <v>850</v>
      </c>
      <c r="AB86" s="373">
        <f>1000-1000</f>
        <v>0</v>
      </c>
      <c r="AC86" s="373">
        <f>1000-1000</f>
        <v>0</v>
      </c>
      <c r="AD86" s="373">
        <f>1000-1000+20</f>
        <v>20</v>
      </c>
      <c r="AE86" s="373">
        <f>1000-1000+10</f>
        <v>10</v>
      </c>
      <c r="AF86" s="372" t="s">
        <v>850</v>
      </c>
      <c r="AG86" s="372" t="s">
        <v>850</v>
      </c>
      <c r="AH86" s="372"/>
      <c r="AI86" s="372" t="s">
        <v>850</v>
      </c>
      <c r="AJ86" s="372" t="s">
        <v>850</v>
      </c>
      <c r="AK86" s="372" t="s">
        <v>850</v>
      </c>
      <c r="AL86" s="372" t="s">
        <v>850</v>
      </c>
      <c r="AM86" s="372" t="s">
        <v>850</v>
      </c>
      <c r="AN86" s="372" t="s">
        <v>850</v>
      </c>
      <c r="AO86" s="372" t="s">
        <v>850</v>
      </c>
      <c r="AP86" s="372" t="s">
        <v>850</v>
      </c>
      <c r="AQ86" s="372" t="s">
        <v>850</v>
      </c>
      <c r="AR86" s="372" t="s">
        <v>850</v>
      </c>
      <c r="AS86" s="372" t="s">
        <v>850</v>
      </c>
      <c r="AT86" s="372" t="s">
        <v>850</v>
      </c>
      <c r="AU86" s="373">
        <f>40-40</f>
        <v>0</v>
      </c>
      <c r="AV86" s="372" t="s">
        <v>850</v>
      </c>
      <c r="AW86" s="373">
        <f>10-10</f>
        <v>0</v>
      </c>
      <c r="AX86" s="373">
        <f>10-10+2</f>
        <v>2</v>
      </c>
      <c r="AY86" s="373">
        <f>200-200+2</f>
        <v>2</v>
      </c>
      <c r="AZ86" s="373">
        <f t="shared" ref="AZ86:BD86" si="13">200-200</f>
        <v>0</v>
      </c>
      <c r="BA86" s="373">
        <f>200-200+20</f>
        <v>20</v>
      </c>
      <c r="BB86" s="373">
        <f t="shared" si="13"/>
        <v>0</v>
      </c>
      <c r="BC86" s="373">
        <f t="shared" si="13"/>
        <v>0</v>
      </c>
      <c r="BD86" s="373">
        <f t="shared" si="13"/>
        <v>0</v>
      </c>
      <c r="BE86" s="373">
        <f>300-300+30</f>
        <v>30</v>
      </c>
      <c r="BF86" s="372" t="s">
        <v>850</v>
      </c>
      <c r="BG86" s="373">
        <f>100-100</f>
        <v>0</v>
      </c>
      <c r="BH86" s="373">
        <f>40-40</f>
        <v>0</v>
      </c>
      <c r="BI86" s="373">
        <f>40-40</f>
        <v>0</v>
      </c>
      <c r="BJ86" s="373">
        <f t="shared" ref="BJ86:BN86" si="14">1000-1000</f>
        <v>0</v>
      </c>
      <c r="BK86" s="373">
        <f>1000-1000+10</f>
        <v>10</v>
      </c>
      <c r="BL86" s="373">
        <f>1000-1000+40</f>
        <v>40</v>
      </c>
      <c r="BM86" s="373">
        <f>1000-1000+10</f>
        <v>10</v>
      </c>
      <c r="BN86" s="373">
        <f t="shared" si="14"/>
        <v>0</v>
      </c>
      <c r="BO86" s="373">
        <f>1000-1000+10</f>
        <v>10</v>
      </c>
      <c r="BP86" s="373">
        <f>100-100+2</f>
        <v>2</v>
      </c>
      <c r="BQ86" s="372" t="s">
        <v>850</v>
      </c>
      <c r="BR86" s="372" t="s">
        <v>850</v>
      </c>
      <c r="BS86" s="373">
        <f>40-40</f>
        <v>0</v>
      </c>
      <c r="BT86" s="416">
        <v>5</v>
      </c>
      <c r="BU86" s="373">
        <f>40-40</f>
        <v>0</v>
      </c>
      <c r="BV86" s="372"/>
      <c r="BW86" s="373">
        <f>1000-1000</f>
        <v>0</v>
      </c>
      <c r="BX86" s="373">
        <f>1000-1000+10</f>
        <v>10</v>
      </c>
      <c r="CA86" s="373">
        <f>40-40</f>
        <v>0</v>
      </c>
      <c r="CB86" s="373">
        <f>1000-1000+20</f>
        <v>20</v>
      </c>
      <c r="CD86" s="373">
        <f t="shared" ref="CD86:DB86" si="15">1000-1000</f>
        <v>0</v>
      </c>
      <c r="CE86" s="373">
        <f t="shared" si="15"/>
        <v>0</v>
      </c>
      <c r="CG86" s="373">
        <f t="shared" si="15"/>
        <v>0</v>
      </c>
      <c r="CH86" s="373">
        <f>1000-1000+20</f>
        <v>20</v>
      </c>
      <c r="CI86" s="373">
        <f>1000-1000+13</f>
        <v>13</v>
      </c>
      <c r="CJ86" s="373">
        <f>1000-1000+20</f>
        <v>20</v>
      </c>
      <c r="CK86" s="373">
        <f t="shared" si="15"/>
        <v>0</v>
      </c>
      <c r="CL86" s="373">
        <f t="shared" si="15"/>
        <v>0</v>
      </c>
      <c r="CM86" s="373">
        <f t="shared" si="15"/>
        <v>0</v>
      </c>
      <c r="CN86" s="373">
        <f>1000-1000+10</f>
        <v>10</v>
      </c>
      <c r="CO86" s="373">
        <f>1000-1000+40</f>
        <v>40</v>
      </c>
      <c r="CP86" s="373">
        <f t="shared" si="15"/>
        <v>0</v>
      </c>
      <c r="CR86" s="373">
        <f>1000-1000+1</f>
        <v>1</v>
      </c>
      <c r="CS86" s="373">
        <f>1000-1000+2</f>
        <v>2</v>
      </c>
      <c r="CT86" s="373">
        <f t="shared" si="15"/>
        <v>0</v>
      </c>
      <c r="CU86" s="373">
        <f>1000-1000+40</f>
        <v>40</v>
      </c>
      <c r="CV86" s="373">
        <f>1000-1000+60</f>
        <v>60</v>
      </c>
      <c r="CW86" s="373">
        <f>1000-1000+70</f>
        <v>70</v>
      </c>
      <c r="CX86" s="418">
        <v>2</v>
      </c>
      <c r="CY86" s="373">
        <f>1000-1000+30</f>
        <v>30</v>
      </c>
      <c r="CZ86" s="373">
        <f t="shared" si="15"/>
        <v>0</v>
      </c>
      <c r="DA86" s="373">
        <f>1000-1000+2</f>
        <v>2</v>
      </c>
      <c r="DB86" s="373">
        <f t="shared" si="15"/>
        <v>0</v>
      </c>
      <c r="DC86" s="372" t="s">
        <v>850</v>
      </c>
      <c r="DD86" s="373">
        <f>1000-1000</f>
        <v>0</v>
      </c>
      <c r="DE86" s="372" t="s">
        <v>850</v>
      </c>
      <c r="DF86" s="373">
        <f>1000-1000</f>
        <v>0</v>
      </c>
      <c r="DG86" s="373">
        <f>1000-1000+20</f>
        <v>20</v>
      </c>
      <c r="DH86" s="373">
        <f>1000-1000</f>
        <v>0</v>
      </c>
      <c r="DI86" s="372" t="s">
        <v>850</v>
      </c>
      <c r="DJ86" s="373">
        <f>1000-1000+20</f>
        <v>20</v>
      </c>
      <c r="DK86" s="372" t="s">
        <v>850</v>
      </c>
      <c r="DL86" s="373">
        <f>1000-1000</f>
        <v>0</v>
      </c>
      <c r="DM86" s="372" t="s">
        <v>850</v>
      </c>
      <c r="DN86" s="372"/>
      <c r="DO86" s="372" t="s">
        <v>850</v>
      </c>
      <c r="DP86" s="372" t="s">
        <v>850</v>
      </c>
      <c r="DQ86" s="372" t="s">
        <v>850</v>
      </c>
      <c r="DR86" s="416">
        <f>1000-1000+1000</f>
        <v>1000</v>
      </c>
      <c r="DS86" s="373">
        <f>1000-1000</f>
        <v>0</v>
      </c>
      <c r="DT86" s="372" t="s">
        <v>850</v>
      </c>
      <c r="DU86" s="373">
        <f>1000-1000</f>
        <v>0</v>
      </c>
      <c r="DV86" s="372" t="s">
        <v>850</v>
      </c>
      <c r="DW86" s="373">
        <f>1000-1000+40</f>
        <v>40</v>
      </c>
      <c r="DX86" s="372"/>
      <c r="DY86" s="373">
        <f>1000-1000</f>
        <v>0</v>
      </c>
      <c r="DZ86" s="372" t="s">
        <v>850</v>
      </c>
      <c r="EA86" s="373">
        <f>1000-1000+100</f>
        <v>100</v>
      </c>
      <c r="EB86" s="373">
        <f>1000-1000</f>
        <v>0</v>
      </c>
      <c r="EC86" s="373">
        <f>1000-1000</f>
        <v>0</v>
      </c>
      <c r="ED86" s="373">
        <f>1000-1000</f>
        <v>0</v>
      </c>
      <c r="EE86" s="373">
        <f>1000-1000</f>
        <v>0</v>
      </c>
      <c r="EF86" s="372" t="s">
        <v>850</v>
      </c>
      <c r="EG86" s="373">
        <f>1000-1000</f>
        <v>0</v>
      </c>
      <c r="EH86" s="373">
        <f>1000-1000</f>
        <v>0</v>
      </c>
      <c r="EI86" s="373">
        <f>1000-1000</f>
        <v>0</v>
      </c>
      <c r="EJ86" s="372" t="s">
        <v>850</v>
      </c>
      <c r="EK86" s="373">
        <f>1000-1000</f>
        <v>0</v>
      </c>
      <c r="EL86" s="373">
        <f>1000-1000</f>
        <v>0</v>
      </c>
      <c r="EM86" s="373">
        <f>2000-2000</f>
        <v>0</v>
      </c>
      <c r="EN86" s="372" t="s">
        <v>850</v>
      </c>
      <c r="EO86" s="373">
        <f>2000-2000</f>
        <v>0</v>
      </c>
      <c r="EP86" s="373">
        <f>1000-1000</f>
        <v>0</v>
      </c>
      <c r="EQ86" s="373">
        <f>500-500</f>
        <v>0</v>
      </c>
      <c r="ER86" s="373">
        <f>2000-2000</f>
        <v>0</v>
      </c>
      <c r="ES86" s="373">
        <f>1000-1000</f>
        <v>0</v>
      </c>
      <c r="ET86" s="373">
        <f>500-500</f>
        <v>0</v>
      </c>
      <c r="EU86" s="373">
        <f>1000-1000</f>
        <v>0</v>
      </c>
      <c r="EV86" s="416">
        <f>1000-1000+100</f>
        <v>100</v>
      </c>
      <c r="EW86" s="373">
        <f>1000-1000</f>
        <v>0</v>
      </c>
      <c r="EX86" s="372" t="s">
        <v>850</v>
      </c>
      <c r="EY86" s="416">
        <f>1000-1000+100</f>
        <v>100</v>
      </c>
      <c r="EZ86" s="373">
        <f>1000-1000</f>
        <v>0</v>
      </c>
      <c r="FA86" s="373">
        <f>1000-1000</f>
        <v>0</v>
      </c>
      <c r="FB86" s="416">
        <f>1000-1000+100</f>
        <v>100</v>
      </c>
      <c r="FC86" s="372" t="s">
        <v>850</v>
      </c>
      <c r="FD86" s="372"/>
      <c r="FE86" s="372"/>
      <c r="FF86" s="373">
        <f>500-500</f>
        <v>0</v>
      </c>
      <c r="FG86" s="373">
        <f>300-300</f>
        <v>0</v>
      </c>
      <c r="FH86" s="373">
        <f>200-200</f>
        <v>0</v>
      </c>
      <c r="FI86" s="373">
        <f>500-500</f>
        <v>0</v>
      </c>
      <c r="FJ86" s="373">
        <f>500-500</f>
        <v>0</v>
      </c>
      <c r="FK86" s="372" t="s">
        <v>850</v>
      </c>
      <c r="FL86" s="372" t="s">
        <v>850</v>
      </c>
      <c r="FM86" s="372" t="s">
        <v>850</v>
      </c>
      <c r="FN86" s="372" t="s">
        <v>850</v>
      </c>
      <c r="FO86" s="372" t="s">
        <v>850</v>
      </c>
      <c r="FP86" s="372" t="s">
        <v>850</v>
      </c>
      <c r="FQ86" s="375" t="s">
        <v>850</v>
      </c>
      <c r="FR86" s="376" t="s">
        <v>1049</v>
      </c>
      <c r="FS86" s="377" t="s">
        <v>522</v>
      </c>
      <c r="FT86" s="377" t="s">
        <v>850</v>
      </c>
      <c r="FU86" s="377" t="s">
        <v>579</v>
      </c>
      <c r="FV86" s="144">
        <f t="shared" si="11"/>
        <v>2004</v>
      </c>
      <c r="FW86" s="371" t="s">
        <v>920</v>
      </c>
    </row>
    <row r="87" spans="1:179" s="371" customFormat="1" ht="10.5">
      <c r="A87" s="368" t="s">
        <v>526</v>
      </c>
      <c r="B87" s="369" t="s">
        <v>517</v>
      </c>
      <c r="C87" s="369" t="s">
        <v>555</v>
      </c>
      <c r="D87" s="369" t="s">
        <v>3</v>
      </c>
      <c r="E87" s="370" t="s">
        <v>609</v>
      </c>
      <c r="F87" s="369" t="s">
        <v>520</v>
      </c>
      <c r="G87" s="369" t="s">
        <v>1077</v>
      </c>
      <c r="H87" s="37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372"/>
      <c r="AE87" s="372"/>
      <c r="AF87" s="372"/>
      <c r="AG87" s="372"/>
      <c r="AH87" s="372"/>
      <c r="AI87" s="372"/>
      <c r="AJ87" s="372"/>
      <c r="AK87" s="372"/>
      <c r="AL87" s="372"/>
      <c r="AM87" s="372"/>
      <c r="AN87" s="372"/>
      <c r="AO87" s="372"/>
      <c r="AP87" s="372"/>
      <c r="AQ87" s="372"/>
      <c r="AR87" s="372"/>
      <c r="AS87" s="372"/>
      <c r="AT87" s="372"/>
      <c r="AU87" s="372"/>
      <c r="AV87" s="372"/>
      <c r="AW87" s="372"/>
      <c r="AX87" s="372"/>
      <c r="AY87" s="372"/>
      <c r="AZ87" s="372"/>
      <c r="BA87" s="372"/>
      <c r="BB87" s="372"/>
      <c r="BC87" s="372"/>
      <c r="BD87" s="372"/>
      <c r="BE87" s="372"/>
      <c r="BF87" s="372"/>
      <c r="BG87" s="372"/>
      <c r="BH87" s="372"/>
      <c r="BI87" s="372"/>
      <c r="BJ87" s="372"/>
      <c r="BK87" s="372"/>
      <c r="BL87" s="372"/>
      <c r="BM87" s="372"/>
      <c r="BN87" s="372"/>
      <c r="BO87" s="372"/>
      <c r="BP87" s="372"/>
      <c r="BQ87" s="372"/>
      <c r="BR87" s="372"/>
      <c r="BS87" s="372"/>
      <c r="BT87" s="372"/>
      <c r="BU87" s="372"/>
      <c r="BV87" s="372"/>
      <c r="BW87" s="372"/>
      <c r="BX87" s="372"/>
      <c r="CA87" s="372"/>
      <c r="CB87" s="372"/>
      <c r="CC87" s="444">
        <v>3</v>
      </c>
      <c r="CD87" s="372"/>
      <c r="CE87" s="372"/>
      <c r="CG87" s="372"/>
      <c r="CH87" s="372"/>
      <c r="CI87" s="372"/>
      <c r="CJ87" s="372"/>
      <c r="CK87" s="372"/>
      <c r="CL87" s="372"/>
      <c r="CM87" s="443">
        <v>3</v>
      </c>
      <c r="CN87" s="372"/>
      <c r="CO87" s="372"/>
      <c r="CP87" s="372"/>
      <c r="CR87" s="372"/>
      <c r="CS87" s="372"/>
      <c r="CT87" s="372"/>
      <c r="CU87" s="372"/>
      <c r="CV87" s="372"/>
      <c r="CW87" s="372"/>
      <c r="CY87" s="372"/>
      <c r="CZ87" s="372"/>
      <c r="DA87" s="372"/>
      <c r="DB87" s="372"/>
      <c r="DC87" s="372"/>
      <c r="DD87" s="372"/>
      <c r="DE87" s="372"/>
      <c r="DF87" s="372"/>
      <c r="DG87" s="372"/>
      <c r="DH87" s="443">
        <v>20</v>
      </c>
      <c r="DI87" s="372" t="s">
        <v>850</v>
      </c>
      <c r="DJ87" s="372"/>
      <c r="DK87" s="372" t="s">
        <v>850</v>
      </c>
      <c r="DL87" s="372"/>
      <c r="DM87" s="372"/>
      <c r="DN87" s="372"/>
      <c r="DO87" s="372"/>
      <c r="DP87" s="372"/>
      <c r="DQ87" s="372"/>
      <c r="DR87" s="372"/>
      <c r="DS87" s="372"/>
      <c r="DT87" s="372"/>
      <c r="DU87" s="372"/>
      <c r="DV87" s="372"/>
      <c r="DW87" s="372"/>
      <c r="DX87" s="372"/>
      <c r="DY87" s="372"/>
      <c r="DZ87" s="372"/>
      <c r="EA87" s="372"/>
      <c r="EB87" s="372"/>
      <c r="EC87" s="372"/>
      <c r="ED87" s="372"/>
      <c r="EE87" s="372"/>
      <c r="EF87" s="372"/>
      <c r="EG87" s="372"/>
      <c r="EH87" s="372"/>
      <c r="EI87" s="372"/>
      <c r="EJ87" s="372"/>
      <c r="EK87" s="372"/>
      <c r="EL87" s="372"/>
      <c r="EM87" s="372"/>
      <c r="EN87" s="372"/>
      <c r="EO87" s="443">
        <v>240</v>
      </c>
      <c r="EP87" s="372"/>
      <c r="EQ87" s="372"/>
      <c r="ER87" s="372"/>
      <c r="ES87" s="372"/>
      <c r="ET87" s="372"/>
      <c r="EU87" s="372"/>
      <c r="EV87" s="372"/>
      <c r="EW87" s="372"/>
      <c r="EX87" s="372"/>
      <c r="EY87" s="372"/>
      <c r="EZ87" s="372"/>
      <c r="FA87" s="372"/>
      <c r="FB87" s="372"/>
      <c r="FC87" s="372"/>
      <c r="FD87" s="372"/>
      <c r="FE87" s="372"/>
      <c r="FF87" s="372"/>
      <c r="FG87" s="372"/>
      <c r="FH87" s="372"/>
      <c r="FI87" s="372"/>
      <c r="FJ87" s="372"/>
      <c r="FK87" s="372"/>
      <c r="FL87" s="372"/>
      <c r="FM87" s="372"/>
      <c r="FN87" s="372"/>
      <c r="FO87" s="372"/>
      <c r="FP87" s="372"/>
      <c r="FQ87" s="375" t="s">
        <v>850</v>
      </c>
      <c r="FR87" s="376" t="s">
        <v>1049</v>
      </c>
      <c r="FS87" s="377" t="s">
        <v>522</v>
      </c>
      <c r="FT87" s="377" t="s">
        <v>850</v>
      </c>
      <c r="FU87" s="377" t="s">
        <v>579</v>
      </c>
      <c r="FV87" s="144">
        <f t="shared" si="11"/>
        <v>266</v>
      </c>
      <c r="FW87" s="371" t="s">
        <v>920</v>
      </c>
    </row>
    <row r="88" spans="1:179" s="371" customFormat="1" hidden="1">
      <c r="A88" s="368" t="s">
        <v>935</v>
      </c>
      <c r="B88" s="369" t="s">
        <v>517</v>
      </c>
      <c r="C88" s="369" t="s">
        <v>555</v>
      </c>
      <c r="D88" s="369" t="s">
        <v>8</v>
      </c>
      <c r="E88" s="370" t="s">
        <v>611</v>
      </c>
      <c r="F88" s="369" t="s">
        <v>520</v>
      </c>
      <c r="G88" s="369" t="s">
        <v>1078</v>
      </c>
      <c r="BT88" s="372" t="s">
        <v>850</v>
      </c>
      <c r="BV88" s="372" t="s">
        <v>850</v>
      </c>
      <c r="DI88" s="372" t="s">
        <v>850</v>
      </c>
      <c r="DK88" s="372" t="s">
        <v>850</v>
      </c>
      <c r="FQ88" s="375" t="s">
        <v>850</v>
      </c>
      <c r="FR88" s="376" t="s">
        <v>1049</v>
      </c>
      <c r="FS88" s="377" t="s">
        <v>522</v>
      </c>
      <c r="FT88" s="377" t="s">
        <v>850</v>
      </c>
      <c r="FU88" s="377" t="s">
        <v>592</v>
      </c>
      <c r="FV88" s="144">
        <f t="shared" si="11"/>
        <v>0</v>
      </c>
      <c r="FW88" s="371" t="s">
        <v>905</v>
      </c>
    </row>
    <row r="89" spans="1:179" s="371" customFormat="1" hidden="1">
      <c r="A89" s="368" t="s">
        <v>935</v>
      </c>
      <c r="B89" s="369" t="s">
        <v>517</v>
      </c>
      <c r="C89" s="369" t="s">
        <v>555</v>
      </c>
      <c r="D89" s="369" t="s">
        <v>4</v>
      </c>
      <c r="E89" s="370" t="s">
        <v>611</v>
      </c>
      <c r="F89" s="369" t="s">
        <v>520</v>
      </c>
      <c r="G89" s="369" t="s">
        <v>1078</v>
      </c>
      <c r="H89" s="372" t="s">
        <v>850</v>
      </c>
      <c r="I89" s="372" t="s">
        <v>850</v>
      </c>
      <c r="J89" s="373">
        <f>1-1</f>
        <v>0</v>
      </c>
      <c r="K89" s="372" t="s">
        <v>850</v>
      </c>
      <c r="L89" s="372" t="s">
        <v>850</v>
      </c>
      <c r="M89" s="372" t="s">
        <v>850</v>
      </c>
      <c r="N89" s="372" t="s">
        <v>850</v>
      </c>
      <c r="O89" s="372" t="s">
        <v>850</v>
      </c>
      <c r="P89" s="372" t="s">
        <v>850</v>
      </c>
      <c r="Q89" s="372" t="s">
        <v>850</v>
      </c>
      <c r="R89" s="372" t="s">
        <v>850</v>
      </c>
      <c r="S89" s="372" t="s">
        <v>850</v>
      </c>
      <c r="T89" s="372" t="s">
        <v>850</v>
      </c>
      <c r="U89" s="372" t="s">
        <v>850</v>
      </c>
      <c r="V89" s="372" t="s">
        <v>850</v>
      </c>
      <c r="W89" s="372" t="s">
        <v>850</v>
      </c>
      <c r="X89" s="372" t="s">
        <v>850</v>
      </c>
      <c r="Y89" s="372" t="s">
        <v>850</v>
      </c>
      <c r="Z89" s="372" t="s">
        <v>850</v>
      </c>
      <c r="AA89" s="372" t="s">
        <v>850</v>
      </c>
      <c r="AB89" s="373">
        <f>5-5</f>
        <v>0</v>
      </c>
      <c r="AC89" s="372" t="s">
        <v>850</v>
      </c>
      <c r="AD89" s="373">
        <f>5-5</f>
        <v>0</v>
      </c>
      <c r="AE89" s="372" t="s">
        <v>850</v>
      </c>
      <c r="AF89" s="372" t="s">
        <v>850</v>
      </c>
      <c r="AG89" s="372" t="s">
        <v>850</v>
      </c>
      <c r="AH89" s="372" t="s">
        <v>850</v>
      </c>
      <c r="AI89" s="372" t="s">
        <v>850</v>
      </c>
      <c r="AJ89" s="372" t="s">
        <v>850</v>
      </c>
      <c r="AK89" s="372" t="s">
        <v>850</v>
      </c>
      <c r="AL89" s="372" t="s">
        <v>850</v>
      </c>
      <c r="AM89" s="372" t="s">
        <v>850</v>
      </c>
      <c r="AN89" s="372" t="s">
        <v>850</v>
      </c>
      <c r="AO89" s="372" t="s">
        <v>850</v>
      </c>
      <c r="AP89" s="372" t="s">
        <v>850</v>
      </c>
      <c r="AQ89" s="372" t="s">
        <v>850</v>
      </c>
      <c r="AR89" s="372" t="s">
        <v>850</v>
      </c>
      <c r="AS89" s="372" t="s">
        <v>850</v>
      </c>
      <c r="AT89" s="372" t="s">
        <v>850</v>
      </c>
      <c r="AU89" s="372" t="s">
        <v>850</v>
      </c>
      <c r="AV89" s="372" t="s">
        <v>850</v>
      </c>
      <c r="AW89" s="372" t="s">
        <v>850</v>
      </c>
      <c r="AX89" s="372" t="s">
        <v>850</v>
      </c>
      <c r="AY89" s="373">
        <f>1-1</f>
        <v>0</v>
      </c>
      <c r="AZ89" s="372" t="s">
        <v>850</v>
      </c>
      <c r="BA89" s="373">
        <f>5-5</f>
        <v>0</v>
      </c>
      <c r="BB89" s="372" t="s">
        <v>850</v>
      </c>
      <c r="BC89" s="372" t="s">
        <v>850</v>
      </c>
      <c r="BD89" s="372" t="s">
        <v>850</v>
      </c>
      <c r="BE89" s="372" t="s">
        <v>850</v>
      </c>
      <c r="BF89" s="372" t="s">
        <v>850</v>
      </c>
      <c r="BG89" s="372" t="s">
        <v>850</v>
      </c>
      <c r="BH89" s="372" t="s">
        <v>850</v>
      </c>
      <c r="BI89" s="372" t="s">
        <v>850</v>
      </c>
      <c r="BJ89" s="372" t="s">
        <v>850</v>
      </c>
      <c r="BK89" s="372" t="s">
        <v>850</v>
      </c>
      <c r="BL89" s="372" t="s">
        <v>850</v>
      </c>
      <c r="BM89" s="372" t="s">
        <v>850</v>
      </c>
      <c r="BN89" s="372" t="s">
        <v>850</v>
      </c>
      <c r="BO89" s="372" t="s">
        <v>850</v>
      </c>
      <c r="BP89" s="372" t="s">
        <v>850</v>
      </c>
      <c r="BQ89" s="372" t="s">
        <v>850</v>
      </c>
      <c r="BR89" s="372" t="s">
        <v>850</v>
      </c>
      <c r="BS89" s="372" t="s">
        <v>850</v>
      </c>
      <c r="BT89" s="372" t="s">
        <v>850</v>
      </c>
      <c r="BU89" s="372" t="s">
        <v>850</v>
      </c>
      <c r="BV89" s="372" t="s">
        <v>850</v>
      </c>
      <c r="BW89" s="373">
        <f>2-2</f>
        <v>0</v>
      </c>
      <c r="BX89" s="373">
        <f>2-2</f>
        <v>0</v>
      </c>
      <c r="CA89" s="372" t="s">
        <v>850</v>
      </c>
      <c r="CB89" s="373">
        <f>10-10</f>
        <v>0</v>
      </c>
      <c r="CD89" s="373">
        <f>3-3</f>
        <v>0</v>
      </c>
      <c r="CE89" s="372" t="s">
        <v>850</v>
      </c>
      <c r="CG89" s="373">
        <f>3-3</f>
        <v>0</v>
      </c>
      <c r="CH89" s="372" t="s">
        <v>850</v>
      </c>
      <c r="CI89" s="373">
        <f>5-5</f>
        <v>0</v>
      </c>
      <c r="CJ89" s="373">
        <f>10-10</f>
        <v>0</v>
      </c>
      <c r="CK89" s="372" t="s">
        <v>850</v>
      </c>
      <c r="CL89" s="373">
        <f>3-3</f>
        <v>0</v>
      </c>
      <c r="CM89" s="372" t="s">
        <v>850</v>
      </c>
      <c r="CN89" s="373">
        <f>5-5</f>
        <v>0</v>
      </c>
      <c r="CO89" s="373">
        <f>20-20</f>
        <v>0</v>
      </c>
      <c r="CP89" s="372" t="s">
        <v>850</v>
      </c>
      <c r="CR89" s="373">
        <f>5-5</f>
        <v>0</v>
      </c>
      <c r="CS89" s="373">
        <f>5-5</f>
        <v>0</v>
      </c>
      <c r="CT89" s="372" t="s">
        <v>850</v>
      </c>
      <c r="CU89" s="372" t="s">
        <v>850</v>
      </c>
      <c r="CV89" s="373">
        <f>10-10</f>
        <v>0</v>
      </c>
      <c r="CW89" s="373">
        <f>10-10</f>
        <v>0</v>
      </c>
      <c r="CY89" s="372" t="s">
        <v>850</v>
      </c>
      <c r="CZ89" s="373">
        <f>20-20</f>
        <v>0</v>
      </c>
      <c r="DA89" s="372" t="s">
        <v>850</v>
      </c>
      <c r="DB89" s="372" t="s">
        <v>850</v>
      </c>
      <c r="DC89" s="372" t="s">
        <v>850</v>
      </c>
      <c r="DD89" s="372" t="s">
        <v>850</v>
      </c>
      <c r="DE89" s="372" t="s">
        <v>850</v>
      </c>
      <c r="DF89" s="372" t="s">
        <v>850</v>
      </c>
      <c r="DG89" s="373">
        <f>20-20</f>
        <v>0</v>
      </c>
      <c r="DH89" s="373">
        <f>5-5</f>
        <v>0</v>
      </c>
      <c r="DI89" s="372" t="s">
        <v>850</v>
      </c>
      <c r="DJ89" s="373">
        <f>20-20</f>
        <v>0</v>
      </c>
      <c r="DK89" s="372" t="s">
        <v>850</v>
      </c>
      <c r="DL89" s="372" t="s">
        <v>850</v>
      </c>
      <c r="DM89" s="372" t="s">
        <v>850</v>
      </c>
      <c r="DN89" s="372" t="s">
        <v>850</v>
      </c>
      <c r="DO89" s="372" t="s">
        <v>850</v>
      </c>
      <c r="DP89" s="372" t="s">
        <v>850</v>
      </c>
      <c r="DQ89" s="372" t="s">
        <v>850</v>
      </c>
      <c r="DR89" s="372" t="s">
        <v>850</v>
      </c>
      <c r="DS89" s="373">
        <f>200-200</f>
        <v>0</v>
      </c>
      <c r="DT89" s="372" t="s">
        <v>850</v>
      </c>
      <c r="DU89" s="373">
        <f>50-50</f>
        <v>0</v>
      </c>
      <c r="DV89" s="372" t="s">
        <v>850</v>
      </c>
      <c r="DW89" s="372" t="s">
        <v>850</v>
      </c>
      <c r="DX89" s="372" t="s">
        <v>850</v>
      </c>
      <c r="DY89" s="372" t="s">
        <v>850</v>
      </c>
      <c r="DZ89" s="372" t="s">
        <v>850</v>
      </c>
      <c r="EA89" s="373">
        <f>10-10</f>
        <v>0</v>
      </c>
      <c r="EB89" s="372" t="s">
        <v>850</v>
      </c>
      <c r="EC89" s="372" t="s">
        <v>850</v>
      </c>
      <c r="ED89" s="373">
        <f>10-10</f>
        <v>0</v>
      </c>
      <c r="EE89" s="372" t="s">
        <v>850</v>
      </c>
      <c r="EF89" s="372" t="s">
        <v>850</v>
      </c>
      <c r="EG89" s="372" t="s">
        <v>850</v>
      </c>
      <c r="EH89" s="372" t="s">
        <v>850</v>
      </c>
      <c r="EI89" s="373">
        <f>5-5</f>
        <v>0</v>
      </c>
      <c r="EJ89" s="372" t="s">
        <v>850</v>
      </c>
      <c r="EK89" s="372" t="s">
        <v>850</v>
      </c>
      <c r="EL89" s="372" t="s">
        <v>850</v>
      </c>
      <c r="EM89" s="372" t="s">
        <v>850</v>
      </c>
      <c r="EN89" s="372" t="s">
        <v>850</v>
      </c>
      <c r="EO89" s="372" t="s">
        <v>850</v>
      </c>
      <c r="EP89" s="372" t="s">
        <v>850</v>
      </c>
      <c r="EQ89" s="372" t="s">
        <v>850</v>
      </c>
      <c r="ER89" s="372" t="s">
        <v>850</v>
      </c>
      <c r="ES89" s="372" t="s">
        <v>850</v>
      </c>
      <c r="ET89" s="373">
        <f>5-5</f>
        <v>0</v>
      </c>
      <c r="EU89" s="373">
        <f>20-20</f>
        <v>0</v>
      </c>
      <c r="EV89" s="372" t="s">
        <v>850</v>
      </c>
      <c r="EW89" s="373">
        <f>10-10</f>
        <v>0</v>
      </c>
      <c r="EX89" s="416">
        <f>10-10+3</f>
        <v>3</v>
      </c>
      <c r="EY89" s="372" t="s">
        <v>850</v>
      </c>
      <c r="EZ89" s="372" t="s">
        <v>850</v>
      </c>
      <c r="FA89" s="372" t="s">
        <v>850</v>
      </c>
      <c r="FB89" s="372" t="s">
        <v>850</v>
      </c>
      <c r="FC89" s="372" t="s">
        <v>850</v>
      </c>
      <c r="FD89" s="372" t="s">
        <v>850</v>
      </c>
      <c r="FE89" s="372" t="s">
        <v>850</v>
      </c>
      <c r="FF89" s="372" t="s">
        <v>850</v>
      </c>
      <c r="FG89" s="372" t="s">
        <v>850</v>
      </c>
      <c r="FH89" s="372" t="s">
        <v>850</v>
      </c>
      <c r="FI89" s="372" t="s">
        <v>850</v>
      </c>
      <c r="FJ89" s="372" t="s">
        <v>850</v>
      </c>
      <c r="FK89" s="372" t="s">
        <v>850</v>
      </c>
      <c r="FL89" s="372" t="s">
        <v>850</v>
      </c>
      <c r="FM89" s="372" t="s">
        <v>850</v>
      </c>
      <c r="FN89" s="372" t="s">
        <v>850</v>
      </c>
      <c r="FO89" s="372" t="s">
        <v>850</v>
      </c>
      <c r="FP89" s="372" t="s">
        <v>850</v>
      </c>
      <c r="FQ89" s="375" t="s">
        <v>850</v>
      </c>
      <c r="FR89" s="376" t="s">
        <v>1049</v>
      </c>
      <c r="FS89" s="377" t="s">
        <v>522</v>
      </c>
      <c r="FT89" s="377" t="s">
        <v>850</v>
      </c>
      <c r="FU89" s="377" t="s">
        <v>592</v>
      </c>
      <c r="FV89" s="144">
        <f t="shared" si="11"/>
        <v>3</v>
      </c>
      <c r="FW89" s="371" t="s">
        <v>905</v>
      </c>
    </row>
    <row r="90" spans="1:179" s="371" customFormat="1" hidden="1">
      <c r="A90" s="368" t="s">
        <v>935</v>
      </c>
      <c r="B90" s="369" t="s">
        <v>517</v>
      </c>
      <c r="C90" s="369" t="s">
        <v>555</v>
      </c>
      <c r="D90" s="369" t="s">
        <v>3</v>
      </c>
      <c r="E90" s="370" t="s">
        <v>611</v>
      </c>
      <c r="F90" s="369" t="s">
        <v>520</v>
      </c>
      <c r="G90" s="369"/>
      <c r="H90" s="372"/>
      <c r="I90" s="372"/>
      <c r="J90" s="372"/>
      <c r="K90" s="372"/>
      <c r="L90" s="372"/>
      <c r="M90" s="372"/>
      <c r="N90" s="372"/>
      <c r="O90" s="372"/>
      <c r="P90" s="372"/>
      <c r="Q90" s="372"/>
      <c r="R90" s="372"/>
      <c r="S90" s="372"/>
      <c r="T90" s="372"/>
      <c r="U90" s="372"/>
      <c r="V90" s="372"/>
      <c r="W90" s="372"/>
      <c r="X90" s="372"/>
      <c r="Y90" s="372"/>
      <c r="Z90" s="372"/>
      <c r="AA90" s="372"/>
      <c r="AB90" s="372"/>
      <c r="AC90" s="372"/>
      <c r="AD90" s="372"/>
      <c r="AE90" s="372"/>
      <c r="AF90" s="372"/>
      <c r="AG90" s="372"/>
      <c r="AH90" s="372"/>
      <c r="AI90" s="372"/>
      <c r="AJ90" s="372"/>
      <c r="AK90" s="372"/>
      <c r="AL90" s="372"/>
      <c r="AM90" s="372"/>
      <c r="AN90" s="372"/>
      <c r="AO90" s="372"/>
      <c r="AP90" s="372"/>
      <c r="AQ90" s="372"/>
      <c r="AR90" s="372"/>
      <c r="AS90" s="372"/>
      <c r="AT90" s="372"/>
      <c r="AU90" s="372"/>
      <c r="AV90" s="372"/>
      <c r="AW90" s="372"/>
      <c r="AX90" s="372"/>
      <c r="AY90" s="372"/>
      <c r="AZ90" s="372"/>
      <c r="BA90" s="372"/>
      <c r="BB90" s="372"/>
      <c r="BC90" s="372"/>
      <c r="BD90" s="372"/>
      <c r="BE90" s="372"/>
      <c r="BF90" s="372"/>
      <c r="BG90" s="372"/>
      <c r="BH90" s="372"/>
      <c r="BI90" s="372"/>
      <c r="BJ90" s="372"/>
      <c r="BK90" s="372"/>
      <c r="BL90" s="372"/>
      <c r="BM90" s="372"/>
      <c r="BN90" s="372"/>
      <c r="BO90" s="372"/>
      <c r="BP90" s="372"/>
      <c r="BQ90" s="372"/>
      <c r="BR90" s="372"/>
      <c r="BS90" s="372"/>
      <c r="BT90" s="372" t="s">
        <v>850</v>
      </c>
      <c r="BU90" s="372"/>
      <c r="BV90" s="372" t="s">
        <v>850</v>
      </c>
      <c r="BW90" s="372"/>
      <c r="BX90" s="372"/>
      <c r="CA90" s="372"/>
      <c r="CB90" s="372"/>
      <c r="CD90" s="372"/>
      <c r="CE90" s="372"/>
      <c r="CG90" s="372"/>
      <c r="CH90" s="372"/>
      <c r="CI90" s="372"/>
      <c r="CJ90" s="372"/>
      <c r="CK90" s="372"/>
      <c r="CL90" s="372"/>
      <c r="CM90" s="372"/>
      <c r="CN90" s="372"/>
      <c r="CO90" s="372"/>
      <c r="CP90" s="372"/>
      <c r="CQ90" s="372"/>
      <c r="CR90" s="372"/>
      <c r="CS90" s="372"/>
      <c r="CT90" s="372"/>
      <c r="CU90" s="372"/>
      <c r="CV90" s="372"/>
      <c r="CW90" s="372"/>
      <c r="CY90" s="372"/>
      <c r="CZ90" s="372"/>
      <c r="DA90" s="372"/>
      <c r="DB90" s="372"/>
      <c r="DC90" s="372"/>
      <c r="DD90" s="372"/>
      <c r="DE90" s="372"/>
      <c r="DF90" s="372"/>
      <c r="DG90" s="372"/>
      <c r="DH90" s="372"/>
      <c r="DI90" s="372" t="s">
        <v>850</v>
      </c>
      <c r="DJ90" s="372"/>
      <c r="DK90" s="372" t="s">
        <v>850</v>
      </c>
      <c r="DL90" s="372"/>
      <c r="DM90" s="372"/>
      <c r="DN90" s="372"/>
      <c r="DO90" s="372"/>
      <c r="DP90" s="372"/>
      <c r="DQ90" s="372"/>
      <c r="DR90" s="372"/>
      <c r="DS90" s="372"/>
      <c r="DT90" s="372"/>
      <c r="DU90" s="372"/>
      <c r="DV90" s="372"/>
      <c r="DW90" s="372"/>
      <c r="DX90" s="372"/>
      <c r="DY90" s="372"/>
      <c r="DZ90" s="372"/>
      <c r="EA90" s="372"/>
      <c r="EB90" s="372"/>
      <c r="EC90" s="372"/>
      <c r="ED90" s="372"/>
      <c r="EE90" s="372"/>
      <c r="EF90" s="372"/>
      <c r="EG90" s="372"/>
      <c r="EH90" s="372"/>
      <c r="EI90" s="372"/>
      <c r="EJ90" s="372"/>
      <c r="EK90" s="372"/>
      <c r="EL90" s="372"/>
      <c r="EM90" s="372"/>
      <c r="EN90" s="372"/>
      <c r="EO90" s="372"/>
      <c r="EP90" s="372"/>
      <c r="EQ90" s="372"/>
      <c r="ER90" s="372"/>
      <c r="ES90" s="372"/>
      <c r="ET90" s="372"/>
      <c r="EU90" s="372"/>
      <c r="EV90" s="372"/>
      <c r="EW90" s="372"/>
      <c r="EX90" s="372"/>
      <c r="EY90" s="372"/>
      <c r="EZ90" s="372"/>
      <c r="FA90" s="372"/>
      <c r="FB90" s="372"/>
      <c r="FC90" s="372"/>
      <c r="FD90" s="372"/>
      <c r="FE90" s="372"/>
      <c r="FF90" s="372"/>
      <c r="FG90" s="372"/>
      <c r="FH90" s="372"/>
      <c r="FI90" s="372"/>
      <c r="FJ90" s="372"/>
      <c r="FK90" s="372"/>
      <c r="FL90" s="372"/>
      <c r="FM90" s="372"/>
      <c r="FN90" s="372"/>
      <c r="FO90" s="372"/>
      <c r="FP90" s="372"/>
      <c r="FQ90" s="375" t="s">
        <v>850</v>
      </c>
      <c r="FR90" s="376" t="s">
        <v>1049</v>
      </c>
      <c r="FS90" s="377" t="s">
        <v>522</v>
      </c>
      <c r="FT90" s="377" t="s">
        <v>850</v>
      </c>
      <c r="FU90" s="377" t="s">
        <v>592</v>
      </c>
      <c r="FV90" s="144">
        <f t="shared" si="11"/>
        <v>0</v>
      </c>
      <c r="FW90" s="371" t="s">
        <v>905</v>
      </c>
    </row>
    <row r="91" spans="1:179" s="371" customFormat="1" hidden="1">
      <c r="A91" s="368" t="s">
        <v>526</v>
      </c>
      <c r="B91" s="369" t="s">
        <v>517</v>
      </c>
      <c r="C91" s="369" t="s">
        <v>555</v>
      </c>
      <c r="D91" s="369" t="s">
        <v>8</v>
      </c>
      <c r="E91" s="370" t="s">
        <v>614</v>
      </c>
      <c r="F91" s="369" t="s">
        <v>520</v>
      </c>
      <c r="G91" s="369" t="s">
        <v>1079</v>
      </c>
      <c r="BT91" s="372" t="s">
        <v>850</v>
      </c>
      <c r="BV91" s="372" t="s">
        <v>850</v>
      </c>
      <c r="DK91" s="372" t="s">
        <v>850</v>
      </c>
      <c r="FQ91" s="375" t="s">
        <v>850</v>
      </c>
      <c r="FR91" s="376" t="s">
        <v>1049</v>
      </c>
      <c r="FS91" s="377" t="s">
        <v>522</v>
      </c>
      <c r="FT91" s="377" t="s">
        <v>850</v>
      </c>
      <c r="FU91" s="377" t="s">
        <v>617</v>
      </c>
      <c r="FV91" s="144">
        <f t="shared" si="11"/>
        <v>0</v>
      </c>
      <c r="FW91" s="371" t="s">
        <v>905</v>
      </c>
    </row>
    <row r="92" spans="1:179" s="371" customFormat="1" hidden="1">
      <c r="A92" s="368" t="s">
        <v>526</v>
      </c>
      <c r="B92" s="369" t="s">
        <v>517</v>
      </c>
      <c r="C92" s="369" t="s">
        <v>555</v>
      </c>
      <c r="D92" s="369" t="s">
        <v>4</v>
      </c>
      <c r="E92" s="370" t="s">
        <v>614</v>
      </c>
      <c r="F92" s="369" t="s">
        <v>520</v>
      </c>
      <c r="G92" s="369" t="s">
        <v>1079</v>
      </c>
      <c r="H92" s="372" t="s">
        <v>850</v>
      </c>
      <c r="I92" s="372" t="s">
        <v>850</v>
      </c>
      <c r="J92" s="372" t="s">
        <v>850</v>
      </c>
      <c r="K92" s="372" t="s">
        <v>850</v>
      </c>
      <c r="L92" s="372" t="s">
        <v>850</v>
      </c>
      <c r="M92" s="372" t="s">
        <v>850</v>
      </c>
      <c r="N92" s="372" t="s">
        <v>850</v>
      </c>
      <c r="O92" s="372" t="s">
        <v>850</v>
      </c>
      <c r="P92" s="372" t="s">
        <v>850</v>
      </c>
      <c r="Q92" s="372" t="s">
        <v>850</v>
      </c>
      <c r="R92" s="372" t="s">
        <v>850</v>
      </c>
      <c r="S92" s="372" t="s">
        <v>850</v>
      </c>
      <c r="T92" s="372" t="s">
        <v>850</v>
      </c>
      <c r="U92" s="372" t="s">
        <v>850</v>
      </c>
      <c r="V92" s="372" t="s">
        <v>850</v>
      </c>
      <c r="W92" s="372" t="s">
        <v>850</v>
      </c>
      <c r="X92" s="372" t="s">
        <v>850</v>
      </c>
      <c r="Y92" s="372" t="s">
        <v>850</v>
      </c>
      <c r="Z92" s="372" t="s">
        <v>850</v>
      </c>
      <c r="AA92" s="372" t="s">
        <v>850</v>
      </c>
      <c r="AB92" s="372" t="s">
        <v>850</v>
      </c>
      <c r="AC92" s="372" t="s">
        <v>850</v>
      </c>
      <c r="AD92" s="372" t="s">
        <v>850</v>
      </c>
      <c r="AE92" s="372" t="s">
        <v>850</v>
      </c>
      <c r="AF92" s="372" t="s">
        <v>850</v>
      </c>
      <c r="AG92" s="372" t="s">
        <v>850</v>
      </c>
      <c r="AH92" s="372" t="s">
        <v>850</v>
      </c>
      <c r="AI92" s="372" t="s">
        <v>850</v>
      </c>
      <c r="AJ92" s="372" t="s">
        <v>850</v>
      </c>
      <c r="AK92" s="372" t="s">
        <v>850</v>
      </c>
      <c r="AL92" s="372" t="s">
        <v>850</v>
      </c>
      <c r="AM92" s="372" t="s">
        <v>850</v>
      </c>
      <c r="AN92" s="372" t="s">
        <v>850</v>
      </c>
      <c r="AO92" s="372" t="s">
        <v>850</v>
      </c>
      <c r="AP92" s="372" t="s">
        <v>850</v>
      </c>
      <c r="AQ92" s="372" t="s">
        <v>850</v>
      </c>
      <c r="AR92" s="372" t="s">
        <v>850</v>
      </c>
      <c r="AS92" s="372" t="s">
        <v>850</v>
      </c>
      <c r="AT92" s="372" t="s">
        <v>850</v>
      </c>
      <c r="AU92" s="372" t="s">
        <v>850</v>
      </c>
      <c r="AV92" s="372" t="s">
        <v>850</v>
      </c>
      <c r="AW92" s="372" t="s">
        <v>850</v>
      </c>
      <c r="AX92" s="372" t="s">
        <v>850</v>
      </c>
      <c r="AY92" s="372" t="s">
        <v>850</v>
      </c>
      <c r="AZ92" s="372" t="s">
        <v>850</v>
      </c>
      <c r="BA92" s="372" t="s">
        <v>850</v>
      </c>
      <c r="BB92" s="372" t="s">
        <v>850</v>
      </c>
      <c r="BC92" s="372" t="s">
        <v>850</v>
      </c>
      <c r="BD92" s="372" t="s">
        <v>850</v>
      </c>
      <c r="BE92" s="372" t="s">
        <v>850</v>
      </c>
      <c r="BF92" s="372" t="s">
        <v>850</v>
      </c>
      <c r="BG92" s="372" t="s">
        <v>850</v>
      </c>
      <c r="BH92" s="372" t="s">
        <v>850</v>
      </c>
      <c r="BI92" s="372" t="s">
        <v>850</v>
      </c>
      <c r="BJ92" s="372" t="s">
        <v>850</v>
      </c>
      <c r="BK92" s="372" t="s">
        <v>850</v>
      </c>
      <c r="BL92" s="372" t="s">
        <v>850</v>
      </c>
      <c r="BM92" s="372" t="s">
        <v>850</v>
      </c>
      <c r="BN92" s="372" t="s">
        <v>850</v>
      </c>
      <c r="BO92" s="372" t="s">
        <v>850</v>
      </c>
      <c r="BP92" s="372" t="s">
        <v>850</v>
      </c>
      <c r="BQ92" s="372" t="s">
        <v>850</v>
      </c>
      <c r="BR92" s="372" t="s">
        <v>850</v>
      </c>
      <c r="BS92" s="372" t="s">
        <v>850</v>
      </c>
      <c r="BT92" s="372" t="s">
        <v>850</v>
      </c>
      <c r="BU92" s="372" t="s">
        <v>850</v>
      </c>
      <c r="BV92" s="372" t="s">
        <v>850</v>
      </c>
      <c r="BW92" s="372" t="s">
        <v>850</v>
      </c>
      <c r="BX92" s="372" t="s">
        <v>850</v>
      </c>
      <c r="CA92" s="372" t="s">
        <v>850</v>
      </c>
      <c r="CB92" s="372" t="s">
        <v>850</v>
      </c>
      <c r="CD92" s="372" t="s">
        <v>850</v>
      </c>
      <c r="CE92" s="372" t="s">
        <v>850</v>
      </c>
      <c r="CG92" s="373">
        <f>5-5</f>
        <v>0</v>
      </c>
      <c r="CH92" s="372" t="s">
        <v>850</v>
      </c>
      <c r="CI92" s="372" t="s">
        <v>850</v>
      </c>
      <c r="CJ92" s="372" t="s">
        <v>850</v>
      </c>
      <c r="CK92" s="372" t="s">
        <v>850</v>
      </c>
      <c r="CL92" s="372" t="s">
        <v>850</v>
      </c>
      <c r="CM92" s="372" t="s">
        <v>850</v>
      </c>
      <c r="CN92" s="372" t="s">
        <v>850</v>
      </c>
      <c r="CO92" s="372" t="s">
        <v>850</v>
      </c>
      <c r="CP92" s="372" t="s">
        <v>850</v>
      </c>
      <c r="CQ92" s="372" t="s">
        <v>850</v>
      </c>
      <c r="CR92" s="373">
        <f>10-10</f>
        <v>0</v>
      </c>
      <c r="CS92" s="373">
        <f>10-10</f>
        <v>0</v>
      </c>
      <c r="CT92" s="372" t="s">
        <v>850</v>
      </c>
      <c r="CU92" s="372" t="s">
        <v>850</v>
      </c>
      <c r="CV92" s="372" t="s">
        <v>850</v>
      </c>
      <c r="CW92" s="372" t="s">
        <v>850</v>
      </c>
      <c r="CY92" s="372" t="s">
        <v>850</v>
      </c>
      <c r="CZ92" s="372" t="s">
        <v>850</v>
      </c>
      <c r="DA92" s="372" t="s">
        <v>850</v>
      </c>
      <c r="DB92" s="372" t="s">
        <v>850</v>
      </c>
      <c r="DC92" s="372" t="s">
        <v>850</v>
      </c>
      <c r="DD92" s="373">
        <f>10-10</f>
        <v>0</v>
      </c>
      <c r="DE92" s="372" t="s">
        <v>850</v>
      </c>
      <c r="DF92" s="372" t="s">
        <v>850</v>
      </c>
      <c r="DG92" s="372" t="s">
        <v>850</v>
      </c>
      <c r="DH92" s="372" t="s">
        <v>850</v>
      </c>
      <c r="DI92" s="372" t="s">
        <v>850</v>
      </c>
      <c r="DJ92" s="373">
        <f>20-20</f>
        <v>0</v>
      </c>
      <c r="DK92" s="372" t="s">
        <v>850</v>
      </c>
      <c r="DL92" s="373">
        <f>20-20</f>
        <v>0</v>
      </c>
      <c r="DM92" s="372" t="s">
        <v>850</v>
      </c>
      <c r="DN92" s="372" t="s">
        <v>850</v>
      </c>
      <c r="DO92" s="372" t="s">
        <v>850</v>
      </c>
      <c r="DP92" s="372" t="s">
        <v>850</v>
      </c>
      <c r="DQ92" s="372" t="s">
        <v>850</v>
      </c>
      <c r="DR92" s="372" t="s">
        <v>850</v>
      </c>
      <c r="DS92" s="372" t="s">
        <v>850</v>
      </c>
      <c r="DT92" s="372" t="s">
        <v>850</v>
      </c>
      <c r="DU92" s="372" t="s">
        <v>850</v>
      </c>
      <c r="DV92" s="372" t="s">
        <v>850</v>
      </c>
      <c r="DW92" s="373">
        <f>10-10</f>
        <v>0</v>
      </c>
      <c r="DX92" s="372" t="s">
        <v>850</v>
      </c>
      <c r="DY92" s="416">
        <f>10-10+10</f>
        <v>10</v>
      </c>
      <c r="DZ92" s="372" t="s">
        <v>850</v>
      </c>
      <c r="EA92" s="372" t="s">
        <v>850</v>
      </c>
      <c r="EB92" s="372" t="s">
        <v>850</v>
      </c>
      <c r="EC92" s="373">
        <f>200-200</f>
        <v>0</v>
      </c>
      <c r="ED92" s="373">
        <f>200-200</f>
        <v>0</v>
      </c>
      <c r="EE92" s="373">
        <f>200-200</f>
        <v>0</v>
      </c>
      <c r="EF92" s="372" t="s">
        <v>850</v>
      </c>
      <c r="EG92" s="373">
        <f>200-200</f>
        <v>0</v>
      </c>
      <c r="EH92" s="373">
        <f>200-200</f>
        <v>0</v>
      </c>
      <c r="EI92" s="373">
        <f>200-200</f>
        <v>0</v>
      </c>
      <c r="EJ92" s="372" t="s">
        <v>850</v>
      </c>
      <c r="EK92" s="373">
        <f>200-200</f>
        <v>0</v>
      </c>
      <c r="EL92" s="373">
        <f>200-200</f>
        <v>0</v>
      </c>
      <c r="EM92" s="373">
        <f>200-200</f>
        <v>0</v>
      </c>
      <c r="EN92" s="372" t="s">
        <v>850</v>
      </c>
      <c r="EO92" s="372" t="s">
        <v>850</v>
      </c>
      <c r="EP92" s="372" t="s">
        <v>850</v>
      </c>
      <c r="EQ92" s="372" t="s">
        <v>850</v>
      </c>
      <c r="ER92" s="372" t="s">
        <v>850</v>
      </c>
      <c r="ES92" s="372" t="s">
        <v>850</v>
      </c>
      <c r="ET92" s="372" t="s">
        <v>850</v>
      </c>
      <c r="EU92" s="372" t="s">
        <v>850</v>
      </c>
      <c r="EV92" s="372" t="s">
        <v>850</v>
      </c>
      <c r="EW92" s="372" t="s">
        <v>850</v>
      </c>
      <c r="EX92" s="372" t="s">
        <v>850</v>
      </c>
      <c r="EY92" s="372" t="s">
        <v>850</v>
      </c>
      <c r="EZ92" s="372" t="s">
        <v>850</v>
      </c>
      <c r="FA92" s="372" t="s">
        <v>850</v>
      </c>
      <c r="FB92" s="372" t="s">
        <v>850</v>
      </c>
      <c r="FC92" s="372" t="s">
        <v>850</v>
      </c>
      <c r="FD92" s="372" t="s">
        <v>850</v>
      </c>
      <c r="FE92" s="372" t="s">
        <v>850</v>
      </c>
      <c r="FF92" s="372" t="s">
        <v>850</v>
      </c>
      <c r="FG92" s="372" t="s">
        <v>850</v>
      </c>
      <c r="FH92" s="372" t="s">
        <v>850</v>
      </c>
      <c r="FI92" s="372" t="s">
        <v>850</v>
      </c>
      <c r="FJ92" s="372" t="s">
        <v>850</v>
      </c>
      <c r="FK92" s="372" t="s">
        <v>850</v>
      </c>
      <c r="FL92" s="372" t="s">
        <v>850</v>
      </c>
      <c r="FM92" s="372" t="s">
        <v>850</v>
      </c>
      <c r="FN92" s="372" t="s">
        <v>850</v>
      </c>
      <c r="FO92" s="372" t="s">
        <v>850</v>
      </c>
      <c r="FP92" s="372" t="s">
        <v>850</v>
      </c>
      <c r="FQ92" s="375" t="s">
        <v>850</v>
      </c>
      <c r="FR92" s="376" t="s">
        <v>1049</v>
      </c>
      <c r="FS92" s="377" t="s">
        <v>522</v>
      </c>
      <c r="FT92" s="377" t="s">
        <v>850</v>
      </c>
      <c r="FU92" s="377" t="s">
        <v>617</v>
      </c>
      <c r="FV92" s="144">
        <f t="shared" si="11"/>
        <v>10</v>
      </c>
      <c r="FW92" s="371" t="s">
        <v>905</v>
      </c>
    </row>
    <row r="93" spans="1:179" s="371" customFormat="1" hidden="1">
      <c r="A93" s="368" t="s">
        <v>526</v>
      </c>
      <c r="B93" s="369" t="s">
        <v>517</v>
      </c>
      <c r="C93" s="369" t="s">
        <v>555</v>
      </c>
      <c r="D93" s="369" t="s">
        <v>3</v>
      </c>
      <c r="E93" s="370" t="s">
        <v>614</v>
      </c>
      <c r="F93" s="369" t="s">
        <v>520</v>
      </c>
      <c r="G93" s="369"/>
      <c r="H93" s="372"/>
      <c r="I93" s="372"/>
      <c r="J93" s="372"/>
      <c r="K93" s="372"/>
      <c r="L93" s="372"/>
      <c r="M93" s="372"/>
      <c r="N93" s="372"/>
      <c r="O93" s="372"/>
      <c r="P93" s="372"/>
      <c r="Q93" s="372"/>
      <c r="R93" s="372"/>
      <c r="S93" s="372"/>
      <c r="T93" s="372"/>
      <c r="U93" s="372"/>
      <c r="V93" s="372"/>
      <c r="W93" s="372"/>
      <c r="X93" s="372"/>
      <c r="Y93" s="372"/>
      <c r="Z93" s="372"/>
      <c r="AA93" s="372"/>
      <c r="AB93" s="372"/>
      <c r="AC93" s="372"/>
      <c r="AD93" s="372"/>
      <c r="AE93" s="372"/>
      <c r="AF93" s="372"/>
      <c r="AG93" s="372"/>
      <c r="AH93" s="372"/>
      <c r="AI93" s="372"/>
      <c r="AJ93" s="372"/>
      <c r="AK93" s="372"/>
      <c r="AL93" s="372"/>
      <c r="AM93" s="372"/>
      <c r="AN93" s="372"/>
      <c r="AO93" s="372"/>
      <c r="AP93" s="372"/>
      <c r="AQ93" s="372"/>
      <c r="AR93" s="372"/>
      <c r="AS93" s="372"/>
      <c r="AT93" s="372"/>
      <c r="AU93" s="372"/>
      <c r="AV93" s="372"/>
      <c r="AW93" s="372"/>
      <c r="AX93" s="372"/>
      <c r="AY93" s="372"/>
      <c r="AZ93" s="372"/>
      <c r="BA93" s="372"/>
      <c r="BB93" s="372"/>
      <c r="BC93" s="372"/>
      <c r="BD93" s="372"/>
      <c r="BE93" s="372"/>
      <c r="BF93" s="372"/>
      <c r="BG93" s="372"/>
      <c r="BH93" s="372"/>
      <c r="BI93" s="372"/>
      <c r="BJ93" s="372"/>
      <c r="BK93" s="372"/>
      <c r="BL93" s="372"/>
      <c r="BM93" s="372"/>
      <c r="BN93" s="372"/>
      <c r="BO93" s="372"/>
      <c r="BP93" s="372"/>
      <c r="BQ93" s="372"/>
      <c r="BR93" s="372"/>
      <c r="BS93" s="372"/>
      <c r="BT93" s="372"/>
      <c r="BU93" s="372"/>
      <c r="BV93" s="372" t="s">
        <v>850</v>
      </c>
      <c r="BW93" s="372"/>
      <c r="BX93" s="372"/>
      <c r="CA93" s="372"/>
      <c r="CB93" s="372"/>
      <c r="CD93" s="372"/>
      <c r="CE93" s="372"/>
      <c r="CG93" s="372"/>
      <c r="CH93" s="372"/>
      <c r="CI93" s="372"/>
      <c r="CJ93" s="372"/>
      <c r="CK93" s="372"/>
      <c r="CL93" s="372"/>
      <c r="CM93" s="372"/>
      <c r="CN93" s="372"/>
      <c r="CO93" s="372"/>
      <c r="CP93" s="372"/>
      <c r="CQ93" s="372"/>
      <c r="CR93" s="372"/>
      <c r="CS93" s="372"/>
      <c r="CT93" s="372"/>
      <c r="CU93" s="372"/>
      <c r="CV93" s="372"/>
      <c r="CW93" s="372"/>
      <c r="CY93" s="372"/>
      <c r="CZ93" s="372"/>
      <c r="DA93" s="372"/>
      <c r="DB93" s="372"/>
      <c r="DC93" s="372"/>
      <c r="DD93" s="372"/>
      <c r="DE93" s="372"/>
      <c r="DF93" s="372"/>
      <c r="DG93" s="372"/>
      <c r="DH93" s="372"/>
      <c r="DI93" s="372"/>
      <c r="DJ93" s="372"/>
      <c r="DK93" s="372"/>
      <c r="DL93" s="372"/>
      <c r="DM93" s="372"/>
      <c r="DN93" s="372"/>
      <c r="DO93" s="372"/>
      <c r="DP93" s="372"/>
      <c r="DQ93" s="372"/>
      <c r="DR93" s="372"/>
      <c r="DS93" s="372"/>
      <c r="DT93" s="372"/>
      <c r="DU93" s="372"/>
      <c r="DV93" s="372"/>
      <c r="DW93" s="372"/>
      <c r="DX93" s="372"/>
      <c r="DY93" s="372"/>
      <c r="DZ93" s="372"/>
      <c r="EA93" s="372"/>
      <c r="EB93" s="372"/>
      <c r="EC93" s="372"/>
      <c r="ED93" s="372"/>
      <c r="EE93" s="372"/>
      <c r="EF93" s="372"/>
      <c r="EG93" s="372"/>
      <c r="EH93" s="372"/>
      <c r="EI93" s="372"/>
      <c r="EJ93" s="372"/>
      <c r="EK93" s="372"/>
      <c r="EL93" s="372"/>
      <c r="EM93" s="372"/>
      <c r="EN93" s="372"/>
      <c r="EO93" s="372"/>
      <c r="EP93" s="372"/>
      <c r="EQ93" s="372"/>
      <c r="ER93" s="372"/>
      <c r="ES93" s="372"/>
      <c r="ET93" s="372"/>
      <c r="EU93" s="372"/>
      <c r="EV93" s="372"/>
      <c r="EW93" s="372"/>
      <c r="EX93" s="372"/>
      <c r="EY93" s="372"/>
      <c r="EZ93" s="372"/>
      <c r="FA93" s="372"/>
      <c r="FB93" s="372"/>
      <c r="FC93" s="372"/>
      <c r="FD93" s="372"/>
      <c r="FE93" s="372"/>
      <c r="FF93" s="372"/>
      <c r="FG93" s="372"/>
      <c r="FH93" s="372"/>
      <c r="FI93" s="372"/>
      <c r="FJ93" s="372"/>
      <c r="FK93" s="372"/>
      <c r="FL93" s="372"/>
      <c r="FM93" s="372"/>
      <c r="FN93" s="372"/>
      <c r="FO93" s="372"/>
      <c r="FP93" s="372"/>
      <c r="FQ93" s="375" t="s">
        <v>850</v>
      </c>
      <c r="FR93" s="376" t="s">
        <v>1049</v>
      </c>
      <c r="FS93" s="377" t="s">
        <v>522</v>
      </c>
      <c r="FT93" s="377" t="s">
        <v>850</v>
      </c>
      <c r="FU93" s="377" t="s">
        <v>617</v>
      </c>
      <c r="FV93" s="144">
        <f t="shared" si="11"/>
        <v>0</v>
      </c>
      <c r="FW93" s="371" t="s">
        <v>905</v>
      </c>
    </row>
    <row r="94" spans="1:179" s="371" customFormat="1" hidden="1">
      <c r="A94" s="368" t="s">
        <v>540</v>
      </c>
      <c r="B94" s="369" t="s">
        <v>517</v>
      </c>
      <c r="C94" s="369" t="s">
        <v>555</v>
      </c>
      <c r="D94" s="369" t="s">
        <v>8</v>
      </c>
      <c r="E94" s="370" t="s">
        <v>618</v>
      </c>
      <c r="F94" s="369" t="s">
        <v>520</v>
      </c>
      <c r="G94" s="369" t="s">
        <v>1080</v>
      </c>
      <c r="FQ94" s="375" t="s">
        <v>850</v>
      </c>
      <c r="FR94" s="376" t="s">
        <v>1049</v>
      </c>
      <c r="FS94" s="377" t="s">
        <v>522</v>
      </c>
      <c r="FT94" s="377" t="s">
        <v>850</v>
      </c>
      <c r="FU94" s="377" t="s">
        <v>592</v>
      </c>
      <c r="FV94" s="144">
        <f t="shared" si="11"/>
        <v>0</v>
      </c>
      <c r="FW94" s="371" t="s">
        <v>905</v>
      </c>
    </row>
    <row r="95" spans="1:179" s="371" customFormat="1" hidden="1">
      <c r="A95" s="368" t="s">
        <v>540</v>
      </c>
      <c r="B95" s="369" t="s">
        <v>517</v>
      </c>
      <c r="C95" s="369" t="s">
        <v>555</v>
      </c>
      <c r="D95" s="369" t="s">
        <v>4</v>
      </c>
      <c r="E95" s="370" t="s">
        <v>618</v>
      </c>
      <c r="F95" s="369" t="s">
        <v>520</v>
      </c>
      <c r="G95" s="369" t="s">
        <v>1080</v>
      </c>
      <c r="H95" s="372" t="s">
        <v>850</v>
      </c>
      <c r="I95" s="372" t="s">
        <v>850</v>
      </c>
      <c r="J95" s="372" t="s">
        <v>850</v>
      </c>
      <c r="K95" s="372" t="s">
        <v>850</v>
      </c>
      <c r="L95" s="372" t="s">
        <v>850</v>
      </c>
      <c r="M95" s="372" t="s">
        <v>850</v>
      </c>
      <c r="N95" s="372" t="s">
        <v>850</v>
      </c>
      <c r="O95" s="372" t="s">
        <v>850</v>
      </c>
      <c r="P95" s="372" t="s">
        <v>850</v>
      </c>
      <c r="Q95" s="372" t="s">
        <v>850</v>
      </c>
      <c r="R95" s="372" t="s">
        <v>850</v>
      </c>
      <c r="S95" s="372" t="s">
        <v>850</v>
      </c>
      <c r="T95" s="372" t="s">
        <v>850</v>
      </c>
      <c r="U95" s="372" t="s">
        <v>850</v>
      </c>
      <c r="V95" s="372" t="s">
        <v>850</v>
      </c>
      <c r="W95" s="372" t="s">
        <v>850</v>
      </c>
      <c r="X95" s="372" t="s">
        <v>850</v>
      </c>
      <c r="Y95" s="372" t="s">
        <v>850</v>
      </c>
      <c r="Z95" s="372" t="s">
        <v>850</v>
      </c>
      <c r="AA95" s="372" t="s">
        <v>850</v>
      </c>
      <c r="AB95" s="372" t="s">
        <v>850</v>
      </c>
      <c r="AC95" s="372" t="s">
        <v>850</v>
      </c>
      <c r="AD95" s="373">
        <f>20-20</f>
        <v>0</v>
      </c>
      <c r="AE95" s="372" t="s">
        <v>850</v>
      </c>
      <c r="AF95" s="372" t="s">
        <v>850</v>
      </c>
      <c r="AG95" s="372" t="s">
        <v>850</v>
      </c>
      <c r="AH95" s="372" t="s">
        <v>850</v>
      </c>
      <c r="AI95" s="372" t="s">
        <v>850</v>
      </c>
      <c r="AJ95" s="372" t="s">
        <v>850</v>
      </c>
      <c r="AK95" s="372" t="s">
        <v>850</v>
      </c>
      <c r="AL95" s="372" t="s">
        <v>850</v>
      </c>
      <c r="AM95" s="372" t="s">
        <v>850</v>
      </c>
      <c r="AN95" s="372" t="s">
        <v>850</v>
      </c>
      <c r="AO95" s="372" t="s">
        <v>850</v>
      </c>
      <c r="AP95" s="372" t="s">
        <v>850</v>
      </c>
      <c r="AQ95" s="372" t="s">
        <v>850</v>
      </c>
      <c r="AR95" s="372" t="s">
        <v>850</v>
      </c>
      <c r="AS95" s="372" t="s">
        <v>850</v>
      </c>
      <c r="AT95" s="372" t="s">
        <v>850</v>
      </c>
      <c r="AU95" s="372" t="s">
        <v>850</v>
      </c>
      <c r="AV95" s="372" t="s">
        <v>850</v>
      </c>
      <c r="AW95" s="372" t="s">
        <v>850</v>
      </c>
      <c r="AX95" s="372" t="s">
        <v>850</v>
      </c>
      <c r="AY95" s="372" t="s">
        <v>850</v>
      </c>
      <c r="AZ95" s="372" t="s">
        <v>850</v>
      </c>
      <c r="BA95" s="373">
        <f>5-5</f>
        <v>0</v>
      </c>
      <c r="BB95" s="372" t="s">
        <v>850</v>
      </c>
      <c r="BC95" s="372" t="s">
        <v>850</v>
      </c>
      <c r="BD95" s="372" t="s">
        <v>850</v>
      </c>
      <c r="BE95" s="372" t="s">
        <v>850</v>
      </c>
      <c r="BF95" s="372" t="s">
        <v>850</v>
      </c>
      <c r="BG95" s="372" t="s">
        <v>850</v>
      </c>
      <c r="BH95" s="372" t="s">
        <v>850</v>
      </c>
      <c r="BI95" s="372" t="s">
        <v>850</v>
      </c>
      <c r="BJ95" s="372" t="s">
        <v>850</v>
      </c>
      <c r="BK95" s="372" t="s">
        <v>850</v>
      </c>
      <c r="BL95" s="373">
        <f>10-10</f>
        <v>0</v>
      </c>
      <c r="BM95" s="372" t="s">
        <v>850</v>
      </c>
      <c r="BN95" s="372" t="s">
        <v>850</v>
      </c>
      <c r="BO95" s="372" t="s">
        <v>850</v>
      </c>
      <c r="BP95" s="372" t="s">
        <v>850</v>
      </c>
      <c r="BQ95" s="372" t="s">
        <v>850</v>
      </c>
      <c r="BR95" s="372" t="s">
        <v>850</v>
      </c>
      <c r="BS95" s="372" t="s">
        <v>850</v>
      </c>
      <c r="BT95" s="372" t="s">
        <v>850</v>
      </c>
      <c r="BU95" s="372" t="s">
        <v>850</v>
      </c>
      <c r="BV95" s="372" t="s">
        <v>850</v>
      </c>
      <c r="BW95" s="372" t="s">
        <v>850</v>
      </c>
      <c r="BX95" s="372" t="s">
        <v>850</v>
      </c>
      <c r="CA95" s="372" t="s">
        <v>850</v>
      </c>
      <c r="CB95" s="373">
        <f>20-20</f>
        <v>0</v>
      </c>
      <c r="CD95" s="372" t="s">
        <v>850</v>
      </c>
      <c r="CE95" s="372" t="s">
        <v>850</v>
      </c>
      <c r="CF95" s="372" t="s">
        <v>850</v>
      </c>
      <c r="CG95" s="372" t="s">
        <v>850</v>
      </c>
      <c r="CH95" s="372" t="s">
        <v>850</v>
      </c>
      <c r="CI95" s="372" t="s">
        <v>850</v>
      </c>
      <c r="CJ95" s="373">
        <f>20-20</f>
        <v>0</v>
      </c>
      <c r="CK95" s="372" t="s">
        <v>850</v>
      </c>
      <c r="CL95" s="372" t="s">
        <v>850</v>
      </c>
      <c r="CM95" s="372" t="s">
        <v>850</v>
      </c>
      <c r="CN95" s="372" t="s">
        <v>850</v>
      </c>
      <c r="CO95" s="373">
        <f>20-20</f>
        <v>0</v>
      </c>
      <c r="CP95" s="372" t="s">
        <v>850</v>
      </c>
      <c r="CQ95" s="372" t="s">
        <v>850</v>
      </c>
      <c r="CR95" s="372" t="s">
        <v>850</v>
      </c>
      <c r="CS95" s="372" t="s">
        <v>850</v>
      </c>
      <c r="CT95" s="372" t="s">
        <v>850</v>
      </c>
      <c r="CU95" s="372" t="s">
        <v>850</v>
      </c>
      <c r="CV95" s="372" t="s">
        <v>850</v>
      </c>
      <c r="CW95" s="372" t="s">
        <v>850</v>
      </c>
      <c r="CX95" s="372" t="s">
        <v>850</v>
      </c>
      <c r="CY95" s="372" t="s">
        <v>850</v>
      </c>
      <c r="CZ95" s="372" t="s">
        <v>850</v>
      </c>
      <c r="DA95" s="372" t="s">
        <v>850</v>
      </c>
      <c r="DB95" s="372" t="s">
        <v>850</v>
      </c>
      <c r="DC95" s="372" t="s">
        <v>850</v>
      </c>
      <c r="DD95" s="372" t="s">
        <v>850</v>
      </c>
      <c r="DE95" s="372" t="s">
        <v>850</v>
      </c>
      <c r="DF95" s="372" t="s">
        <v>850</v>
      </c>
      <c r="DG95" s="373">
        <f>50-50</f>
        <v>0</v>
      </c>
      <c r="DH95" s="372" t="s">
        <v>850</v>
      </c>
      <c r="DI95" s="372" t="s">
        <v>850</v>
      </c>
      <c r="DJ95" s="372" t="s">
        <v>850</v>
      </c>
      <c r="DK95" s="372" t="s">
        <v>850</v>
      </c>
      <c r="DL95" s="372" t="s">
        <v>850</v>
      </c>
      <c r="DM95" s="372" t="s">
        <v>850</v>
      </c>
      <c r="DN95" s="372" t="s">
        <v>850</v>
      </c>
      <c r="DO95" s="372" t="s">
        <v>850</v>
      </c>
      <c r="DP95" s="372" t="s">
        <v>850</v>
      </c>
      <c r="DQ95" s="372" t="s">
        <v>850</v>
      </c>
      <c r="DR95" s="372" t="s">
        <v>850</v>
      </c>
      <c r="DS95" s="372" t="s">
        <v>850</v>
      </c>
      <c r="DT95" s="372" t="s">
        <v>850</v>
      </c>
      <c r="DU95" s="372" t="s">
        <v>850</v>
      </c>
      <c r="DV95" s="372" t="s">
        <v>850</v>
      </c>
      <c r="DW95" s="373">
        <f>200-200</f>
        <v>0</v>
      </c>
      <c r="DX95" s="372" t="s">
        <v>850</v>
      </c>
      <c r="DY95" s="372" t="s">
        <v>850</v>
      </c>
      <c r="DZ95" s="372" t="s">
        <v>850</v>
      </c>
      <c r="EA95" s="372" t="s">
        <v>850</v>
      </c>
      <c r="EB95" s="372" t="s">
        <v>850</v>
      </c>
      <c r="EC95" s="372" t="s">
        <v>850</v>
      </c>
      <c r="ED95" s="372" t="s">
        <v>850</v>
      </c>
      <c r="EE95" s="372" t="s">
        <v>850</v>
      </c>
      <c r="EF95" s="372" t="s">
        <v>850</v>
      </c>
      <c r="EG95" s="372" t="s">
        <v>850</v>
      </c>
      <c r="EH95" s="372" t="s">
        <v>850</v>
      </c>
      <c r="EI95" s="372" t="s">
        <v>850</v>
      </c>
      <c r="EJ95" s="372" t="s">
        <v>850</v>
      </c>
      <c r="EK95" s="372" t="s">
        <v>850</v>
      </c>
      <c r="EL95" s="372" t="s">
        <v>850</v>
      </c>
      <c r="EM95" s="372" t="s">
        <v>850</v>
      </c>
      <c r="EN95" s="372" t="s">
        <v>850</v>
      </c>
      <c r="EO95" s="372" t="s">
        <v>850</v>
      </c>
      <c r="EP95" s="372" t="s">
        <v>850</v>
      </c>
      <c r="EQ95" s="372" t="s">
        <v>850</v>
      </c>
      <c r="ER95" s="372" t="s">
        <v>850</v>
      </c>
      <c r="ES95" s="372" t="s">
        <v>850</v>
      </c>
      <c r="ET95" s="372" t="s">
        <v>850</v>
      </c>
      <c r="EU95" s="372" t="s">
        <v>850</v>
      </c>
      <c r="EV95" s="372" t="s">
        <v>850</v>
      </c>
      <c r="EW95" s="372" t="s">
        <v>850</v>
      </c>
      <c r="EX95" s="372" t="s">
        <v>850</v>
      </c>
      <c r="EY95" s="372" t="s">
        <v>850</v>
      </c>
      <c r="EZ95" s="372" t="s">
        <v>850</v>
      </c>
      <c r="FA95" s="372" t="s">
        <v>850</v>
      </c>
      <c r="FB95" s="372" t="s">
        <v>850</v>
      </c>
      <c r="FC95" s="372" t="s">
        <v>850</v>
      </c>
      <c r="FD95" s="372" t="s">
        <v>850</v>
      </c>
      <c r="FE95" s="372" t="s">
        <v>850</v>
      </c>
      <c r="FF95" s="372" t="s">
        <v>850</v>
      </c>
      <c r="FG95" s="372" t="s">
        <v>850</v>
      </c>
      <c r="FH95" s="372" t="s">
        <v>850</v>
      </c>
      <c r="FI95" s="372" t="s">
        <v>850</v>
      </c>
      <c r="FJ95" s="372" t="s">
        <v>850</v>
      </c>
      <c r="FK95" s="372" t="s">
        <v>850</v>
      </c>
      <c r="FL95" s="372" t="s">
        <v>850</v>
      </c>
      <c r="FM95" s="372" t="s">
        <v>850</v>
      </c>
      <c r="FN95" s="372" t="s">
        <v>850</v>
      </c>
      <c r="FO95" s="372" t="s">
        <v>850</v>
      </c>
      <c r="FP95" s="372" t="s">
        <v>850</v>
      </c>
      <c r="FQ95" s="375" t="s">
        <v>850</v>
      </c>
      <c r="FR95" s="376" t="s">
        <v>1049</v>
      </c>
      <c r="FS95" s="377" t="s">
        <v>522</v>
      </c>
      <c r="FT95" s="377" t="s">
        <v>850</v>
      </c>
      <c r="FU95" s="377" t="s">
        <v>592</v>
      </c>
      <c r="FV95" s="144">
        <f t="shared" si="11"/>
        <v>0</v>
      </c>
      <c r="FW95" s="371" t="s">
        <v>905</v>
      </c>
    </row>
    <row r="96" spans="1:179" s="371" customFormat="1" ht="10.5" hidden="1" thickBot="1">
      <c r="A96" s="428" t="s">
        <v>540</v>
      </c>
      <c r="B96" s="429" t="s">
        <v>517</v>
      </c>
      <c r="C96" s="429" t="s">
        <v>555</v>
      </c>
      <c r="D96" s="429" t="s">
        <v>3</v>
      </c>
      <c r="E96" s="430" t="s">
        <v>618</v>
      </c>
      <c r="F96" s="429" t="s">
        <v>520</v>
      </c>
      <c r="G96" s="429"/>
      <c r="H96" s="431"/>
      <c r="I96" s="431"/>
      <c r="J96" s="431"/>
      <c r="K96" s="431"/>
      <c r="L96" s="431"/>
      <c r="M96" s="431"/>
      <c r="N96" s="431"/>
      <c r="O96" s="431"/>
      <c r="P96" s="431"/>
      <c r="Q96" s="431"/>
      <c r="R96" s="431"/>
      <c r="S96" s="431"/>
      <c r="T96" s="431"/>
      <c r="U96" s="431"/>
      <c r="V96" s="431"/>
      <c r="W96" s="431"/>
      <c r="X96" s="431"/>
      <c r="Y96" s="431"/>
      <c r="Z96" s="431"/>
      <c r="AA96" s="431"/>
      <c r="AB96" s="431"/>
      <c r="AC96" s="431"/>
      <c r="AD96" s="431"/>
      <c r="AE96" s="431"/>
      <c r="AF96" s="431"/>
      <c r="AG96" s="431"/>
      <c r="AH96" s="431"/>
      <c r="AI96" s="431"/>
      <c r="AJ96" s="431"/>
      <c r="AK96" s="431"/>
      <c r="AL96" s="431"/>
      <c r="AM96" s="431"/>
      <c r="AN96" s="431"/>
      <c r="AO96" s="431"/>
      <c r="AP96" s="431"/>
      <c r="AQ96" s="431"/>
      <c r="AR96" s="431"/>
      <c r="AS96" s="431"/>
      <c r="AT96" s="431"/>
      <c r="AU96" s="431"/>
      <c r="AV96" s="431"/>
      <c r="AW96" s="431"/>
      <c r="AX96" s="431"/>
      <c r="AY96" s="431"/>
      <c r="AZ96" s="431"/>
      <c r="BA96" s="431"/>
      <c r="BB96" s="431"/>
      <c r="BC96" s="431"/>
      <c r="BD96" s="431"/>
      <c r="BE96" s="431"/>
      <c r="BF96" s="431"/>
      <c r="BG96" s="431"/>
      <c r="BH96" s="431"/>
      <c r="BI96" s="431"/>
      <c r="BJ96" s="431"/>
      <c r="BK96" s="431"/>
      <c r="BL96" s="431"/>
      <c r="BM96" s="431"/>
      <c r="BN96" s="431"/>
      <c r="BO96" s="431"/>
      <c r="BP96" s="431"/>
      <c r="BQ96" s="431"/>
      <c r="BR96" s="431"/>
      <c r="BS96" s="431"/>
      <c r="BT96" s="431"/>
      <c r="BU96" s="431"/>
      <c r="BV96" s="431"/>
      <c r="BW96" s="431"/>
      <c r="BX96" s="431"/>
      <c r="CA96" s="431"/>
      <c r="CB96" s="431"/>
      <c r="CD96" s="431"/>
      <c r="CE96" s="431"/>
      <c r="CF96" s="431"/>
      <c r="CG96" s="431"/>
      <c r="CH96" s="431"/>
      <c r="CI96" s="431"/>
      <c r="CJ96" s="431"/>
      <c r="CK96" s="431"/>
      <c r="CL96" s="431"/>
      <c r="CM96" s="431"/>
      <c r="CN96" s="431"/>
      <c r="CO96" s="431"/>
      <c r="CP96" s="431"/>
      <c r="CQ96" s="431"/>
      <c r="CR96" s="431"/>
      <c r="CS96" s="431"/>
      <c r="CT96" s="431"/>
      <c r="CU96" s="431"/>
      <c r="CV96" s="431"/>
      <c r="CW96" s="431"/>
      <c r="CX96" s="431"/>
      <c r="CY96" s="431"/>
      <c r="CZ96" s="431"/>
      <c r="DA96" s="431"/>
      <c r="DB96" s="431"/>
      <c r="DC96" s="431"/>
      <c r="DD96" s="431"/>
      <c r="DE96" s="431"/>
      <c r="DF96" s="431"/>
      <c r="DG96" s="431"/>
      <c r="DH96" s="431"/>
      <c r="DI96" s="431"/>
      <c r="DJ96" s="431"/>
      <c r="DK96" s="431"/>
      <c r="DL96" s="431"/>
      <c r="DM96" s="431"/>
      <c r="DN96" s="431"/>
      <c r="DO96" s="431"/>
      <c r="DP96" s="431"/>
      <c r="DQ96" s="431"/>
      <c r="DR96" s="431"/>
      <c r="DS96" s="431"/>
      <c r="DT96" s="431"/>
      <c r="DU96" s="431"/>
      <c r="DV96" s="431"/>
      <c r="DW96" s="431"/>
      <c r="DX96" s="431"/>
      <c r="DY96" s="431"/>
      <c r="DZ96" s="431"/>
      <c r="EA96" s="431"/>
      <c r="EB96" s="431"/>
      <c r="EC96" s="431"/>
      <c r="ED96" s="431"/>
      <c r="EE96" s="431"/>
      <c r="EF96" s="431"/>
      <c r="EG96" s="431"/>
      <c r="EH96" s="431"/>
      <c r="EI96" s="431"/>
      <c r="EJ96" s="431"/>
      <c r="EK96" s="431"/>
      <c r="EL96" s="431"/>
      <c r="EM96" s="431"/>
      <c r="EN96" s="431"/>
      <c r="EO96" s="431"/>
      <c r="EP96" s="431"/>
      <c r="EQ96" s="431"/>
      <c r="ER96" s="431"/>
      <c r="ES96" s="431"/>
      <c r="ET96" s="431"/>
      <c r="EU96" s="431"/>
      <c r="EV96" s="431"/>
      <c r="EW96" s="431"/>
      <c r="EX96" s="431"/>
      <c r="EY96" s="431"/>
      <c r="EZ96" s="431"/>
      <c r="FA96" s="431"/>
      <c r="FB96" s="431"/>
      <c r="FC96" s="431"/>
      <c r="FD96" s="431"/>
      <c r="FE96" s="431"/>
      <c r="FF96" s="431"/>
      <c r="FG96" s="431"/>
      <c r="FH96" s="431"/>
      <c r="FI96" s="431"/>
      <c r="FJ96" s="431"/>
      <c r="FK96" s="431"/>
      <c r="FL96" s="431"/>
      <c r="FM96" s="431"/>
      <c r="FN96" s="431"/>
      <c r="FO96" s="431"/>
      <c r="FP96" s="431"/>
      <c r="FQ96" s="432" t="s">
        <v>850</v>
      </c>
      <c r="FR96" s="433" t="s">
        <v>1049</v>
      </c>
      <c r="FS96" s="434" t="s">
        <v>522</v>
      </c>
      <c r="FT96" s="434" t="s">
        <v>850</v>
      </c>
      <c r="FU96" s="434" t="s">
        <v>592</v>
      </c>
      <c r="FV96" s="144">
        <f t="shared" si="11"/>
        <v>0</v>
      </c>
      <c r="FW96" s="388" t="s">
        <v>905</v>
      </c>
    </row>
    <row r="97" spans="1:179" s="371" customFormat="1" ht="10.5">
      <c r="A97" s="435"/>
      <c r="B97" s="436"/>
      <c r="C97" s="436" t="s">
        <v>555</v>
      </c>
      <c r="D97" s="436" t="s">
        <v>8</v>
      </c>
      <c r="E97" s="437" t="s">
        <v>621</v>
      </c>
      <c r="F97" s="436"/>
      <c r="G97" s="436"/>
      <c r="H97" s="438"/>
      <c r="I97" s="438"/>
      <c r="J97" s="438"/>
      <c r="K97" s="438"/>
      <c r="L97" s="438"/>
      <c r="M97" s="438"/>
      <c r="N97" s="438"/>
      <c r="O97" s="438"/>
      <c r="P97" s="438"/>
      <c r="Q97" s="438"/>
      <c r="R97" s="438"/>
      <c r="S97" s="438"/>
      <c r="T97" s="438"/>
      <c r="U97" s="438"/>
      <c r="V97" s="438"/>
      <c r="W97" s="438"/>
      <c r="X97" s="438"/>
      <c r="Y97" s="438"/>
      <c r="Z97" s="438"/>
      <c r="AA97" s="438"/>
      <c r="AB97" s="438"/>
      <c r="AC97" s="438"/>
      <c r="AD97" s="438"/>
      <c r="AE97" s="438"/>
      <c r="AF97" s="438"/>
      <c r="AG97" s="438"/>
      <c r="AH97" s="438"/>
      <c r="AI97" s="438"/>
      <c r="AJ97" s="438"/>
      <c r="AK97" s="438"/>
      <c r="AL97" s="438"/>
      <c r="AM97" s="438"/>
      <c r="AN97" s="438"/>
      <c r="AO97" s="438"/>
      <c r="AP97" s="438"/>
      <c r="AQ97" s="438"/>
      <c r="AR97" s="438"/>
      <c r="AS97" s="438"/>
      <c r="AT97" s="438"/>
      <c r="AU97" s="438"/>
      <c r="AV97" s="438"/>
      <c r="AW97" s="438"/>
      <c r="AX97" s="438"/>
      <c r="AY97" s="438"/>
      <c r="AZ97" s="438"/>
      <c r="BA97" s="438"/>
      <c r="BB97" s="438"/>
      <c r="BC97" s="438"/>
      <c r="BD97" s="438"/>
      <c r="BE97" s="438"/>
      <c r="BF97" s="438"/>
      <c r="BG97" s="438"/>
      <c r="BH97" s="438"/>
      <c r="BI97" s="438"/>
      <c r="BJ97" s="438"/>
      <c r="BK97" s="438"/>
      <c r="BL97" s="438"/>
      <c r="BM97" s="438"/>
      <c r="BN97" s="438"/>
      <c r="BO97" s="438"/>
      <c r="BP97" s="438"/>
      <c r="BQ97" s="438"/>
      <c r="BR97" s="438"/>
      <c r="BS97" s="438"/>
      <c r="BT97" s="438"/>
      <c r="BU97" s="438"/>
      <c r="BV97" s="438"/>
      <c r="BW97" s="438"/>
      <c r="BX97" s="438"/>
      <c r="BY97" s="438"/>
      <c r="BZ97" s="438"/>
      <c r="CA97" s="438"/>
      <c r="CB97" s="438"/>
      <c r="CC97" s="445">
        <v>3</v>
      </c>
      <c r="CD97" s="438"/>
      <c r="CE97" s="438"/>
      <c r="CF97" s="438"/>
      <c r="CG97" s="438"/>
      <c r="CH97" s="438"/>
      <c r="CI97" s="438"/>
      <c r="CJ97" s="438"/>
      <c r="CK97" s="438"/>
      <c r="CL97" s="438"/>
      <c r="CM97" s="438"/>
      <c r="CN97" s="438"/>
      <c r="CO97" s="438"/>
      <c r="CP97" s="438"/>
      <c r="CQ97" s="438"/>
      <c r="CR97" s="438"/>
      <c r="CS97" s="438"/>
      <c r="CT97" s="438"/>
      <c r="CU97" s="438"/>
      <c r="CV97" s="438"/>
      <c r="CW97" s="438"/>
      <c r="CX97" s="438"/>
      <c r="CY97" s="438"/>
      <c r="CZ97" s="438"/>
      <c r="DA97" s="438"/>
      <c r="DB97" s="438"/>
      <c r="DC97" s="438"/>
      <c r="DD97" s="438"/>
      <c r="DE97" s="438"/>
      <c r="DF97" s="438"/>
      <c r="DG97" s="438">
        <v>220</v>
      </c>
      <c r="DH97" s="438"/>
      <c r="DI97" s="438"/>
      <c r="DJ97" s="438"/>
      <c r="DK97" s="438"/>
      <c r="DL97" s="438">
        <v>30</v>
      </c>
      <c r="DM97" s="438"/>
      <c r="DN97" s="438"/>
      <c r="DO97" s="438"/>
      <c r="DP97" s="438"/>
      <c r="DQ97" s="438"/>
      <c r="DR97" s="438"/>
      <c r="DS97" s="438"/>
      <c r="DT97" s="438"/>
      <c r="DU97" s="438"/>
      <c r="DV97" s="438"/>
      <c r="DW97" s="438"/>
      <c r="DX97" s="438"/>
      <c r="DY97" s="438"/>
      <c r="DZ97" s="438"/>
      <c r="EA97" s="438"/>
      <c r="EB97" s="438"/>
      <c r="EC97" s="438"/>
      <c r="ED97" s="438"/>
      <c r="EE97" s="438"/>
      <c r="EF97" s="438"/>
      <c r="EG97" s="438"/>
      <c r="EH97" s="438"/>
      <c r="EI97" s="438"/>
      <c r="EJ97" s="438"/>
      <c r="EK97" s="438"/>
      <c r="EL97" s="438"/>
      <c r="EM97" s="438"/>
      <c r="EN97" s="438"/>
      <c r="EO97" s="438"/>
      <c r="EP97" s="438"/>
      <c r="EQ97" s="438"/>
      <c r="ER97" s="438"/>
      <c r="ES97" s="438"/>
      <c r="ET97" s="438"/>
      <c r="EU97" s="438"/>
      <c r="EV97" s="438"/>
      <c r="EW97" s="438"/>
      <c r="EX97" s="438"/>
      <c r="EY97" s="438"/>
      <c r="EZ97" s="438">
        <v>240</v>
      </c>
      <c r="FA97" s="438"/>
      <c r="FB97" s="438"/>
      <c r="FC97" s="438"/>
      <c r="FD97" s="438">
        <v>60</v>
      </c>
      <c r="FE97" s="438"/>
      <c r="FF97" s="438"/>
      <c r="FG97" s="438"/>
      <c r="FH97" s="438"/>
      <c r="FI97" s="438"/>
      <c r="FJ97" s="438"/>
      <c r="FK97" s="438"/>
      <c r="FL97" s="438"/>
      <c r="FM97" s="438"/>
      <c r="FN97" s="438"/>
      <c r="FO97" s="438"/>
      <c r="FP97" s="438"/>
      <c r="FQ97" s="439"/>
      <c r="FR97" s="440"/>
      <c r="FS97" s="441"/>
      <c r="FT97" s="441"/>
      <c r="FU97" s="441"/>
      <c r="FV97" s="442">
        <f>SUM(H97:FP97)</f>
        <v>553</v>
      </c>
    </row>
    <row r="98" spans="1:179" s="371" customFormat="1">
      <c r="A98" s="420"/>
      <c r="B98" s="421"/>
      <c r="C98" s="421" t="s">
        <v>555</v>
      </c>
      <c r="D98" s="421" t="s">
        <v>4</v>
      </c>
      <c r="E98" s="422" t="s">
        <v>621</v>
      </c>
      <c r="F98" s="421"/>
      <c r="G98" s="421"/>
      <c r="H98" s="416"/>
      <c r="I98" s="416"/>
      <c r="J98" s="416"/>
      <c r="K98" s="416"/>
      <c r="L98" s="416"/>
      <c r="M98" s="416"/>
      <c r="N98" s="416"/>
      <c r="O98" s="416"/>
      <c r="P98" s="416"/>
      <c r="Q98" s="416">
        <v>1</v>
      </c>
      <c r="R98" s="416"/>
      <c r="S98" s="416"/>
      <c r="T98" s="416">
        <v>4</v>
      </c>
      <c r="U98" s="416">
        <v>4</v>
      </c>
      <c r="V98" s="416">
        <v>2</v>
      </c>
      <c r="W98" s="416"/>
      <c r="X98" s="416"/>
      <c r="Y98" s="416"/>
      <c r="Z98" s="416">
        <v>110</v>
      </c>
      <c r="AA98" s="416"/>
      <c r="AB98" s="416">
        <v>2</v>
      </c>
      <c r="AC98" s="416"/>
      <c r="AD98" s="416">
        <v>140</v>
      </c>
      <c r="AE98" s="416">
        <v>90</v>
      </c>
      <c r="AF98" s="416"/>
      <c r="AG98" s="416"/>
      <c r="AH98" s="416">
        <v>1</v>
      </c>
      <c r="AI98" s="416"/>
      <c r="AJ98" s="416"/>
      <c r="AK98" s="416"/>
      <c r="AL98" s="416"/>
      <c r="AM98" s="416"/>
      <c r="AN98" s="416"/>
      <c r="AO98" s="416"/>
      <c r="AP98" s="416"/>
      <c r="AQ98" s="416"/>
      <c r="AR98" s="416"/>
      <c r="AS98" s="416"/>
      <c r="AT98" s="416"/>
      <c r="AU98" s="416"/>
      <c r="AV98" s="416"/>
      <c r="AW98" s="416"/>
      <c r="AX98" s="416">
        <v>10</v>
      </c>
      <c r="AY98" s="416">
        <v>10</v>
      </c>
      <c r="AZ98" s="416"/>
      <c r="BA98" s="416">
        <v>100</v>
      </c>
      <c r="BB98" s="416"/>
      <c r="BC98" s="416">
        <v>1</v>
      </c>
      <c r="BD98" s="416"/>
      <c r="BE98" s="416">
        <v>30</v>
      </c>
      <c r="BF98" s="416"/>
      <c r="BG98" s="416"/>
      <c r="BH98" s="416"/>
      <c r="BI98" s="416"/>
      <c r="BJ98" s="416">
        <v>4</v>
      </c>
      <c r="BK98" s="416">
        <v>60</v>
      </c>
      <c r="BL98" s="416">
        <v>190</v>
      </c>
      <c r="BM98" s="416">
        <v>100</v>
      </c>
      <c r="BN98" s="416"/>
      <c r="BO98" s="416">
        <v>70</v>
      </c>
      <c r="BP98" s="416">
        <v>8</v>
      </c>
      <c r="BQ98" s="416"/>
      <c r="BR98" s="416"/>
      <c r="BS98" s="416">
        <v>12</v>
      </c>
      <c r="BT98" s="416">
        <v>5</v>
      </c>
      <c r="BU98" s="416"/>
      <c r="BV98" s="416">
        <v>3</v>
      </c>
      <c r="BW98" s="416"/>
      <c r="BX98" s="416">
        <v>65</v>
      </c>
      <c r="BY98" s="416"/>
      <c r="BZ98" s="416"/>
      <c r="CA98" s="416"/>
      <c r="CB98" s="416">
        <v>160</v>
      </c>
      <c r="CC98" s="416">
        <v>5</v>
      </c>
      <c r="CD98" s="416"/>
      <c r="CE98" s="416"/>
      <c r="CF98" s="416"/>
      <c r="CG98" s="416"/>
      <c r="CH98" s="416">
        <v>70</v>
      </c>
      <c r="CI98" s="416">
        <v>85</v>
      </c>
      <c r="CJ98" s="416">
        <v>130</v>
      </c>
      <c r="CK98" s="416"/>
      <c r="CL98" s="416"/>
      <c r="CM98" s="416"/>
      <c r="CN98" s="416">
        <v>100</v>
      </c>
      <c r="CO98" s="416">
        <v>300</v>
      </c>
      <c r="CP98" s="416">
        <v>17</v>
      </c>
      <c r="CQ98" s="416"/>
      <c r="CR98" s="416">
        <v>1</v>
      </c>
      <c r="CS98" s="416">
        <v>2</v>
      </c>
      <c r="CT98" s="416"/>
      <c r="CU98" s="416">
        <v>270</v>
      </c>
      <c r="CV98" s="416">
        <v>330</v>
      </c>
      <c r="CW98" s="416">
        <v>730</v>
      </c>
      <c r="CX98" s="416">
        <v>2</v>
      </c>
      <c r="CY98" s="416">
        <v>180</v>
      </c>
      <c r="CZ98" s="416">
        <v>170</v>
      </c>
      <c r="DA98" s="416">
        <v>2</v>
      </c>
      <c r="DB98" s="416"/>
      <c r="DC98" s="416"/>
      <c r="DD98" s="416">
        <v>150</v>
      </c>
      <c r="DE98" s="416"/>
      <c r="DF98" s="416"/>
      <c r="DG98" s="416"/>
      <c r="DH98" s="416"/>
      <c r="DI98" s="416"/>
      <c r="DJ98" s="416">
        <v>220</v>
      </c>
      <c r="DK98" s="416"/>
      <c r="DL98" s="416"/>
      <c r="DM98" s="416"/>
      <c r="DN98" s="416">
        <v>20</v>
      </c>
      <c r="DO98" s="416"/>
      <c r="DP98" s="416"/>
      <c r="DQ98" s="416"/>
      <c r="DR98" s="416">
        <v>1660</v>
      </c>
      <c r="DS98" s="416"/>
      <c r="DT98" s="416"/>
      <c r="DU98" s="416">
        <v>15</v>
      </c>
      <c r="DV98" s="416"/>
      <c r="DW98" s="416">
        <v>470</v>
      </c>
      <c r="DX98" s="416">
        <v>10</v>
      </c>
      <c r="DY98" s="416"/>
      <c r="DZ98" s="416"/>
      <c r="EA98" s="416">
        <v>490</v>
      </c>
      <c r="EB98" s="416"/>
      <c r="EC98" s="416"/>
      <c r="ED98" s="416"/>
      <c r="EE98" s="416"/>
      <c r="EF98" s="416"/>
      <c r="EG98" s="416"/>
      <c r="EH98" s="416"/>
      <c r="EI98" s="416"/>
      <c r="EJ98" s="416"/>
      <c r="EK98" s="416"/>
      <c r="EL98" s="416"/>
      <c r="EM98" s="416">
        <v>30</v>
      </c>
      <c r="EN98" s="416"/>
      <c r="EO98" s="416"/>
      <c r="EP98" s="416">
        <v>120</v>
      </c>
      <c r="EQ98" s="416"/>
      <c r="ER98" s="416"/>
      <c r="ES98" s="416"/>
      <c r="ET98" s="416"/>
      <c r="EU98" s="416"/>
      <c r="EV98" s="416">
        <v>340</v>
      </c>
      <c r="EW98" s="416"/>
      <c r="EX98" s="416"/>
      <c r="EY98" s="416">
        <v>280</v>
      </c>
      <c r="EZ98" s="416"/>
      <c r="FA98" s="416"/>
      <c r="FB98" s="416">
        <v>240</v>
      </c>
      <c r="FC98" s="416"/>
      <c r="FD98" s="416"/>
      <c r="FE98" s="416">
        <v>40</v>
      </c>
      <c r="FF98" s="416"/>
      <c r="FG98" s="416"/>
      <c r="FH98" s="416"/>
      <c r="FI98" s="416"/>
      <c r="FJ98" s="416"/>
      <c r="FK98" s="416"/>
      <c r="FL98" s="416"/>
      <c r="FM98" s="416"/>
      <c r="FN98" s="416"/>
      <c r="FO98" s="416"/>
      <c r="FP98" s="416"/>
      <c r="FQ98" s="423"/>
      <c r="FR98" s="424"/>
      <c r="FS98" s="425"/>
      <c r="FT98" s="425"/>
      <c r="FU98" s="425"/>
      <c r="FV98" s="426">
        <f t="shared" si="11"/>
        <v>7661</v>
      </c>
    </row>
    <row r="99" spans="1:179" s="400" customFormat="1" ht="11" thickBot="1">
      <c r="A99" s="446"/>
      <c r="B99" s="392"/>
      <c r="C99" s="392" t="s">
        <v>555</v>
      </c>
      <c r="D99" s="392" t="s">
        <v>3</v>
      </c>
      <c r="E99" s="393" t="s">
        <v>621</v>
      </c>
      <c r="F99" s="392"/>
      <c r="G99" s="392"/>
      <c r="H99" s="394"/>
      <c r="I99" s="394"/>
      <c r="J99" s="394"/>
      <c r="K99" s="394"/>
      <c r="L99" s="394"/>
      <c r="M99" s="394"/>
      <c r="N99" s="394"/>
      <c r="O99" s="394"/>
      <c r="P99" s="394"/>
      <c r="Q99" s="394"/>
      <c r="R99" s="394"/>
      <c r="S99" s="394"/>
      <c r="T99" s="394"/>
      <c r="U99" s="394"/>
      <c r="V99" s="394"/>
      <c r="W99" s="394"/>
      <c r="X99" s="394"/>
      <c r="Y99" s="394"/>
      <c r="Z99" s="394"/>
      <c r="AA99" s="394"/>
      <c r="AB99" s="394"/>
      <c r="AC99" s="394"/>
      <c r="AD99" s="394"/>
      <c r="AE99" s="394"/>
      <c r="AF99" s="394"/>
      <c r="AG99" s="394"/>
      <c r="AH99" s="394"/>
      <c r="AI99" s="394"/>
      <c r="AJ99" s="394"/>
      <c r="AK99" s="394"/>
      <c r="AL99" s="394"/>
      <c r="AM99" s="394"/>
      <c r="AN99" s="394"/>
      <c r="AO99" s="394"/>
      <c r="AP99" s="394"/>
      <c r="AQ99" s="394"/>
      <c r="AR99" s="394"/>
      <c r="AS99" s="394"/>
      <c r="AT99" s="394"/>
      <c r="AU99" s="394"/>
      <c r="AV99" s="394"/>
      <c r="AW99" s="394"/>
      <c r="AX99" s="394"/>
      <c r="AY99" s="394"/>
      <c r="AZ99" s="394"/>
      <c r="BA99" s="394"/>
      <c r="BB99" s="394"/>
      <c r="BC99" s="394"/>
      <c r="BD99" s="394"/>
      <c r="BE99" s="394"/>
      <c r="BF99" s="394"/>
      <c r="BG99" s="394"/>
      <c r="BH99" s="394"/>
      <c r="BI99" s="394"/>
      <c r="BJ99" s="394"/>
      <c r="BK99" s="394"/>
      <c r="BL99" s="394"/>
      <c r="BM99" s="394"/>
      <c r="BN99" s="394"/>
      <c r="BO99" s="394"/>
      <c r="BP99" s="394"/>
      <c r="BQ99" s="394"/>
      <c r="BR99" s="394"/>
      <c r="BS99" s="394"/>
      <c r="BT99" s="394"/>
      <c r="BU99" s="394"/>
      <c r="BV99" s="394"/>
      <c r="BW99" s="394"/>
      <c r="BX99" s="394"/>
      <c r="BY99" s="394"/>
      <c r="BZ99" s="394"/>
      <c r="CA99" s="394"/>
      <c r="CB99" s="394"/>
      <c r="CC99" s="394"/>
      <c r="CD99" s="394"/>
      <c r="CE99" s="394"/>
      <c r="CF99" s="394"/>
      <c r="CG99" s="394"/>
      <c r="CH99" s="394"/>
      <c r="CI99" s="394"/>
      <c r="CJ99" s="394"/>
      <c r="CK99" s="394"/>
      <c r="CL99" s="394"/>
      <c r="CM99" s="394">
        <v>3</v>
      </c>
      <c r="CN99" s="394"/>
      <c r="CO99" s="394"/>
      <c r="CP99" s="394"/>
      <c r="CQ99" s="394"/>
      <c r="CR99" s="394"/>
      <c r="CS99" s="394"/>
      <c r="CT99" s="394"/>
      <c r="CU99" s="394"/>
      <c r="CV99" s="394"/>
      <c r="CW99" s="394"/>
      <c r="CX99" s="394"/>
      <c r="CY99" s="394"/>
      <c r="CZ99" s="394"/>
      <c r="DA99" s="394"/>
      <c r="DB99" s="394"/>
      <c r="DC99" s="394"/>
      <c r="DD99" s="394"/>
      <c r="DE99" s="394"/>
      <c r="DF99" s="394"/>
      <c r="DG99" s="394"/>
      <c r="DH99" s="394">
        <v>20</v>
      </c>
      <c r="DI99" s="394"/>
      <c r="DJ99" s="394"/>
      <c r="DK99" s="394"/>
      <c r="DL99" s="394"/>
      <c r="DM99" s="394"/>
      <c r="DN99" s="394"/>
      <c r="DO99" s="394"/>
      <c r="DP99" s="394"/>
      <c r="DQ99" s="394"/>
      <c r="DR99" s="394"/>
      <c r="DS99" s="394"/>
      <c r="DT99" s="394"/>
      <c r="DU99" s="394"/>
      <c r="DV99" s="394"/>
      <c r="DW99" s="394"/>
      <c r="DX99" s="394"/>
      <c r="DY99" s="394"/>
      <c r="DZ99" s="394"/>
      <c r="EA99" s="394"/>
      <c r="EB99" s="394"/>
      <c r="EC99" s="394"/>
      <c r="ED99" s="394"/>
      <c r="EE99" s="394"/>
      <c r="EF99" s="394"/>
      <c r="EG99" s="394"/>
      <c r="EH99" s="394"/>
      <c r="EI99" s="394"/>
      <c r="EJ99" s="394"/>
      <c r="EK99" s="394"/>
      <c r="EL99" s="394"/>
      <c r="EM99" s="394"/>
      <c r="EN99" s="394"/>
      <c r="EO99" s="394">
        <v>240</v>
      </c>
      <c r="EP99" s="394"/>
      <c r="EQ99" s="394"/>
      <c r="ER99" s="394"/>
      <c r="ES99" s="394"/>
      <c r="ET99" s="394"/>
      <c r="EU99" s="394"/>
      <c r="EV99" s="394"/>
      <c r="EW99" s="394"/>
      <c r="EX99" s="394"/>
      <c r="EY99" s="394"/>
      <c r="EZ99" s="394"/>
      <c r="FA99" s="394"/>
      <c r="FB99" s="394"/>
      <c r="FC99" s="394"/>
      <c r="FD99" s="394"/>
      <c r="FE99" s="394"/>
      <c r="FF99" s="394"/>
      <c r="FG99" s="394"/>
      <c r="FH99" s="394"/>
      <c r="FI99" s="394"/>
      <c r="FJ99" s="394"/>
      <c r="FK99" s="394"/>
      <c r="FL99" s="394"/>
      <c r="FM99" s="394"/>
      <c r="FN99" s="394"/>
      <c r="FO99" s="394"/>
      <c r="FP99" s="394"/>
      <c r="FQ99" s="396"/>
      <c r="FR99" s="397"/>
      <c r="FS99" s="398"/>
      <c r="FT99" s="398"/>
      <c r="FU99" s="398"/>
      <c r="FV99" s="399">
        <f t="shared" si="11"/>
        <v>263</v>
      </c>
      <c r="FW99" s="395"/>
    </row>
    <row r="101" spans="1:179">
      <c r="E101" s="85" t="s">
        <v>623</v>
      </c>
      <c r="Q101" s="190">
        <f>Q43+Q44+Q45+Q49+Q50+Q51+Q67+Q68+Q69+Q70+Q71+Q72+Q85+Q86+Q87</f>
        <v>1</v>
      </c>
      <c r="T101" s="190">
        <f>T43+T44+T45+T49+T50+T51+T67+T68+T69+T70+T71+T72+T85+T86+T87</f>
        <v>2</v>
      </c>
      <c r="U101" s="190">
        <f>U43+U44+U45+U49+U50+U51+U67+U68+U69+U70+U71+U72+U85+U86+U87</f>
        <v>2</v>
      </c>
      <c r="V101" s="190">
        <f>V43+V44+V45+V49+V50+V51+V67+V68+V69+V70+V71+V72+V85+V86+V87</f>
        <v>2</v>
      </c>
      <c r="Z101" s="190">
        <f>Z43+Z44+Z45+Z49+Z50+Z51+Z67+Z68+Z69+Z70+Z71+Z72+Z85+Z86+Z87</f>
        <v>80</v>
      </c>
      <c r="AB101" s="190">
        <f>AB43+AB44+AB45+AB49+AB50+AB51+AB67+AB68+AB69+AB70+AB71+AB72+AB85+AB86+AB87</f>
        <v>2</v>
      </c>
      <c r="AD101" s="190">
        <f t="shared" ref="AD101:AE101" si="16">AD43+AD44+AD45+AD49+AD50+AD51+AD67+AD68+AD69+AD70+AD71+AD72+AD85+AD86+AD87</f>
        <v>100</v>
      </c>
      <c r="AE101" s="190">
        <f t="shared" si="16"/>
        <v>60</v>
      </c>
      <c r="AH101" s="190">
        <f>AH43+AH44+AH45+AH49+AH50+AH51+AH67+AH68+AH69+AH70+AH71+AH72+AH85+AH86+AH87</f>
        <v>0</v>
      </c>
      <c r="AX101" s="190">
        <f>AX43+AX44+AX45+AX49+AX50+AX51+AX67+AX68+AX69+AX70+AX71+AX72+AX85+AX86+AX87</f>
        <v>10</v>
      </c>
      <c r="AY101" s="190">
        <f>AY43+AY44+AY45+AY49+AY50+AY51+AY67+AY68+AY69+AY70+AY71+AY72+AY85+AY86+AY87</f>
        <v>7</v>
      </c>
      <c r="BA101" s="190">
        <f>BA43+BA44+BA45+BA49+BA50+BA51+BA67+BA68+BA69+BA70+BA71+BA72+BA85+BA86+BA87</f>
        <v>73</v>
      </c>
      <c r="BC101" s="190">
        <f>BC43+BC44+BC45+BC49+BC50+BC51+BC67+BC68+BC69+BC70+BC71+BC72+BC85+BC86+BC87</f>
        <v>1</v>
      </c>
      <c r="BE101" s="190">
        <f>BE43+BE44+BE45+BE49+BE50+BE51+BE67+BE68+BE69+BE70+BE71+BE72+BE85+BE86+BE87</f>
        <v>30</v>
      </c>
      <c r="BJ101" s="190">
        <f t="shared" ref="BJ101:BM101" si="17">BJ43+BJ44+BJ45+BJ49+BJ50+BJ51+BJ67+BJ68+BJ69+BJ70+BJ71+BJ72+BJ85+BJ86+BJ87</f>
        <v>4</v>
      </c>
      <c r="BK101" s="190">
        <f t="shared" si="17"/>
        <v>40</v>
      </c>
      <c r="BL101" s="190">
        <f t="shared" si="17"/>
        <v>145</v>
      </c>
      <c r="BM101" s="190">
        <f t="shared" si="17"/>
        <v>65</v>
      </c>
      <c r="BO101" s="190">
        <f t="shared" ref="BO101:BP101" si="18">BO43+BO44+BO45+BO49+BO50+BO51+BO67+BO68+BO69+BO70+BO71+BO72+BO85+BO86+BO87</f>
        <v>40</v>
      </c>
      <c r="BP101" s="190">
        <f t="shared" si="18"/>
        <v>8</v>
      </c>
      <c r="BS101" s="190">
        <f t="shared" ref="BS101:BT101" si="19">BS43+BS44+BS45+BS49+BS50+BS51+BS67+BS68+BS69+BS70+BS71+BS72+BS85+BS86+BS87</f>
        <v>10</v>
      </c>
      <c r="BT101" s="190">
        <f t="shared" si="19"/>
        <v>5</v>
      </c>
      <c r="BV101" s="190">
        <f t="shared" ref="BV101:BX101" si="20">BV43+BV44+BV45+BV49+BV50+BV51+BV67+BV68+BV69+BV70+BV71+BV72+BV85+BV86+BV87</f>
        <v>3</v>
      </c>
      <c r="BX101" s="190">
        <f t="shared" si="20"/>
        <v>47</v>
      </c>
      <c r="CB101" s="190">
        <f t="shared" ref="CB101:CC101" si="21">CB43+CB44+CB45+CB49+CB50+CB51+CB67+CB68+CB69+CB70+CB71+CB72+CB85+CB86+CB87</f>
        <v>110</v>
      </c>
      <c r="CC101" s="190">
        <f t="shared" si="21"/>
        <v>8</v>
      </c>
      <c r="CH101" s="190">
        <f t="shared" ref="CH101:CJ101" si="22">CH43+CH44+CH45+CH49+CH50+CH51+CH67+CH68+CH69+CH70+CH71+CH72+CH85+CH86+CH87</f>
        <v>50</v>
      </c>
      <c r="CI101" s="190">
        <f t="shared" si="22"/>
        <v>58</v>
      </c>
      <c r="CJ101" s="190">
        <f t="shared" si="22"/>
        <v>85</v>
      </c>
      <c r="CM101" s="190">
        <f t="shared" ref="CM101" si="23">CM43+CM44+CM45+CM49+CM50+CM51+CM67+CM68+CM69+CM70+CM71+CM72+CM85+CM86+CM87</f>
        <v>3</v>
      </c>
      <c r="CN101" s="190">
        <f t="shared" ref="CN101:CP101" si="24">CN43+CN44+CN45+CN49+CN50+CN51+CN67+CN68+CN69+CN70+CN71+CN72+CN85+CN86+CN87</f>
        <v>70</v>
      </c>
      <c r="CO101" s="190">
        <f t="shared" si="24"/>
        <v>200</v>
      </c>
      <c r="CP101" s="190">
        <f t="shared" si="24"/>
        <v>7</v>
      </c>
      <c r="CR101" s="190">
        <f t="shared" ref="CR101:CS101" si="25">CR43+CR44+CR45+CR49+CR50+CR51+CR67+CR68+CR69+CR70+CR71+CR72+CR85+CR86+CR87</f>
        <v>1</v>
      </c>
      <c r="CS101" s="190">
        <f t="shared" si="25"/>
        <v>2</v>
      </c>
      <c r="CU101" s="190">
        <f t="shared" ref="CU101:CW101" si="26">CU43+CU44+CU45+CU49+CU50+CU51+CU67+CU68+CU69+CU70+CU71+CU72+CU85+CU86+CU87</f>
        <v>180</v>
      </c>
      <c r="CV101" s="190">
        <f t="shared" si="26"/>
        <v>250</v>
      </c>
      <c r="CW101" s="190">
        <f t="shared" si="26"/>
        <v>550</v>
      </c>
      <c r="CX101" s="190">
        <f t="shared" ref="CX101:DA101" si="27">CX43+CX44+CX45+CX49+CX50+CX51+CX67+CX68+CX69+CX70+CX71+CX72+CX85+CX86+CX87</f>
        <v>2</v>
      </c>
      <c r="CY101" s="190">
        <f t="shared" si="27"/>
        <v>120</v>
      </c>
      <c r="CZ101" s="190">
        <f t="shared" si="27"/>
        <v>120</v>
      </c>
      <c r="DA101" s="190">
        <f t="shared" si="27"/>
        <v>2</v>
      </c>
      <c r="DD101" s="190">
        <f t="shared" ref="DD101" si="28">DD43+DD44+DD45+DD49+DD50+DD51+DD67+DD68+DD69+DD70+DD71+DD72+DD85+DD86+DD87</f>
        <v>100</v>
      </c>
      <c r="DG101" s="190">
        <f t="shared" ref="DG101:DH101" si="29">DG43+DG44+DG45+DG49+DG50+DG51+DG67+DG68+DG69+DG70+DG71+DG72+DG85+DG86+DG87</f>
        <v>140</v>
      </c>
      <c r="DH101" s="190">
        <f t="shared" si="29"/>
        <v>20</v>
      </c>
      <c r="DJ101" s="190">
        <f t="shared" ref="DJ101:DL101" si="30">DJ43+DJ44+DJ45+DJ49+DJ50+DJ51+DJ67+DJ68+DJ69+DJ70+DJ71+DJ72+DJ85+DJ86+DJ87</f>
        <v>140</v>
      </c>
      <c r="DL101" s="190">
        <f t="shared" si="30"/>
        <v>20</v>
      </c>
      <c r="DN101" s="190">
        <f t="shared" ref="DN101" si="31">DN43+DN44+DN45+DN49+DN50+DN51+DN67+DN68+DN69+DN70+DN71+DN72+DN85+DN86+DN87</f>
        <v>20</v>
      </c>
      <c r="DR101" s="190">
        <f t="shared" ref="DR101" si="32">DR43+DR44+DR45+DR49+DR50+DR51+DR67+DR68+DR69+DR70+DR71+DR72+DR85+DR86+DR87</f>
        <v>1600</v>
      </c>
      <c r="DU101" s="190">
        <f t="shared" ref="DU101:DW101" si="33">DU43+DU44+DU45+DU49+DU50+DU51+DU67+DU68+DU69+DU70+DU71+DU72+DU85+DU86+DU87</f>
        <v>0</v>
      </c>
      <c r="DW101" s="190">
        <f t="shared" si="33"/>
        <v>210</v>
      </c>
      <c r="DX101" s="190">
        <f t="shared" ref="DX101" si="34">DX43+DX44+DX45+DX49+DX50+DX51+DX67+DX68+DX69+DX70+DX71+DX72+DX85+DX86+DX87</f>
        <v>10</v>
      </c>
      <c r="EA101" s="190">
        <f t="shared" ref="EA101" si="35">EA43+EA44+EA45+EA49+EA50+EA51+EA67+EA68+EA69+EA70+EA71+EA72+EA85+EA86+EA87</f>
        <v>230</v>
      </c>
      <c r="EM101" s="190">
        <f t="shared" ref="EM101" si="36">EM43+EM44+EM45+EM49+EM50+EM51+EM67+EM68+EM69+EM70+EM71+EM72+EM85+EM86+EM87</f>
        <v>0</v>
      </c>
      <c r="EO101" s="190">
        <f t="shared" ref="EO101:EP101" si="37">EO43+EO44+EO45+EO49+EO50+EO51+EO67+EO68+EO69+EO70+EO71+EO72+EO85+EO86+EO87</f>
        <v>240</v>
      </c>
      <c r="EP101" s="190">
        <f t="shared" si="37"/>
        <v>80</v>
      </c>
      <c r="EV101" s="190">
        <f t="shared" ref="EV101" si="38">EV43+EV44+EV45+EV49+EV50+EV51+EV67+EV68+EV69+EV70+EV71+EV72+EV85+EV86+EV87</f>
        <v>300</v>
      </c>
      <c r="EY101" s="190">
        <f t="shared" ref="EY101:EZ101" si="39">EY43+EY44+EY45+EY49+EY50+EY51+EY67+EY68+EY69+EY70+EY71+EY72+EY85+EY86+EY87</f>
        <v>240</v>
      </c>
      <c r="EZ101" s="190">
        <f t="shared" si="39"/>
        <v>200</v>
      </c>
      <c r="FB101" s="190">
        <f t="shared" ref="FB101:FE101" si="40">FB43+FB44+FB45+FB49+FB50+FB51+FB67+FB68+FB69+FB70+FB71+FB72+FB85+FB86+FB87</f>
        <v>200</v>
      </c>
      <c r="FD101" s="190">
        <f t="shared" si="40"/>
        <v>0</v>
      </c>
      <c r="FE101" s="190">
        <f t="shared" si="40"/>
        <v>0</v>
      </c>
      <c r="FV101" s="92">
        <f>SUBTOTAL(9,H101:FU101)</f>
        <v>6305</v>
      </c>
    </row>
    <row r="102" spans="1:179">
      <c r="E102" s="87" t="s">
        <v>624</v>
      </c>
      <c r="Q102" s="190">
        <f>Q37+Q38+Q39+Q52+Q53+Q54+Q76+Q77+Q78</f>
        <v>0</v>
      </c>
      <c r="T102" s="190">
        <f>T37+T38+T39+T52+T53+T54+T76+T77+T78</f>
        <v>2</v>
      </c>
      <c r="U102" s="190">
        <f>U37+U38+U39+U52+U53+U54+U76+U77+U78</f>
        <v>0</v>
      </c>
      <c r="V102" s="190">
        <f>V37+V38+V39+V52+V53+V54+V76+V77+V78</f>
        <v>0</v>
      </c>
      <c r="Z102" s="190">
        <f>Z37+Z38+Z39+Z52+Z53+Z54+Z76+Z77+Z78</f>
        <v>10</v>
      </c>
      <c r="AB102" s="190">
        <f>AB37+AB38+AB39+AB52+AB53+AB54+AB76+AB77+AB78</f>
        <v>0</v>
      </c>
      <c r="AD102" s="190">
        <f t="shared" ref="AD102:AE102" si="41">AD37+AD38+AD39+AD52+AD53+AD54+AD76+AD77+AD78</f>
        <v>10</v>
      </c>
      <c r="AE102" s="190">
        <f t="shared" si="41"/>
        <v>10</v>
      </c>
      <c r="AH102" s="190">
        <f>AH37+AH38+AH39+AH52+AH53+AH54+AH76+AH77+AH78</f>
        <v>1</v>
      </c>
      <c r="AX102" s="190">
        <f>AX37+AX38+AX39+AX52+AX53+AX54+AX76+AX77+AX78</f>
        <v>0</v>
      </c>
      <c r="AY102" s="190">
        <f>AY37+AY38+AY39+AY52+AY53+AY54+AY76+AY77+AY78</f>
        <v>1</v>
      </c>
      <c r="BA102" s="190">
        <f>BA37+BA38+BA39+BA52+BA53+BA54+BA76+BA77+BA78</f>
        <v>10</v>
      </c>
      <c r="BC102" s="190">
        <f>BC37+BC38+BC39+BC52+BC53+BC54+BC76+BC77+BC78</f>
        <v>0</v>
      </c>
      <c r="BE102" s="190">
        <f>BE37+BE38+BE39+BE52+BE53+BE54+BE76+BE77+BE78</f>
        <v>0</v>
      </c>
      <c r="BJ102" s="190">
        <f t="shared" ref="BJ102:BM102" si="42">BJ37+BJ38+BJ39+BJ52+BJ53+BJ54+BJ76+BJ77+BJ78</f>
        <v>0</v>
      </c>
      <c r="BK102" s="190">
        <f t="shared" si="42"/>
        <v>10</v>
      </c>
      <c r="BL102" s="190">
        <f t="shared" si="42"/>
        <v>10</v>
      </c>
      <c r="BM102" s="190">
        <f t="shared" si="42"/>
        <v>10</v>
      </c>
      <c r="BO102" s="190">
        <f t="shared" ref="BO102:BP102" si="43">BO37+BO38+BO39+BO52+BO53+BO54+BO76+BO77+BO78</f>
        <v>10</v>
      </c>
      <c r="BP102" s="190">
        <f t="shared" si="43"/>
        <v>0</v>
      </c>
      <c r="BS102" s="190">
        <f t="shared" ref="BS102:BT102" si="44">BS37+BS38+BS39+BS52+BS53+BS54+BS76+BS77+BS78</f>
        <v>2</v>
      </c>
      <c r="BT102" s="190">
        <f t="shared" si="44"/>
        <v>0</v>
      </c>
      <c r="BV102" s="190">
        <f t="shared" ref="BV102:BX102" si="45">BV37+BV38+BV39+BV52+BV53+BV54+BV76+BV77+BV78</f>
        <v>0</v>
      </c>
      <c r="BX102" s="190">
        <f t="shared" si="45"/>
        <v>4</v>
      </c>
      <c r="CB102" s="190">
        <f t="shared" ref="CB102:CC102" si="46">CB37+CB38+CB39+CB52+CB53+CB54+CB76+CB77+CB78</f>
        <v>15</v>
      </c>
      <c r="CC102" s="190">
        <f t="shared" si="46"/>
        <v>0</v>
      </c>
      <c r="CH102" s="190">
        <f t="shared" ref="CH102:CJ102" si="47">CH37+CH38+CH39+CH52+CH53+CH54+CH76+CH77+CH78</f>
        <v>10</v>
      </c>
      <c r="CI102" s="190">
        <f t="shared" si="47"/>
        <v>7</v>
      </c>
      <c r="CJ102" s="190">
        <f t="shared" si="47"/>
        <v>15</v>
      </c>
      <c r="CM102" s="190">
        <f t="shared" ref="CM102" si="48">CM37+CM38+CM39+CM52+CM53+CM54+CM76+CM77+CM78</f>
        <v>0</v>
      </c>
      <c r="CN102" s="190">
        <f t="shared" ref="CN102:CP102" si="49">CN37+CN38+CN39+CN52+CN53+CN54+CN76+CN77+CN78</f>
        <v>10</v>
      </c>
      <c r="CO102" s="190">
        <f t="shared" si="49"/>
        <v>30</v>
      </c>
      <c r="CP102" s="190">
        <f t="shared" si="49"/>
        <v>6</v>
      </c>
      <c r="CR102" s="190">
        <f t="shared" ref="CR102:CS102" si="50">CR37+CR38+CR39+CR52+CR53+CR54+CR76+CR77+CR78</f>
        <v>0</v>
      </c>
      <c r="CS102" s="190">
        <f t="shared" si="50"/>
        <v>0</v>
      </c>
      <c r="CU102" s="190">
        <f t="shared" ref="CU102:CW102" si="51">CU37+CU38+CU39+CU52+CU53+CU54+CU76+CU77+CU78</f>
        <v>30</v>
      </c>
      <c r="CV102" s="190">
        <f t="shared" si="51"/>
        <v>10</v>
      </c>
      <c r="CW102" s="190">
        <f t="shared" si="51"/>
        <v>60</v>
      </c>
      <c r="CX102" s="190">
        <f t="shared" ref="CX102:DA102" si="52">CX37+CX38+CX39+CX52+CX53+CX54+CX76+CX77+CX78</f>
        <v>0</v>
      </c>
      <c r="CY102" s="190">
        <f t="shared" si="52"/>
        <v>20</v>
      </c>
      <c r="CZ102" s="190">
        <f t="shared" si="52"/>
        <v>15</v>
      </c>
      <c r="DA102" s="190">
        <f t="shared" si="52"/>
        <v>0</v>
      </c>
      <c r="DD102" s="190">
        <f t="shared" ref="DD102" si="53">DD37+DD38+DD39+DD52+DD53+DD54+DD76+DD77+DD78</f>
        <v>20</v>
      </c>
      <c r="DG102" s="190">
        <f t="shared" ref="DG102:DH102" si="54">DG37+DG38+DG39+DG52+DG53+DG54+DG76+DG77+DG78</f>
        <v>30</v>
      </c>
      <c r="DH102" s="190">
        <f t="shared" si="54"/>
        <v>0</v>
      </c>
      <c r="DJ102" s="190">
        <f t="shared" ref="DJ102:DL102" si="55">DJ37+DJ38+DJ39+DJ52+DJ53+DJ54+DJ76+DJ77+DJ78</f>
        <v>30</v>
      </c>
      <c r="DL102" s="190">
        <f t="shared" si="55"/>
        <v>6</v>
      </c>
      <c r="DN102" s="190">
        <f t="shared" ref="DN102" si="56">DN37+DN38+DN39+DN52+DN53+DN54+DN76+DN77+DN78</f>
        <v>0</v>
      </c>
      <c r="DR102" s="190">
        <f t="shared" ref="DR102" si="57">DR37+DR38+DR39+DR52+DR53+DR54+DR76+DR77+DR78</f>
        <v>0</v>
      </c>
      <c r="DU102" s="190">
        <f t="shared" ref="DU102:DW102" si="58">DU37+DU38+DU39+DU52+DU53+DU54+DU76+DU77+DU78</f>
        <v>15</v>
      </c>
      <c r="DW102" s="190">
        <f t="shared" si="58"/>
        <v>170</v>
      </c>
      <c r="DX102" s="190">
        <f t="shared" ref="DX102" si="59">DX37+DX38+DX39+DX52+DX53+DX54+DX76+DX77+DX78</f>
        <v>0</v>
      </c>
      <c r="EA102" s="190">
        <f t="shared" ref="EA102" si="60">EA37+EA38+EA39+EA52+EA53+EA54+EA76+EA77+EA78</f>
        <v>170</v>
      </c>
      <c r="EM102" s="190">
        <f t="shared" ref="EM102" si="61">EM37+EM38+EM39+EM52+EM53+EM54+EM76+EM77+EM78</f>
        <v>0</v>
      </c>
      <c r="EO102" s="190">
        <f t="shared" ref="EO102:EP102" si="62">EO37+EO38+EO39+EO52+EO53+EO54+EO76+EO77+EO78</f>
        <v>0</v>
      </c>
      <c r="EP102" s="190">
        <f t="shared" si="62"/>
        <v>20</v>
      </c>
      <c r="EV102" s="190">
        <f t="shared" ref="EV102" si="63">EV37+EV38+EV39+EV52+EV53+EV54+EV76+EV77+EV78</f>
        <v>0</v>
      </c>
      <c r="EY102" s="190">
        <f t="shared" ref="EY102:EZ102" si="64">EY37+EY38+EY39+EY52+EY53+EY54+EY76+EY77+EY78</f>
        <v>40</v>
      </c>
      <c r="EZ102" s="190">
        <f t="shared" si="64"/>
        <v>40</v>
      </c>
      <c r="FB102" s="190">
        <f t="shared" ref="FB102:FE102" si="65">FB37+FB38+FB39+FB52+FB53+FB54+FB76+FB77+FB78</f>
        <v>40</v>
      </c>
      <c r="FD102" s="190">
        <f t="shared" si="65"/>
        <v>60</v>
      </c>
      <c r="FE102" s="190">
        <f t="shared" si="65"/>
        <v>40</v>
      </c>
      <c r="FV102" s="92">
        <f t="shared" ref="FV102:FV105" si="66">SUBTOTAL(9,H102:FU102)</f>
        <v>999</v>
      </c>
    </row>
    <row r="103" spans="1:179">
      <c r="E103" s="87" t="s">
        <v>625</v>
      </c>
      <c r="Q103" s="190">
        <f>Q46+Q47+Q48</f>
        <v>0</v>
      </c>
      <c r="T103" s="190">
        <f>T46+T47+T48</f>
        <v>0</v>
      </c>
      <c r="U103" s="190">
        <f>U46+U47+U48</f>
        <v>0</v>
      </c>
      <c r="V103" s="190">
        <f>V46+V47+V48</f>
        <v>0</v>
      </c>
      <c r="Z103" s="190">
        <f>Z46+Z47+Z48</f>
        <v>5</v>
      </c>
      <c r="AB103" s="190">
        <f>AB46+AB47+AB48</f>
        <v>0</v>
      </c>
      <c r="AD103" s="190">
        <f t="shared" ref="AD103:AE103" si="67">AD46+AD47+AD48</f>
        <v>10</v>
      </c>
      <c r="AE103" s="190">
        <f t="shared" si="67"/>
        <v>5</v>
      </c>
      <c r="AH103" s="190">
        <f>AH46+AH47+AH48</f>
        <v>0</v>
      </c>
      <c r="AX103" s="190">
        <f>AX46+AX47+AX48</f>
        <v>0</v>
      </c>
      <c r="AY103" s="190">
        <f>AY46+AY47+AY48</f>
        <v>0</v>
      </c>
      <c r="BA103" s="190">
        <f>BA46+BA47+BA48</f>
        <v>2</v>
      </c>
      <c r="BC103" s="190">
        <f>BC46+BC47+BC48</f>
        <v>0</v>
      </c>
      <c r="BE103" s="190">
        <f>BE46+BE47+BE48</f>
        <v>0</v>
      </c>
      <c r="BJ103" s="190">
        <f t="shared" ref="BJ103:BM103" si="68">BJ46+BJ47+BJ48</f>
        <v>0</v>
      </c>
      <c r="BK103" s="190">
        <f t="shared" si="68"/>
        <v>0</v>
      </c>
      <c r="BL103" s="190">
        <f t="shared" si="68"/>
        <v>10</v>
      </c>
      <c r="BM103" s="190">
        <f t="shared" si="68"/>
        <v>10</v>
      </c>
      <c r="BO103" s="190">
        <f t="shared" ref="BO103:BP103" si="69">BO46+BO47+BO48</f>
        <v>10</v>
      </c>
      <c r="BP103" s="190">
        <f t="shared" si="69"/>
        <v>0</v>
      </c>
      <c r="BS103" s="190">
        <f t="shared" ref="BS103:BT103" si="70">BS46+BS47+BS48</f>
        <v>0</v>
      </c>
      <c r="BT103" s="190">
        <f t="shared" si="70"/>
        <v>0</v>
      </c>
      <c r="BV103" s="190">
        <f t="shared" ref="BV103:BX103" si="71">BV46+BV47+BV48</f>
        <v>0</v>
      </c>
      <c r="BX103" s="190">
        <f t="shared" si="71"/>
        <v>4</v>
      </c>
      <c r="CB103" s="190">
        <f t="shared" ref="CB103:CC103" si="72">CB46+CB47+CB48</f>
        <v>10</v>
      </c>
      <c r="CC103" s="190">
        <f t="shared" si="72"/>
        <v>0</v>
      </c>
      <c r="CH103" s="190">
        <f t="shared" ref="CH103:CJ103" si="73">CH46+CH47+CH48</f>
        <v>0</v>
      </c>
      <c r="CI103" s="190">
        <f t="shared" si="73"/>
        <v>5</v>
      </c>
      <c r="CJ103" s="190">
        <f t="shared" si="73"/>
        <v>10</v>
      </c>
      <c r="CM103" s="190">
        <f t="shared" ref="CM103" si="74">CM46+CM47+CM48</f>
        <v>0</v>
      </c>
      <c r="CN103" s="190">
        <f t="shared" ref="CN103:CP103" si="75">CN46+CN47+CN48</f>
        <v>5</v>
      </c>
      <c r="CO103" s="190">
        <f t="shared" si="75"/>
        <v>20</v>
      </c>
      <c r="CP103" s="190">
        <f t="shared" si="75"/>
        <v>0</v>
      </c>
      <c r="CR103" s="190">
        <f t="shared" ref="CR103:CS103" si="76">CR46+CR47+CR48</f>
        <v>0</v>
      </c>
      <c r="CS103" s="190">
        <f t="shared" si="76"/>
        <v>0</v>
      </c>
      <c r="CU103" s="190">
        <f t="shared" ref="CU103:CW103" si="77">CU46+CU47+CU48</f>
        <v>20</v>
      </c>
      <c r="CV103" s="190">
        <f t="shared" si="77"/>
        <v>20</v>
      </c>
      <c r="CW103" s="190">
        <f t="shared" si="77"/>
        <v>20</v>
      </c>
      <c r="CX103" s="190">
        <f t="shared" ref="CX103:DA103" si="78">CX46+CX47+CX48</f>
        <v>0</v>
      </c>
      <c r="CY103" s="190">
        <f t="shared" si="78"/>
        <v>10</v>
      </c>
      <c r="CZ103" s="190">
        <f t="shared" si="78"/>
        <v>10</v>
      </c>
      <c r="DA103" s="190">
        <f t="shared" si="78"/>
        <v>0</v>
      </c>
      <c r="DD103" s="190">
        <f t="shared" ref="DD103" si="79">DD46+DD47+DD48</f>
        <v>10</v>
      </c>
      <c r="DG103" s="190">
        <f t="shared" ref="DG103:DH103" si="80">DG46+DG47+DG48</f>
        <v>20</v>
      </c>
      <c r="DH103" s="190">
        <f t="shared" si="80"/>
        <v>0</v>
      </c>
      <c r="DJ103" s="190">
        <f t="shared" ref="DJ103:DL103" si="81">DJ46+DJ47+DJ48</f>
        <v>20</v>
      </c>
      <c r="DL103" s="190">
        <f t="shared" si="81"/>
        <v>0</v>
      </c>
      <c r="DN103" s="190">
        <f t="shared" ref="DN103" si="82">DN46+DN47+DN48</f>
        <v>0</v>
      </c>
      <c r="DR103" s="190">
        <f t="shared" ref="DR103" si="83">DR46+DR47+DR48</f>
        <v>60</v>
      </c>
      <c r="DU103" s="190">
        <f t="shared" ref="DU103:DW103" si="84">DU46+DU47+DU48</f>
        <v>0</v>
      </c>
      <c r="DW103" s="190">
        <f t="shared" si="84"/>
        <v>20</v>
      </c>
      <c r="DX103" s="190">
        <f t="shared" ref="DX103" si="85">DX46+DX47+DX48</f>
        <v>0</v>
      </c>
      <c r="EA103" s="190">
        <f t="shared" ref="EA103" si="86">EA46+EA47+EA48</f>
        <v>20</v>
      </c>
      <c r="EM103" s="190">
        <f t="shared" ref="EM103" si="87">EM46+EM47+EM48</f>
        <v>0</v>
      </c>
      <c r="EO103" s="190">
        <f t="shared" ref="EO103:EP103" si="88">EO46+EO47+EO48</f>
        <v>0</v>
      </c>
      <c r="EP103" s="190">
        <f t="shared" si="88"/>
        <v>0</v>
      </c>
      <c r="EV103" s="190">
        <f t="shared" ref="EV103" si="89">EV46+EV47+EV48</f>
        <v>40</v>
      </c>
      <c r="EY103" s="190">
        <f t="shared" ref="EY103:EZ103" si="90">EY46+EY47+EY48</f>
        <v>0</v>
      </c>
      <c r="EZ103" s="190">
        <f t="shared" si="90"/>
        <v>0</v>
      </c>
      <c r="FB103" s="190">
        <f t="shared" ref="FB103:FE103" si="91">FB46+FB47+FB48</f>
        <v>0</v>
      </c>
      <c r="FD103" s="190">
        <f t="shared" si="91"/>
        <v>0</v>
      </c>
      <c r="FE103" s="190">
        <f t="shared" si="91"/>
        <v>0</v>
      </c>
      <c r="FV103" s="92">
        <f t="shared" si="66"/>
        <v>376</v>
      </c>
    </row>
    <row r="104" spans="1:179">
      <c r="E104" s="87" t="s">
        <v>626</v>
      </c>
      <c r="Q104" s="92">
        <v>0</v>
      </c>
      <c r="T104" s="92">
        <v>0</v>
      </c>
      <c r="U104" s="92">
        <v>2</v>
      </c>
      <c r="V104" s="92">
        <v>0</v>
      </c>
      <c r="Z104" s="92">
        <v>10</v>
      </c>
      <c r="AB104" s="92">
        <v>0</v>
      </c>
      <c r="AD104" s="92">
        <v>10</v>
      </c>
      <c r="AE104" s="92">
        <v>10</v>
      </c>
      <c r="AH104" s="92">
        <v>0</v>
      </c>
      <c r="AX104" s="92">
        <v>0</v>
      </c>
      <c r="AY104" s="92">
        <v>1</v>
      </c>
      <c r="BA104" s="92">
        <v>10</v>
      </c>
      <c r="BC104" s="92">
        <v>0</v>
      </c>
      <c r="BE104" s="92">
        <v>0</v>
      </c>
      <c r="BJ104" s="92">
        <v>0</v>
      </c>
      <c r="BK104" s="92">
        <v>5</v>
      </c>
      <c r="BL104" s="92">
        <v>15</v>
      </c>
      <c r="BM104" s="92">
        <v>10</v>
      </c>
      <c r="BO104" s="92">
        <v>5</v>
      </c>
      <c r="BP104" s="92">
        <v>0</v>
      </c>
      <c r="BS104" s="92">
        <v>0</v>
      </c>
      <c r="BT104" s="92">
        <v>0</v>
      </c>
      <c r="BV104" s="92">
        <v>0</v>
      </c>
      <c r="BX104" s="92">
        <v>5</v>
      </c>
      <c r="CB104" s="92">
        <v>15</v>
      </c>
      <c r="CC104" s="92">
        <v>0</v>
      </c>
      <c r="CH104" s="92">
        <v>5</v>
      </c>
      <c r="CI104" s="92">
        <v>10</v>
      </c>
      <c r="CJ104" s="92">
        <v>10</v>
      </c>
      <c r="CM104" s="92">
        <v>0</v>
      </c>
      <c r="CN104" s="92">
        <v>10</v>
      </c>
      <c r="CO104" s="92">
        <v>30</v>
      </c>
      <c r="CP104" s="92">
        <v>2</v>
      </c>
      <c r="CR104" s="92">
        <v>0</v>
      </c>
      <c r="CS104" s="92">
        <v>0</v>
      </c>
      <c r="CU104" s="92">
        <v>20</v>
      </c>
      <c r="CV104" s="92">
        <v>30</v>
      </c>
      <c r="CW104" s="92">
        <v>60</v>
      </c>
      <c r="CX104" s="92">
        <v>0</v>
      </c>
      <c r="CY104" s="92">
        <v>20</v>
      </c>
      <c r="CZ104" s="92">
        <v>15</v>
      </c>
      <c r="DA104" s="92">
        <v>0</v>
      </c>
      <c r="DD104" s="92">
        <v>10</v>
      </c>
      <c r="DG104" s="92">
        <v>20</v>
      </c>
      <c r="DH104" s="92">
        <v>0</v>
      </c>
      <c r="DJ104" s="92">
        <v>20</v>
      </c>
      <c r="DL104" s="92">
        <v>2</v>
      </c>
      <c r="DN104" s="92">
        <v>0</v>
      </c>
      <c r="DR104" s="92">
        <v>0</v>
      </c>
      <c r="DU104" s="92">
        <v>0</v>
      </c>
      <c r="DW104" s="92">
        <v>40</v>
      </c>
      <c r="DX104" s="92">
        <v>0</v>
      </c>
      <c r="EA104" s="92">
        <v>40</v>
      </c>
      <c r="EM104" s="92">
        <v>20</v>
      </c>
      <c r="EO104" s="92">
        <v>0</v>
      </c>
      <c r="EP104" s="92">
        <v>10</v>
      </c>
      <c r="EV104" s="92">
        <v>0</v>
      </c>
      <c r="EY104" s="92">
        <v>0</v>
      </c>
      <c r="EZ104" s="92">
        <v>0</v>
      </c>
      <c r="FB104" s="92">
        <v>0</v>
      </c>
      <c r="FD104" s="92">
        <v>0</v>
      </c>
      <c r="FE104" s="92">
        <v>0</v>
      </c>
      <c r="FV104" s="92">
        <f t="shared" si="66"/>
        <v>472</v>
      </c>
    </row>
    <row r="105" spans="1:179" ht="10.5" thickBot="1">
      <c r="A105" s="189"/>
      <c r="B105" s="189"/>
      <c r="C105" s="189"/>
      <c r="D105" s="189"/>
      <c r="E105" s="89" t="s">
        <v>627</v>
      </c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>
        <v>0</v>
      </c>
      <c r="R105" s="189"/>
      <c r="S105" s="189"/>
      <c r="T105" s="189">
        <v>0</v>
      </c>
      <c r="U105" s="189">
        <v>0</v>
      </c>
      <c r="V105" s="189">
        <v>0</v>
      </c>
      <c r="W105" s="189"/>
      <c r="X105" s="189"/>
      <c r="Y105" s="189"/>
      <c r="Z105" s="189">
        <v>5</v>
      </c>
      <c r="AA105" s="189"/>
      <c r="AB105" s="189">
        <v>0</v>
      </c>
      <c r="AC105" s="189"/>
      <c r="AD105" s="189">
        <v>10</v>
      </c>
      <c r="AE105" s="189">
        <v>5</v>
      </c>
      <c r="AF105" s="189"/>
      <c r="AG105" s="189"/>
      <c r="AH105" s="189">
        <v>0</v>
      </c>
      <c r="AI105" s="189"/>
      <c r="AJ105" s="189"/>
      <c r="AK105" s="189"/>
      <c r="AL105" s="189"/>
      <c r="AM105" s="189"/>
      <c r="AN105" s="189"/>
      <c r="AO105" s="189"/>
      <c r="AP105" s="189"/>
      <c r="AQ105" s="189"/>
      <c r="AR105" s="189"/>
      <c r="AS105" s="189"/>
      <c r="AT105" s="189"/>
      <c r="AU105" s="189"/>
      <c r="AV105" s="189"/>
      <c r="AW105" s="189"/>
      <c r="AX105" s="189">
        <v>0</v>
      </c>
      <c r="AY105" s="189">
        <v>1</v>
      </c>
      <c r="AZ105" s="189"/>
      <c r="BA105" s="189">
        <v>5</v>
      </c>
      <c r="BB105" s="189"/>
      <c r="BC105" s="189">
        <v>0</v>
      </c>
      <c r="BD105" s="189"/>
      <c r="BE105" s="189">
        <v>0</v>
      </c>
      <c r="BF105" s="189"/>
      <c r="BG105" s="189"/>
      <c r="BH105" s="189"/>
      <c r="BI105" s="189"/>
      <c r="BJ105" s="189">
        <v>0</v>
      </c>
      <c r="BK105" s="189">
        <v>5</v>
      </c>
      <c r="BL105" s="189">
        <v>10</v>
      </c>
      <c r="BM105" s="189">
        <v>5</v>
      </c>
      <c r="BN105" s="189"/>
      <c r="BO105" s="189">
        <v>5</v>
      </c>
      <c r="BP105" s="189">
        <v>0</v>
      </c>
      <c r="BQ105" s="189"/>
      <c r="BR105" s="189"/>
      <c r="BS105" s="189">
        <v>0</v>
      </c>
      <c r="BT105" s="189">
        <v>0</v>
      </c>
      <c r="BU105" s="189"/>
      <c r="BV105" s="189">
        <v>0</v>
      </c>
      <c r="BW105" s="189"/>
      <c r="BX105" s="189">
        <v>5</v>
      </c>
      <c r="BY105" s="189"/>
      <c r="BZ105" s="189"/>
      <c r="CA105" s="189"/>
      <c r="CB105" s="189">
        <v>10</v>
      </c>
      <c r="CC105" s="189">
        <v>0</v>
      </c>
      <c r="CD105" s="189"/>
      <c r="CE105" s="189"/>
      <c r="CF105" s="189"/>
      <c r="CG105" s="189"/>
      <c r="CH105" s="189">
        <v>5</v>
      </c>
      <c r="CI105" s="189">
        <v>5</v>
      </c>
      <c r="CJ105" s="189">
        <v>10</v>
      </c>
      <c r="CK105" s="189"/>
      <c r="CL105" s="189"/>
      <c r="CM105" s="189">
        <v>0</v>
      </c>
      <c r="CN105" s="189">
        <v>5</v>
      </c>
      <c r="CO105" s="189">
        <v>20</v>
      </c>
      <c r="CP105" s="189">
        <v>2</v>
      </c>
      <c r="CQ105" s="189"/>
      <c r="CR105" s="189">
        <v>0</v>
      </c>
      <c r="CS105" s="189">
        <v>0</v>
      </c>
      <c r="CT105" s="189"/>
      <c r="CU105" s="189">
        <v>20</v>
      </c>
      <c r="CV105" s="189">
        <v>20</v>
      </c>
      <c r="CW105" s="189">
        <v>40</v>
      </c>
      <c r="CX105" s="189">
        <v>0</v>
      </c>
      <c r="CY105" s="189">
        <v>10</v>
      </c>
      <c r="CZ105" s="189">
        <v>10</v>
      </c>
      <c r="DA105" s="189">
        <v>0</v>
      </c>
      <c r="DB105" s="189"/>
      <c r="DC105" s="189"/>
      <c r="DD105" s="189">
        <v>10</v>
      </c>
      <c r="DE105" s="189"/>
      <c r="DF105" s="189"/>
      <c r="DG105" s="189">
        <v>10</v>
      </c>
      <c r="DH105" s="189">
        <v>0</v>
      </c>
      <c r="DI105" s="189"/>
      <c r="DJ105" s="189">
        <v>10</v>
      </c>
      <c r="DK105" s="189"/>
      <c r="DL105" s="189">
        <v>2</v>
      </c>
      <c r="DM105" s="189"/>
      <c r="DN105" s="189">
        <v>0</v>
      </c>
      <c r="DO105" s="189"/>
      <c r="DP105" s="189"/>
      <c r="DQ105" s="189"/>
      <c r="DR105" s="189">
        <v>0</v>
      </c>
      <c r="DS105" s="189"/>
      <c r="DT105" s="189"/>
      <c r="DU105" s="189">
        <v>0</v>
      </c>
      <c r="DV105" s="189"/>
      <c r="DW105" s="189">
        <v>30</v>
      </c>
      <c r="DX105" s="189">
        <v>0</v>
      </c>
      <c r="DY105" s="189"/>
      <c r="DZ105" s="189"/>
      <c r="EA105" s="189">
        <v>30</v>
      </c>
      <c r="EB105" s="189"/>
      <c r="EC105" s="189"/>
      <c r="ED105" s="189"/>
      <c r="EE105" s="189"/>
      <c r="EF105" s="189"/>
      <c r="EG105" s="189"/>
      <c r="EH105" s="189"/>
      <c r="EI105" s="189"/>
      <c r="EJ105" s="189"/>
      <c r="EK105" s="189"/>
      <c r="EL105" s="189"/>
      <c r="EM105" s="189">
        <v>10</v>
      </c>
      <c r="EN105" s="189"/>
      <c r="EO105" s="189">
        <v>0</v>
      </c>
      <c r="EP105" s="189">
        <v>10</v>
      </c>
      <c r="EQ105" s="189"/>
      <c r="ER105" s="189"/>
      <c r="ES105" s="189"/>
      <c r="ET105" s="189"/>
      <c r="EU105" s="189"/>
      <c r="EV105" s="189">
        <v>0</v>
      </c>
      <c r="EW105" s="189"/>
      <c r="EX105" s="189"/>
      <c r="EY105" s="189">
        <v>0</v>
      </c>
      <c r="EZ105" s="189">
        <v>0</v>
      </c>
      <c r="FA105" s="189"/>
      <c r="FB105" s="189">
        <v>0</v>
      </c>
      <c r="FC105" s="189"/>
      <c r="FD105" s="189">
        <v>0</v>
      </c>
      <c r="FE105" s="189">
        <v>0</v>
      </c>
      <c r="FF105" s="189"/>
      <c r="FG105" s="189"/>
      <c r="FH105" s="189"/>
      <c r="FI105" s="189"/>
      <c r="FJ105" s="189"/>
      <c r="FK105" s="189"/>
      <c r="FL105" s="189"/>
      <c r="FM105" s="189"/>
      <c r="FN105" s="189"/>
      <c r="FO105" s="189"/>
      <c r="FP105" s="189"/>
      <c r="FQ105" s="189"/>
      <c r="FR105" s="189"/>
      <c r="FS105" s="189"/>
      <c r="FT105" s="189"/>
      <c r="FU105" s="189"/>
      <c r="FV105" s="189">
        <f t="shared" si="66"/>
        <v>325</v>
      </c>
      <c r="FW105" s="189"/>
    </row>
    <row r="106" spans="1:179" ht="10.5">
      <c r="E106" s="91" t="s">
        <v>628</v>
      </c>
      <c r="Q106" s="92">
        <f>SUBTOTAL(9,Q101:Q105)</f>
        <v>1</v>
      </c>
      <c r="T106" s="92">
        <f>SUBTOTAL(9,T101:T105)</f>
        <v>4</v>
      </c>
      <c r="U106" s="92">
        <f>SUBTOTAL(9,U101:U105)</f>
        <v>4</v>
      </c>
      <c r="V106" s="92">
        <f>SUBTOTAL(9,V101:V105)</f>
        <v>2</v>
      </c>
      <c r="Z106" s="92">
        <f>SUBTOTAL(9,Z101:Z105)</f>
        <v>110</v>
      </c>
      <c r="AB106" s="92">
        <f>SUBTOTAL(9,AB101:AB105)</f>
        <v>2</v>
      </c>
      <c r="AD106" s="92">
        <f t="shared" ref="AD106:AE106" si="92">SUBTOTAL(9,AD101:AD105)</f>
        <v>140</v>
      </c>
      <c r="AE106" s="92">
        <f t="shared" si="92"/>
        <v>90</v>
      </c>
      <c r="AH106" s="92">
        <f>SUBTOTAL(9,AH101:AH105)</f>
        <v>1</v>
      </c>
      <c r="AX106" s="92">
        <f>SUBTOTAL(9,AX101:AX105)</f>
        <v>10</v>
      </c>
      <c r="AY106" s="92">
        <f>SUBTOTAL(9,AY101:AY105)</f>
        <v>10</v>
      </c>
      <c r="BA106" s="92">
        <f>SUBTOTAL(9,BA101:BA105)</f>
        <v>100</v>
      </c>
      <c r="BC106" s="92">
        <f>SUBTOTAL(9,BC101:BC105)</f>
        <v>1</v>
      </c>
      <c r="BE106" s="92">
        <f>SUBTOTAL(9,BE101:BE105)</f>
        <v>30</v>
      </c>
      <c r="BJ106" s="92">
        <f t="shared" ref="BJ106:BM106" si="93">SUBTOTAL(9,BJ101:BJ105)</f>
        <v>4</v>
      </c>
      <c r="BK106" s="92">
        <f t="shared" si="93"/>
        <v>60</v>
      </c>
      <c r="BL106" s="92">
        <f t="shared" si="93"/>
        <v>190</v>
      </c>
      <c r="BM106" s="92">
        <f t="shared" si="93"/>
        <v>100</v>
      </c>
      <c r="BO106" s="92">
        <f t="shared" ref="BO106" si="94">SUBTOTAL(9,BO101:BO105)</f>
        <v>70</v>
      </c>
      <c r="BP106" s="92">
        <f t="shared" ref="BP106" si="95">SUBTOTAL(9,BP101:BP105)</f>
        <v>8</v>
      </c>
      <c r="BS106" s="92">
        <f t="shared" ref="BS106" si="96">SUBTOTAL(9,BS101:BS105)</f>
        <v>12</v>
      </c>
      <c r="BT106" s="92">
        <f t="shared" ref="BT106:BX106" si="97">SUBTOTAL(9,BT101:BT105)</f>
        <v>5</v>
      </c>
      <c r="BV106" s="92">
        <f t="shared" si="97"/>
        <v>3</v>
      </c>
      <c r="BX106" s="92">
        <f t="shared" si="97"/>
        <v>65</v>
      </c>
      <c r="CB106" s="92">
        <f t="shared" ref="CB106:CC106" si="98">SUBTOTAL(9,CB101:CB105)</f>
        <v>160</v>
      </c>
      <c r="CC106" s="92">
        <f t="shared" si="98"/>
        <v>8</v>
      </c>
      <c r="CH106" s="92">
        <f t="shared" ref="CH106" si="99">SUBTOTAL(9,CH101:CH105)</f>
        <v>70</v>
      </c>
      <c r="CI106" s="92">
        <f t="shared" ref="CI106" si="100">SUBTOTAL(9,CI101:CI105)</f>
        <v>85</v>
      </c>
      <c r="CJ106" s="92">
        <f t="shared" ref="CJ106" si="101">SUBTOTAL(9,CJ101:CJ105)</f>
        <v>130</v>
      </c>
      <c r="CM106" s="92">
        <f t="shared" ref="CM106:CN106" si="102">SUBTOTAL(9,CM101:CM105)</f>
        <v>3</v>
      </c>
      <c r="CN106" s="92">
        <f t="shared" si="102"/>
        <v>100</v>
      </c>
      <c r="CO106" s="92">
        <f t="shared" ref="CO106" si="103">SUBTOTAL(9,CO101:CO105)</f>
        <v>300</v>
      </c>
      <c r="CP106" s="92">
        <f t="shared" ref="CP106" si="104">SUBTOTAL(9,CP101:CP105)</f>
        <v>17</v>
      </c>
      <c r="CR106" s="92">
        <f t="shared" ref="CR106" si="105">SUBTOTAL(9,CR101:CR105)</f>
        <v>1</v>
      </c>
      <c r="CS106" s="92">
        <f t="shared" ref="CS106" si="106">SUBTOTAL(9,CS101:CS105)</f>
        <v>2</v>
      </c>
      <c r="CU106" s="92">
        <f t="shared" ref="CU106" si="107">SUBTOTAL(9,CU101:CU105)</f>
        <v>270</v>
      </c>
      <c r="CV106" s="92">
        <f t="shared" ref="CV106" si="108">SUBTOTAL(9,CV101:CV105)</f>
        <v>330</v>
      </c>
      <c r="CW106" s="92">
        <f t="shared" ref="CW106" si="109">SUBTOTAL(9,CW101:CW105)</f>
        <v>730</v>
      </c>
      <c r="CX106" s="92">
        <f t="shared" ref="CX106" si="110">SUBTOTAL(9,CX101:CX105)</f>
        <v>2</v>
      </c>
      <c r="CY106" s="92">
        <f t="shared" ref="CY106" si="111">SUBTOTAL(9,CY101:CY105)</f>
        <v>180</v>
      </c>
      <c r="CZ106" s="92">
        <f t="shared" ref="CZ106" si="112">SUBTOTAL(9,CZ101:CZ105)</f>
        <v>170</v>
      </c>
      <c r="DA106" s="92">
        <f t="shared" ref="DA106" si="113">SUBTOTAL(9,DA101:DA105)</f>
        <v>2</v>
      </c>
      <c r="DD106" s="92">
        <f t="shared" ref="DD106" si="114">SUBTOTAL(9,DD101:DD105)</f>
        <v>150</v>
      </c>
      <c r="DG106" s="92">
        <f t="shared" ref="DG106" si="115">SUBTOTAL(9,DG101:DG105)</f>
        <v>220</v>
      </c>
      <c r="DH106" s="92">
        <f t="shared" ref="DH106" si="116">SUBTOTAL(9,DH101:DH105)</f>
        <v>20</v>
      </c>
      <c r="DJ106" s="92">
        <f t="shared" ref="DJ106:DN106" si="117">SUBTOTAL(9,DJ101:DJ105)</f>
        <v>220</v>
      </c>
      <c r="DL106" s="92">
        <f t="shared" si="117"/>
        <v>30</v>
      </c>
      <c r="DN106" s="92">
        <f t="shared" si="117"/>
        <v>20</v>
      </c>
      <c r="DR106" s="92">
        <f t="shared" ref="DR106" si="118">SUBTOTAL(9,DR101:DR105)</f>
        <v>1660</v>
      </c>
      <c r="DU106" s="92">
        <f t="shared" ref="DU106:DX106" si="119">SUBTOTAL(9,DU101:DU105)</f>
        <v>15</v>
      </c>
      <c r="DW106" s="92">
        <f t="shared" si="119"/>
        <v>470</v>
      </c>
      <c r="DX106" s="92">
        <f t="shared" si="119"/>
        <v>10</v>
      </c>
      <c r="EA106" s="92">
        <f t="shared" ref="EA106" si="120">SUBTOTAL(9,EA101:EA105)</f>
        <v>490</v>
      </c>
      <c r="EM106" s="92">
        <f t="shared" ref="EM106" si="121">SUBTOTAL(9,EM101:EM105)</f>
        <v>30</v>
      </c>
      <c r="EO106" s="92">
        <f t="shared" ref="EO106:EP106" si="122">SUBTOTAL(9,EO101:EO105)</f>
        <v>240</v>
      </c>
      <c r="EP106" s="92">
        <f t="shared" si="122"/>
        <v>120</v>
      </c>
      <c r="EV106" s="92">
        <f t="shared" ref="EV106" si="123">SUBTOTAL(9,EV101:EV105)</f>
        <v>340</v>
      </c>
      <c r="EY106" s="92">
        <f t="shared" ref="EY106" si="124">SUBTOTAL(9,EY101:EY105)</f>
        <v>280</v>
      </c>
      <c r="EZ106" s="92">
        <f t="shared" ref="EZ106" si="125">SUBTOTAL(9,EZ101:EZ105)</f>
        <v>240</v>
      </c>
      <c r="FB106" s="92">
        <f t="shared" ref="FB106" si="126">SUBTOTAL(9,FB101:FB105)</f>
        <v>240</v>
      </c>
      <c r="FD106" s="92">
        <f t="shared" ref="FD106" si="127">SUBTOTAL(9,FD101:FD105)</f>
        <v>60</v>
      </c>
      <c r="FE106" s="92">
        <f t="shared" ref="FE106" si="128">SUBTOTAL(9,FE101:FE105)</f>
        <v>40</v>
      </c>
      <c r="FV106" s="92">
        <f>FV101+FV102+FV103+FV104+FV105</f>
        <v>8477</v>
      </c>
    </row>
    <row r="108" spans="1:179" ht="10.5">
      <c r="Q108" s="447"/>
      <c r="R108" s="447"/>
      <c r="S108" s="447"/>
      <c r="T108" s="447"/>
      <c r="U108" s="447"/>
      <c r="V108" s="447"/>
      <c r="W108" s="447"/>
      <c r="X108" s="447"/>
      <c r="Y108" s="447"/>
      <c r="Z108" s="447"/>
      <c r="AA108" s="447"/>
      <c r="AB108" s="447"/>
      <c r="AC108" s="447"/>
      <c r="AD108" s="447"/>
      <c r="AE108" s="447"/>
      <c r="AF108" s="447"/>
      <c r="AG108" s="447"/>
      <c r="AH108" s="447"/>
      <c r="AI108" s="447"/>
      <c r="AJ108" s="447"/>
      <c r="AK108" s="447"/>
      <c r="AL108" s="447"/>
      <c r="AM108" s="447"/>
      <c r="AN108" s="447"/>
      <c r="AO108" s="447"/>
      <c r="AP108" s="447"/>
      <c r="AQ108" s="447"/>
      <c r="AR108" s="447"/>
      <c r="AS108" s="447"/>
      <c r="AT108" s="447"/>
      <c r="AU108" s="447"/>
      <c r="AV108" s="447"/>
      <c r="AW108" s="447"/>
      <c r="AX108" s="447"/>
      <c r="AY108" s="447"/>
      <c r="AZ108" s="447"/>
      <c r="BA108" s="447"/>
      <c r="BB108" s="447"/>
      <c r="BC108" s="447"/>
      <c r="BD108" s="447"/>
      <c r="BE108" s="447"/>
      <c r="BF108" s="447"/>
      <c r="BG108" s="447"/>
      <c r="BH108" s="447"/>
      <c r="BI108" s="447"/>
      <c r="BJ108" s="447"/>
      <c r="BK108" s="447"/>
      <c r="BL108" s="447"/>
      <c r="BM108" s="447"/>
      <c r="BN108" s="447"/>
      <c r="BO108" s="447"/>
      <c r="BP108" s="447"/>
      <c r="BQ108" s="447"/>
      <c r="BR108" s="447"/>
      <c r="BS108" s="447"/>
      <c r="BT108" s="447"/>
      <c r="BU108" s="447"/>
      <c r="BV108" s="447"/>
      <c r="BW108" s="447"/>
      <c r="BX108" s="447"/>
      <c r="BY108" s="447"/>
      <c r="BZ108" s="447"/>
      <c r="CA108" s="447"/>
      <c r="CB108" s="447"/>
      <c r="CC108" s="447"/>
      <c r="CD108" s="447"/>
      <c r="CE108" s="447"/>
      <c r="CF108" s="447"/>
      <c r="CG108" s="447"/>
      <c r="CH108" s="447"/>
      <c r="CI108" s="447"/>
      <c r="CJ108" s="447"/>
      <c r="CK108" s="447"/>
      <c r="CL108" s="447"/>
      <c r="CM108" s="447"/>
      <c r="CN108" s="447"/>
      <c r="CO108" s="447"/>
      <c r="CP108" s="447"/>
      <c r="CQ108" s="447"/>
      <c r="CR108" s="447"/>
      <c r="CS108" s="447"/>
      <c r="CT108" s="447"/>
      <c r="CU108" s="447"/>
      <c r="CV108" s="447"/>
      <c r="CW108" s="447"/>
      <c r="CX108" s="447"/>
      <c r="CY108" s="447"/>
      <c r="CZ108" s="447"/>
      <c r="DA108" s="447"/>
      <c r="DB108" s="447"/>
      <c r="DC108" s="447"/>
      <c r="DD108" s="447"/>
      <c r="DE108" s="447"/>
      <c r="DF108" s="447"/>
      <c r="DG108" s="447"/>
      <c r="DH108" s="447"/>
      <c r="DI108" s="447"/>
      <c r="DJ108" s="447"/>
      <c r="DK108" s="447"/>
      <c r="DL108" s="447"/>
      <c r="DM108" s="447"/>
      <c r="DN108" s="447"/>
      <c r="DO108" s="447"/>
      <c r="DP108" s="447"/>
      <c r="DQ108" s="447"/>
      <c r="DR108" s="447"/>
      <c r="DS108" s="447"/>
      <c r="DT108" s="447"/>
      <c r="DU108" s="447"/>
      <c r="DV108" s="447"/>
      <c r="DW108" s="447"/>
      <c r="DX108" s="447"/>
      <c r="DY108" s="447"/>
      <c r="DZ108" s="447"/>
      <c r="EA108" s="447"/>
      <c r="EB108" s="447"/>
      <c r="EC108" s="447"/>
      <c r="ED108" s="447"/>
      <c r="EE108" s="447"/>
      <c r="EF108" s="447"/>
      <c r="EG108" s="447"/>
      <c r="EH108" s="447"/>
      <c r="EI108" s="447"/>
      <c r="EJ108" s="447"/>
      <c r="EK108" s="447"/>
      <c r="EL108" s="447"/>
      <c r="EM108" s="447"/>
      <c r="EN108" s="447"/>
      <c r="EO108" s="447"/>
      <c r="EP108" s="447"/>
      <c r="EQ108" s="447"/>
      <c r="ER108" s="447"/>
      <c r="ES108" s="447"/>
      <c r="ET108" s="447"/>
      <c r="EU108" s="447"/>
      <c r="EV108" s="447"/>
      <c r="EW108" s="447"/>
      <c r="EX108" s="447"/>
      <c r="EY108" s="447"/>
      <c r="EZ108" s="447"/>
      <c r="FA108" s="447"/>
      <c r="FB108" s="447"/>
      <c r="FC108" s="447"/>
      <c r="FD108" s="447"/>
      <c r="FE108" s="447"/>
      <c r="FF108" s="447"/>
      <c r="FG108" s="447"/>
      <c r="FH108" s="447"/>
      <c r="FI108" s="447"/>
      <c r="FJ108" s="447"/>
      <c r="FK108" s="447"/>
      <c r="FL108" s="447"/>
      <c r="FM108" s="447"/>
      <c r="FN108" s="447"/>
      <c r="FO108" s="447"/>
      <c r="FP108" s="447"/>
    </row>
  </sheetData>
  <autoFilter ref="A6:FW99" xr:uid="{00000000-0009-0000-0000-000005000000}">
    <filterColumn colId="2">
      <filters>
        <filter val="UA1J"/>
        <filter val="UA1K"/>
      </filters>
    </filterColumn>
    <filterColumn colId="176">
      <filters blank="1">
        <filter val="BELARUS"/>
        <filter val="LATVIA"/>
        <filter val="LITHUANIA"/>
        <filter val="NETHERLANDS"/>
        <filter val="RUSSIA"/>
        <filter val="RUSSIA/RUSSIA"/>
        <filter val="UKRAINE"/>
      </filters>
    </filterColumn>
  </autoFilter>
  <phoneticPr fontId="3" type="noConversion"/>
  <conditionalFormatting sqref="F5:F6">
    <cfRule type="cellIs" dxfId="464" priority="229" stopIfTrue="1" operator="equal">
      <formula>"E7"</formula>
    </cfRule>
    <cfRule type="cellIs" dxfId="463" priority="230" stopIfTrue="1" operator="equal">
      <formula>"E7A"</formula>
    </cfRule>
  </conditionalFormatting>
  <conditionalFormatting sqref="F99">
    <cfRule type="cellIs" dxfId="462" priority="227" stopIfTrue="1" operator="equal">
      <formula>"E7"</formula>
    </cfRule>
    <cfRule type="cellIs" dxfId="461" priority="228" stopIfTrue="1" operator="equal">
      <formula>"E7A"</formula>
    </cfRule>
  </conditionalFormatting>
  <conditionalFormatting sqref="F7">
    <cfRule type="cellIs" dxfId="460" priority="225" stopIfTrue="1" operator="equal">
      <formula>"E7"</formula>
    </cfRule>
    <cfRule type="cellIs" dxfId="459" priority="226" stopIfTrue="1" operator="equal">
      <formula>"E7A"</formula>
    </cfRule>
  </conditionalFormatting>
  <conditionalFormatting sqref="F10">
    <cfRule type="cellIs" dxfId="458" priority="223" stopIfTrue="1" operator="equal">
      <formula>"E7"</formula>
    </cfRule>
    <cfRule type="cellIs" dxfId="457" priority="224" stopIfTrue="1" operator="equal">
      <formula>"E7A"</formula>
    </cfRule>
  </conditionalFormatting>
  <conditionalFormatting sqref="F67">
    <cfRule type="cellIs" dxfId="456" priority="221" stopIfTrue="1" operator="equal">
      <formula>"E7"</formula>
    </cfRule>
    <cfRule type="cellIs" dxfId="455" priority="222" stopIfTrue="1" operator="equal">
      <formula>"E7A"</formula>
    </cfRule>
  </conditionalFormatting>
  <conditionalFormatting sqref="F13">
    <cfRule type="cellIs" dxfId="454" priority="217" stopIfTrue="1" operator="equal">
      <formula>"E7"</formula>
    </cfRule>
    <cfRule type="cellIs" dxfId="453" priority="218" stopIfTrue="1" operator="equal">
      <formula>"E7A"</formula>
    </cfRule>
  </conditionalFormatting>
  <conditionalFormatting sqref="F64">
    <cfRule type="cellIs" dxfId="452" priority="219" stopIfTrue="1" operator="equal">
      <formula>"E7"</formula>
    </cfRule>
    <cfRule type="cellIs" dxfId="451" priority="220" stopIfTrue="1" operator="equal">
      <formula>"E7A"</formula>
    </cfRule>
  </conditionalFormatting>
  <conditionalFormatting sqref="F28">
    <cfRule type="cellIs" dxfId="450" priority="215" stopIfTrue="1" operator="equal">
      <formula>"E7"</formula>
    </cfRule>
    <cfRule type="cellIs" dxfId="449" priority="216" stopIfTrue="1" operator="equal">
      <formula>"E7A"</formula>
    </cfRule>
  </conditionalFormatting>
  <conditionalFormatting sqref="F70">
    <cfRule type="cellIs" dxfId="448" priority="213" stopIfTrue="1" operator="equal">
      <formula>"E7"</formula>
    </cfRule>
    <cfRule type="cellIs" dxfId="447" priority="214" stopIfTrue="1" operator="equal">
      <formula>"E7A"</formula>
    </cfRule>
  </conditionalFormatting>
  <conditionalFormatting sqref="B7 B16 B94 B19 B22 B25 B97:B99">
    <cfRule type="expression" dxfId="446" priority="212">
      <formula>$B7="A"</formula>
    </cfRule>
  </conditionalFormatting>
  <conditionalFormatting sqref="B10 B28 B64 B13 B67 B70">
    <cfRule type="expression" dxfId="445" priority="211">
      <formula>$B10="A"</formula>
    </cfRule>
  </conditionalFormatting>
  <conditionalFormatting sqref="H6 DK6:DM6 DO6:FP6">
    <cfRule type="expression" dxfId="444" priority="190">
      <formula>H296=0</formula>
    </cfRule>
  </conditionalFormatting>
  <conditionalFormatting sqref="F94">
    <cfRule type="cellIs" dxfId="443" priority="209" stopIfTrue="1" operator="equal">
      <formula>"E7"</formula>
    </cfRule>
    <cfRule type="cellIs" dxfId="442" priority="210" stopIfTrue="1" operator="equal">
      <formula>"E7A"</formula>
    </cfRule>
  </conditionalFormatting>
  <conditionalFormatting sqref="F97">
    <cfRule type="cellIs" dxfId="441" priority="207" stopIfTrue="1" operator="equal">
      <formula>"E7"</formula>
    </cfRule>
    <cfRule type="cellIs" dxfId="440" priority="208" stopIfTrue="1" operator="equal">
      <formula>"E7A"</formula>
    </cfRule>
  </conditionalFormatting>
  <conditionalFormatting sqref="B73">
    <cfRule type="expression" dxfId="439" priority="206">
      <formula>$B73="A"</formula>
    </cfRule>
  </conditionalFormatting>
  <conditionalFormatting sqref="F73">
    <cfRule type="cellIs" dxfId="438" priority="204" stopIfTrue="1" operator="equal">
      <formula>"E7"</formula>
    </cfRule>
    <cfRule type="cellIs" dxfId="437" priority="205" stopIfTrue="1" operator="equal">
      <formula>"E7A"</formula>
    </cfRule>
  </conditionalFormatting>
  <conditionalFormatting sqref="F85">
    <cfRule type="cellIs" dxfId="436" priority="202" stopIfTrue="1" operator="equal">
      <formula>"E7"</formula>
    </cfRule>
    <cfRule type="cellIs" dxfId="435" priority="203" stopIfTrue="1" operator="equal">
      <formula>"E7A"</formula>
    </cfRule>
  </conditionalFormatting>
  <conditionalFormatting sqref="F88">
    <cfRule type="cellIs" dxfId="434" priority="200" stopIfTrue="1" operator="equal">
      <formula>"E7"</formula>
    </cfRule>
    <cfRule type="cellIs" dxfId="433" priority="201" stopIfTrue="1" operator="equal">
      <formula>"E7A"</formula>
    </cfRule>
  </conditionalFormatting>
  <conditionalFormatting sqref="F91">
    <cfRule type="cellIs" dxfId="432" priority="198" stopIfTrue="1" operator="equal">
      <formula>"E7"</formula>
    </cfRule>
    <cfRule type="cellIs" dxfId="431" priority="199" stopIfTrue="1" operator="equal">
      <formula>"E7A"</formula>
    </cfRule>
  </conditionalFormatting>
  <conditionalFormatting sqref="B76 B79 B82 B85 B88 B91">
    <cfRule type="expression" dxfId="430" priority="197">
      <formula>$B76="A"</formula>
    </cfRule>
  </conditionalFormatting>
  <conditionalFormatting sqref="F76">
    <cfRule type="cellIs" dxfId="429" priority="195" stopIfTrue="1" operator="equal">
      <formula>"E7"</formula>
    </cfRule>
    <cfRule type="cellIs" dxfId="428" priority="196" stopIfTrue="1" operator="equal">
      <formula>"E7A"</formula>
    </cfRule>
  </conditionalFormatting>
  <conditionalFormatting sqref="F79">
    <cfRule type="cellIs" dxfId="427" priority="193" stopIfTrue="1" operator="equal">
      <formula>"E7"</formula>
    </cfRule>
    <cfRule type="cellIs" dxfId="426" priority="194" stopIfTrue="1" operator="equal">
      <formula>"E7A"</formula>
    </cfRule>
  </conditionalFormatting>
  <conditionalFormatting sqref="F82">
    <cfRule type="cellIs" dxfId="425" priority="191" stopIfTrue="1" operator="equal">
      <formula>"E7"</formula>
    </cfRule>
    <cfRule type="cellIs" dxfId="424" priority="192" stopIfTrue="1" operator="equal">
      <formula>"E7A"</formula>
    </cfRule>
  </conditionalFormatting>
  <conditionalFormatting sqref="I6:BS6 BU6 BW6:BX6 CD6:CE6 CG6:CP6 CR6:CW6 CY6:DH6 DJ6 CA6:CB6">
    <cfRule type="expression" dxfId="423" priority="189">
      <formula>I296=0</formula>
    </cfRule>
  </conditionalFormatting>
  <conditionalFormatting sqref="H1:BS1 BU1 BW1:BX1 CD1:CE1 CG1:CP1 CR1:CW1 CY1:DH1 DJ1 DL1:DM1 CA1:CB1 DO1:EK1">
    <cfRule type="duplicateValues" dxfId="422" priority="188"/>
  </conditionalFormatting>
  <conditionalFormatting sqref="I1:K1">
    <cfRule type="duplicateValues" dxfId="421" priority="187"/>
  </conditionalFormatting>
  <conditionalFormatting sqref="O1">
    <cfRule type="duplicateValues" dxfId="420" priority="186"/>
  </conditionalFormatting>
  <conditionalFormatting sqref="F22">
    <cfRule type="cellIs" dxfId="419" priority="184" stopIfTrue="1" operator="equal">
      <formula>"E7"</formula>
    </cfRule>
    <cfRule type="cellIs" dxfId="418" priority="185" stopIfTrue="1" operator="equal">
      <formula>"E7A"</formula>
    </cfRule>
  </conditionalFormatting>
  <conditionalFormatting sqref="F19">
    <cfRule type="cellIs" dxfId="417" priority="182" stopIfTrue="1" operator="equal">
      <formula>"E7"</formula>
    </cfRule>
    <cfRule type="cellIs" dxfId="416" priority="183" stopIfTrue="1" operator="equal">
      <formula>"E7A"</formula>
    </cfRule>
  </conditionalFormatting>
  <conditionalFormatting sqref="F16">
    <cfRule type="cellIs" dxfId="415" priority="180" stopIfTrue="1" operator="equal">
      <formula>"E7"</formula>
    </cfRule>
    <cfRule type="cellIs" dxfId="414" priority="181" stopIfTrue="1" operator="equal">
      <formula>"E7A"</formula>
    </cfRule>
  </conditionalFormatting>
  <conditionalFormatting sqref="F25">
    <cfRule type="cellIs" dxfId="413" priority="178" stopIfTrue="1" operator="equal">
      <formula>"E7"</formula>
    </cfRule>
    <cfRule type="cellIs" dxfId="412" priority="179" stopIfTrue="1" operator="equal">
      <formula>"E7A"</formula>
    </cfRule>
  </conditionalFormatting>
  <conditionalFormatting sqref="H4">
    <cfRule type="duplicateValues" dxfId="411" priority="177"/>
  </conditionalFormatting>
  <conditionalFormatting sqref="I4:BS4 BU4 BW4:BX4 CD4:CE4 CG4:CP4 CR4:CW4 CY4:DH4 DJ4 DL4:DM4 CA4:CB4 DO4:EK4">
    <cfRule type="duplicateValues" dxfId="410" priority="176"/>
  </conditionalFormatting>
  <conditionalFormatting sqref="F98">
    <cfRule type="cellIs" dxfId="409" priority="174" stopIfTrue="1" operator="equal">
      <formula>"E7"</formula>
    </cfRule>
    <cfRule type="cellIs" dxfId="408" priority="175" stopIfTrue="1" operator="equal">
      <formula>"E7A"</formula>
    </cfRule>
  </conditionalFormatting>
  <conditionalFormatting sqref="F61">
    <cfRule type="cellIs" dxfId="407" priority="172" stopIfTrue="1" operator="equal">
      <formula>"E7"</formula>
    </cfRule>
    <cfRule type="cellIs" dxfId="406" priority="173" stopIfTrue="1" operator="equal">
      <formula>"E7A"</formula>
    </cfRule>
  </conditionalFormatting>
  <conditionalFormatting sqref="B61">
    <cfRule type="expression" dxfId="405" priority="171">
      <formula>$B61="A"</formula>
    </cfRule>
  </conditionalFormatting>
  <conditionalFormatting sqref="F37">
    <cfRule type="cellIs" dxfId="404" priority="169" stopIfTrue="1" operator="equal">
      <formula>"E7"</formula>
    </cfRule>
    <cfRule type="cellIs" dxfId="403" priority="170" stopIfTrue="1" operator="equal">
      <formula>"E7A"</formula>
    </cfRule>
  </conditionalFormatting>
  <conditionalFormatting sqref="F34">
    <cfRule type="cellIs" dxfId="402" priority="167" stopIfTrue="1" operator="equal">
      <formula>"E7"</formula>
    </cfRule>
    <cfRule type="cellIs" dxfId="401" priority="168" stopIfTrue="1" operator="equal">
      <formula>"E7A"</formula>
    </cfRule>
  </conditionalFormatting>
  <conditionalFormatting sqref="F31">
    <cfRule type="cellIs" dxfId="400" priority="165" stopIfTrue="1" operator="equal">
      <formula>"E7"</formula>
    </cfRule>
    <cfRule type="cellIs" dxfId="399" priority="166" stopIfTrue="1" operator="equal">
      <formula>"E7A"</formula>
    </cfRule>
  </conditionalFormatting>
  <conditionalFormatting sqref="F40">
    <cfRule type="cellIs" dxfId="398" priority="163" stopIfTrue="1" operator="equal">
      <formula>"E7"</formula>
    </cfRule>
    <cfRule type="cellIs" dxfId="397" priority="164" stopIfTrue="1" operator="equal">
      <formula>"E7A"</formula>
    </cfRule>
  </conditionalFormatting>
  <conditionalFormatting sqref="B31 B34 B37 B40">
    <cfRule type="expression" dxfId="396" priority="162">
      <formula>$B31="A"</formula>
    </cfRule>
  </conditionalFormatting>
  <conditionalFormatting sqref="B43">
    <cfRule type="expression" dxfId="395" priority="161">
      <formula>$B43="A"</formula>
    </cfRule>
  </conditionalFormatting>
  <conditionalFormatting sqref="F43">
    <cfRule type="cellIs" dxfId="394" priority="159" stopIfTrue="1" operator="equal">
      <formula>"E7"</formula>
    </cfRule>
    <cfRule type="cellIs" dxfId="393" priority="160" stopIfTrue="1" operator="equal">
      <formula>"E7A"</formula>
    </cfRule>
  </conditionalFormatting>
  <conditionalFormatting sqref="F55">
    <cfRule type="cellIs" dxfId="392" priority="157" stopIfTrue="1" operator="equal">
      <formula>"E7"</formula>
    </cfRule>
    <cfRule type="cellIs" dxfId="391" priority="158" stopIfTrue="1" operator="equal">
      <formula>"E7A"</formula>
    </cfRule>
  </conditionalFormatting>
  <conditionalFormatting sqref="F58">
    <cfRule type="cellIs" dxfId="390" priority="155" stopIfTrue="1" operator="equal">
      <formula>"E7"</formula>
    </cfRule>
    <cfRule type="cellIs" dxfId="389" priority="156" stopIfTrue="1" operator="equal">
      <formula>"E7A"</formula>
    </cfRule>
  </conditionalFormatting>
  <conditionalFormatting sqref="B46 B49 B52 B55 B58">
    <cfRule type="expression" dxfId="388" priority="154">
      <formula>$B46="A"</formula>
    </cfRule>
  </conditionalFormatting>
  <conditionalFormatting sqref="F46">
    <cfRule type="cellIs" dxfId="387" priority="152" stopIfTrue="1" operator="equal">
      <formula>"E7"</formula>
    </cfRule>
    <cfRule type="cellIs" dxfId="386" priority="153" stopIfTrue="1" operator="equal">
      <formula>"E7A"</formula>
    </cfRule>
  </conditionalFormatting>
  <conditionalFormatting sqref="F49">
    <cfRule type="cellIs" dxfId="385" priority="150" stopIfTrue="1" operator="equal">
      <formula>"E7"</formula>
    </cfRule>
    <cfRule type="cellIs" dxfId="384" priority="151" stopIfTrue="1" operator="equal">
      <formula>"E7A"</formula>
    </cfRule>
  </conditionalFormatting>
  <conditionalFormatting sqref="F52">
    <cfRule type="cellIs" dxfId="383" priority="148" stopIfTrue="1" operator="equal">
      <formula>"E7"</formula>
    </cfRule>
    <cfRule type="cellIs" dxfId="382" priority="149" stopIfTrue="1" operator="equal">
      <formula>"E7A"</formula>
    </cfRule>
  </conditionalFormatting>
  <conditionalFormatting sqref="EL1:FJ1 FM1:FN1 FP1">
    <cfRule type="duplicateValues" dxfId="381" priority="231"/>
  </conditionalFormatting>
  <conditionalFormatting sqref="EL4:FP4">
    <cfRule type="duplicateValues" dxfId="380" priority="232"/>
  </conditionalFormatting>
  <conditionalFormatting sqref="FK1">
    <cfRule type="duplicateValues" dxfId="379" priority="147"/>
  </conditionalFormatting>
  <conditionalFormatting sqref="FL1">
    <cfRule type="duplicateValues" dxfId="378" priority="146"/>
  </conditionalFormatting>
  <conditionalFormatting sqref="FO1">
    <cfRule type="duplicateValues" dxfId="377" priority="145"/>
  </conditionalFormatting>
  <conditionalFormatting sqref="F8:F9">
    <cfRule type="cellIs" dxfId="376" priority="143" stopIfTrue="1" operator="equal">
      <formula>"E7"</formula>
    </cfRule>
    <cfRule type="cellIs" dxfId="375" priority="144" stopIfTrue="1" operator="equal">
      <formula>"E7A"</formula>
    </cfRule>
  </conditionalFormatting>
  <conditionalFormatting sqref="B8:B9">
    <cfRule type="expression" dxfId="374" priority="142">
      <formula>$B8="A"</formula>
    </cfRule>
  </conditionalFormatting>
  <conditionalFormatting sqref="F11:F12">
    <cfRule type="cellIs" dxfId="373" priority="140" stopIfTrue="1" operator="equal">
      <formula>"E7"</formula>
    </cfRule>
    <cfRule type="cellIs" dxfId="372" priority="141" stopIfTrue="1" operator="equal">
      <formula>"E7A"</formula>
    </cfRule>
  </conditionalFormatting>
  <conditionalFormatting sqref="B11:B12">
    <cfRule type="expression" dxfId="371" priority="139">
      <formula>$B11="A"</formula>
    </cfRule>
  </conditionalFormatting>
  <conditionalFormatting sqref="F14:F15">
    <cfRule type="cellIs" dxfId="370" priority="137" stopIfTrue="1" operator="equal">
      <formula>"E7"</formula>
    </cfRule>
    <cfRule type="cellIs" dxfId="369" priority="138" stopIfTrue="1" operator="equal">
      <formula>"E7A"</formula>
    </cfRule>
  </conditionalFormatting>
  <conditionalFormatting sqref="B14:B15">
    <cfRule type="expression" dxfId="368" priority="136">
      <formula>$B14="A"</formula>
    </cfRule>
  </conditionalFormatting>
  <conditionalFormatting sqref="B17:B18">
    <cfRule type="expression" dxfId="367" priority="135">
      <formula>$B17="A"</formula>
    </cfRule>
  </conditionalFormatting>
  <conditionalFormatting sqref="F17:F18">
    <cfRule type="cellIs" dxfId="366" priority="133" stopIfTrue="1" operator="equal">
      <formula>"E7"</formula>
    </cfRule>
    <cfRule type="cellIs" dxfId="365" priority="134" stopIfTrue="1" operator="equal">
      <formula>"E7A"</formula>
    </cfRule>
  </conditionalFormatting>
  <conditionalFormatting sqref="B20:B21">
    <cfRule type="expression" dxfId="364" priority="132">
      <formula>$B20="A"</formula>
    </cfRule>
  </conditionalFormatting>
  <conditionalFormatting sqref="F20:F21">
    <cfRule type="cellIs" dxfId="363" priority="130" stopIfTrue="1" operator="equal">
      <formula>"E7"</formula>
    </cfRule>
    <cfRule type="cellIs" dxfId="362" priority="131" stopIfTrue="1" operator="equal">
      <formula>"E7A"</formula>
    </cfRule>
  </conditionalFormatting>
  <conditionalFormatting sqref="B23:B24">
    <cfRule type="expression" dxfId="361" priority="129">
      <formula>$B23="A"</formula>
    </cfRule>
  </conditionalFormatting>
  <conditionalFormatting sqref="F23:F24">
    <cfRule type="cellIs" dxfId="360" priority="127" stopIfTrue="1" operator="equal">
      <formula>"E7"</formula>
    </cfRule>
    <cfRule type="cellIs" dxfId="359" priority="128" stopIfTrue="1" operator="equal">
      <formula>"E7A"</formula>
    </cfRule>
  </conditionalFormatting>
  <conditionalFormatting sqref="B26:B27">
    <cfRule type="expression" dxfId="358" priority="126">
      <formula>$B26="A"</formula>
    </cfRule>
  </conditionalFormatting>
  <conditionalFormatting sqref="F26:F27">
    <cfRule type="cellIs" dxfId="357" priority="124" stopIfTrue="1" operator="equal">
      <formula>"E7"</formula>
    </cfRule>
    <cfRule type="cellIs" dxfId="356" priority="125" stopIfTrue="1" operator="equal">
      <formula>"E7A"</formula>
    </cfRule>
  </conditionalFormatting>
  <conditionalFormatting sqref="F29:F30">
    <cfRule type="cellIs" dxfId="355" priority="122" stopIfTrue="1" operator="equal">
      <formula>"E7"</formula>
    </cfRule>
    <cfRule type="cellIs" dxfId="354" priority="123" stopIfTrue="1" operator="equal">
      <formula>"E7A"</formula>
    </cfRule>
  </conditionalFormatting>
  <conditionalFormatting sqref="B29:B30">
    <cfRule type="expression" dxfId="353" priority="121">
      <formula>$B29="A"</formula>
    </cfRule>
  </conditionalFormatting>
  <conditionalFormatting sqref="F32:F33">
    <cfRule type="cellIs" dxfId="352" priority="119" stopIfTrue="1" operator="equal">
      <formula>"E7"</formula>
    </cfRule>
    <cfRule type="cellIs" dxfId="351" priority="120" stopIfTrue="1" operator="equal">
      <formula>"E7A"</formula>
    </cfRule>
  </conditionalFormatting>
  <conditionalFormatting sqref="B32:B33">
    <cfRule type="expression" dxfId="350" priority="118">
      <formula>$B32="A"</formula>
    </cfRule>
  </conditionalFormatting>
  <conditionalFormatting sqref="F35:F36">
    <cfRule type="cellIs" dxfId="349" priority="116" stopIfTrue="1" operator="equal">
      <formula>"E7"</formula>
    </cfRule>
    <cfRule type="cellIs" dxfId="348" priority="117" stopIfTrue="1" operator="equal">
      <formula>"E7A"</formula>
    </cfRule>
  </conditionalFormatting>
  <conditionalFormatting sqref="B35:B36">
    <cfRule type="expression" dxfId="347" priority="115">
      <formula>$B35="A"</formula>
    </cfRule>
  </conditionalFormatting>
  <conditionalFormatting sqref="F38:F39">
    <cfRule type="cellIs" dxfId="346" priority="113" stopIfTrue="1" operator="equal">
      <formula>"E7"</formula>
    </cfRule>
    <cfRule type="cellIs" dxfId="345" priority="114" stopIfTrue="1" operator="equal">
      <formula>"E7A"</formula>
    </cfRule>
  </conditionalFormatting>
  <conditionalFormatting sqref="B38:B39">
    <cfRule type="expression" dxfId="344" priority="112">
      <formula>$B38="A"</formula>
    </cfRule>
  </conditionalFormatting>
  <conditionalFormatting sqref="F41:F42">
    <cfRule type="cellIs" dxfId="343" priority="110" stopIfTrue="1" operator="equal">
      <formula>"E7"</formula>
    </cfRule>
    <cfRule type="cellIs" dxfId="342" priority="111" stopIfTrue="1" operator="equal">
      <formula>"E7A"</formula>
    </cfRule>
  </conditionalFormatting>
  <conditionalFormatting sqref="B41:B42">
    <cfRule type="expression" dxfId="341" priority="109">
      <formula>$B41="A"</formula>
    </cfRule>
  </conditionalFormatting>
  <conditionalFormatting sqref="B44:B45">
    <cfRule type="expression" dxfId="340" priority="108">
      <formula>$B44="A"</formula>
    </cfRule>
  </conditionalFormatting>
  <conditionalFormatting sqref="F44:F45">
    <cfRule type="cellIs" dxfId="339" priority="106" stopIfTrue="1" operator="equal">
      <formula>"E7"</formula>
    </cfRule>
    <cfRule type="cellIs" dxfId="338" priority="107" stopIfTrue="1" operator="equal">
      <formula>"E7A"</formula>
    </cfRule>
  </conditionalFormatting>
  <conditionalFormatting sqref="B47:B48">
    <cfRule type="expression" dxfId="337" priority="105">
      <formula>$B47="A"</formula>
    </cfRule>
  </conditionalFormatting>
  <conditionalFormatting sqref="F47:F48">
    <cfRule type="cellIs" dxfId="336" priority="103" stopIfTrue="1" operator="equal">
      <formula>"E7"</formula>
    </cfRule>
    <cfRule type="cellIs" dxfId="335" priority="104" stopIfTrue="1" operator="equal">
      <formula>"E7A"</formula>
    </cfRule>
  </conditionalFormatting>
  <conditionalFormatting sqref="B50:B51">
    <cfRule type="expression" dxfId="334" priority="102">
      <formula>$B50="A"</formula>
    </cfRule>
  </conditionalFormatting>
  <conditionalFormatting sqref="F50:F51">
    <cfRule type="cellIs" dxfId="333" priority="100" stopIfTrue="1" operator="equal">
      <formula>"E7"</formula>
    </cfRule>
    <cfRule type="cellIs" dxfId="332" priority="101" stopIfTrue="1" operator="equal">
      <formula>"E7A"</formula>
    </cfRule>
  </conditionalFormatting>
  <conditionalFormatting sqref="B53:B54">
    <cfRule type="expression" dxfId="331" priority="99">
      <formula>$B53="A"</formula>
    </cfRule>
  </conditionalFormatting>
  <conditionalFormatting sqref="F53:F54">
    <cfRule type="cellIs" dxfId="330" priority="97" stopIfTrue="1" operator="equal">
      <formula>"E7"</formula>
    </cfRule>
    <cfRule type="cellIs" dxfId="329" priority="98" stopIfTrue="1" operator="equal">
      <formula>"E7A"</formula>
    </cfRule>
  </conditionalFormatting>
  <conditionalFormatting sqref="F56:F57">
    <cfRule type="cellIs" dxfId="328" priority="95" stopIfTrue="1" operator="equal">
      <formula>"E7"</formula>
    </cfRule>
    <cfRule type="cellIs" dxfId="327" priority="96" stopIfTrue="1" operator="equal">
      <formula>"E7A"</formula>
    </cfRule>
  </conditionalFormatting>
  <conditionalFormatting sqref="B56:B57">
    <cfRule type="expression" dxfId="326" priority="94">
      <formula>$B56="A"</formula>
    </cfRule>
  </conditionalFormatting>
  <conditionalFormatting sqref="F59:F60">
    <cfRule type="cellIs" dxfId="325" priority="92" stopIfTrue="1" operator="equal">
      <formula>"E7"</formula>
    </cfRule>
    <cfRule type="cellIs" dxfId="324" priority="93" stopIfTrue="1" operator="equal">
      <formula>"E7A"</formula>
    </cfRule>
  </conditionalFormatting>
  <conditionalFormatting sqref="B59:B60">
    <cfRule type="expression" dxfId="323" priority="91">
      <formula>$B59="A"</formula>
    </cfRule>
  </conditionalFormatting>
  <conditionalFormatting sqref="F62:F63">
    <cfRule type="cellIs" dxfId="322" priority="89" stopIfTrue="1" operator="equal">
      <formula>"E7"</formula>
    </cfRule>
    <cfRule type="cellIs" dxfId="321" priority="90" stopIfTrue="1" operator="equal">
      <formula>"E7A"</formula>
    </cfRule>
  </conditionalFormatting>
  <conditionalFormatting sqref="B62:B63">
    <cfRule type="expression" dxfId="320" priority="88">
      <formula>$B62="A"</formula>
    </cfRule>
  </conditionalFormatting>
  <conditionalFormatting sqref="F65:F66">
    <cfRule type="cellIs" dxfId="319" priority="86" stopIfTrue="1" operator="equal">
      <formula>"E7"</formula>
    </cfRule>
    <cfRule type="cellIs" dxfId="318" priority="87" stopIfTrue="1" operator="equal">
      <formula>"E7A"</formula>
    </cfRule>
  </conditionalFormatting>
  <conditionalFormatting sqref="B65:B66">
    <cfRule type="expression" dxfId="317" priority="85">
      <formula>$B65="A"</formula>
    </cfRule>
  </conditionalFormatting>
  <conditionalFormatting sqref="F68:F69">
    <cfRule type="cellIs" dxfId="316" priority="83" stopIfTrue="1" operator="equal">
      <formula>"E7"</formula>
    </cfRule>
    <cfRule type="cellIs" dxfId="315" priority="84" stopIfTrue="1" operator="equal">
      <formula>"E7A"</formula>
    </cfRule>
  </conditionalFormatting>
  <conditionalFormatting sqref="B68:B69">
    <cfRule type="expression" dxfId="314" priority="82">
      <formula>$B68="A"</formula>
    </cfRule>
  </conditionalFormatting>
  <conditionalFormatting sqref="F71:F72">
    <cfRule type="cellIs" dxfId="313" priority="80" stopIfTrue="1" operator="equal">
      <formula>"E7"</formula>
    </cfRule>
    <cfRule type="cellIs" dxfId="312" priority="81" stopIfTrue="1" operator="equal">
      <formula>"E7A"</formula>
    </cfRule>
  </conditionalFormatting>
  <conditionalFormatting sqref="B71:B72">
    <cfRule type="expression" dxfId="311" priority="79">
      <formula>$B71="A"</formula>
    </cfRule>
  </conditionalFormatting>
  <conditionalFormatting sqref="B74:B75">
    <cfRule type="expression" dxfId="310" priority="78">
      <formula>$B74="A"</formula>
    </cfRule>
  </conditionalFormatting>
  <conditionalFormatting sqref="F74:F75">
    <cfRule type="cellIs" dxfId="309" priority="76" stopIfTrue="1" operator="equal">
      <formula>"E7"</formula>
    </cfRule>
    <cfRule type="cellIs" dxfId="308" priority="77" stopIfTrue="1" operator="equal">
      <formula>"E7A"</formula>
    </cfRule>
  </conditionalFormatting>
  <conditionalFormatting sqref="B77:B78">
    <cfRule type="expression" dxfId="307" priority="75">
      <formula>$B77="A"</formula>
    </cfRule>
  </conditionalFormatting>
  <conditionalFormatting sqref="F77:F78">
    <cfRule type="cellIs" dxfId="306" priority="73" stopIfTrue="1" operator="equal">
      <formula>"E7"</formula>
    </cfRule>
    <cfRule type="cellIs" dxfId="305" priority="74" stopIfTrue="1" operator="equal">
      <formula>"E7A"</formula>
    </cfRule>
  </conditionalFormatting>
  <conditionalFormatting sqref="B80:B81">
    <cfRule type="expression" dxfId="304" priority="72">
      <formula>$B80="A"</formula>
    </cfRule>
  </conditionalFormatting>
  <conditionalFormatting sqref="F80:F81">
    <cfRule type="cellIs" dxfId="303" priority="70" stopIfTrue="1" operator="equal">
      <formula>"E7"</formula>
    </cfRule>
    <cfRule type="cellIs" dxfId="302" priority="71" stopIfTrue="1" operator="equal">
      <formula>"E7A"</formula>
    </cfRule>
  </conditionalFormatting>
  <conditionalFormatting sqref="B83:B84">
    <cfRule type="expression" dxfId="301" priority="69">
      <formula>$B83="A"</formula>
    </cfRule>
  </conditionalFormatting>
  <conditionalFormatting sqref="F83:F84">
    <cfRule type="cellIs" dxfId="300" priority="67" stopIfTrue="1" operator="equal">
      <formula>"E7"</formula>
    </cfRule>
    <cfRule type="cellIs" dxfId="299" priority="68" stopIfTrue="1" operator="equal">
      <formula>"E7A"</formula>
    </cfRule>
  </conditionalFormatting>
  <conditionalFormatting sqref="F86:F87">
    <cfRule type="cellIs" dxfId="298" priority="65" stopIfTrue="1" operator="equal">
      <formula>"E7"</formula>
    </cfRule>
    <cfRule type="cellIs" dxfId="297" priority="66" stopIfTrue="1" operator="equal">
      <formula>"E7A"</formula>
    </cfRule>
  </conditionalFormatting>
  <conditionalFormatting sqref="B86:B87">
    <cfRule type="expression" dxfId="296" priority="64">
      <formula>$B86="A"</formula>
    </cfRule>
  </conditionalFormatting>
  <conditionalFormatting sqref="F89:F90">
    <cfRule type="cellIs" dxfId="295" priority="62" stopIfTrue="1" operator="equal">
      <formula>"E7"</formula>
    </cfRule>
    <cfRule type="cellIs" dxfId="294" priority="63" stopIfTrue="1" operator="equal">
      <formula>"E7A"</formula>
    </cfRule>
  </conditionalFormatting>
  <conditionalFormatting sqref="B89:B90">
    <cfRule type="expression" dxfId="293" priority="61">
      <formula>$B89="A"</formula>
    </cfRule>
  </conditionalFormatting>
  <conditionalFormatting sqref="F92:F93">
    <cfRule type="cellIs" dxfId="292" priority="59" stopIfTrue="1" operator="equal">
      <formula>"E7"</formula>
    </cfRule>
    <cfRule type="cellIs" dxfId="291" priority="60" stopIfTrue="1" operator="equal">
      <formula>"E7A"</formula>
    </cfRule>
  </conditionalFormatting>
  <conditionalFormatting sqref="B92:B93">
    <cfRule type="expression" dxfId="290" priority="58">
      <formula>$B92="A"</formula>
    </cfRule>
  </conditionalFormatting>
  <conditionalFormatting sqref="B95:B96">
    <cfRule type="expression" dxfId="289" priority="57">
      <formula>$B95="A"</formula>
    </cfRule>
  </conditionalFormatting>
  <conditionalFormatting sqref="F95:F96">
    <cfRule type="cellIs" dxfId="288" priority="55" stopIfTrue="1" operator="equal">
      <formula>"E7"</formula>
    </cfRule>
    <cfRule type="cellIs" dxfId="287" priority="56" stopIfTrue="1" operator="equal">
      <formula>"E7A"</formula>
    </cfRule>
  </conditionalFormatting>
  <conditionalFormatting sqref="H6">
    <cfRule type="expression" dxfId="286" priority="233">
      <formula>H$297&gt;0</formula>
    </cfRule>
    <cfRule type="duplicateValues" dxfId="285" priority="234"/>
  </conditionalFormatting>
  <conditionalFormatting sqref="EL6:FP6">
    <cfRule type="expression" dxfId="284" priority="235">
      <formula>EL$297&gt;0</formula>
    </cfRule>
    <cfRule type="duplicateValues" dxfId="283" priority="236"/>
  </conditionalFormatting>
  <conditionalFormatting sqref="BT6">
    <cfRule type="expression" dxfId="282" priority="52">
      <formula>BT296=0</formula>
    </cfRule>
  </conditionalFormatting>
  <conditionalFormatting sqref="BT1">
    <cfRule type="duplicateValues" dxfId="281" priority="51"/>
  </conditionalFormatting>
  <conditionalFormatting sqref="BT4">
    <cfRule type="duplicateValues" dxfId="280" priority="50"/>
  </conditionalFormatting>
  <conditionalFormatting sqref="BT6">
    <cfRule type="expression" dxfId="279" priority="53">
      <formula>BT$297&gt;0</formula>
    </cfRule>
    <cfRule type="duplicateValues" dxfId="278" priority="54"/>
  </conditionalFormatting>
  <conditionalFormatting sqref="BV6">
    <cfRule type="expression" dxfId="277" priority="47">
      <formula>BV296=0</formula>
    </cfRule>
  </conditionalFormatting>
  <conditionalFormatting sqref="BV1">
    <cfRule type="duplicateValues" dxfId="276" priority="46"/>
  </conditionalFormatting>
  <conditionalFormatting sqref="BV4">
    <cfRule type="duplicateValues" dxfId="275" priority="45"/>
  </conditionalFormatting>
  <conditionalFormatting sqref="BV6">
    <cfRule type="expression" dxfId="274" priority="48">
      <formula>BV$297&gt;0</formula>
    </cfRule>
    <cfRule type="duplicateValues" dxfId="273" priority="49"/>
  </conditionalFormatting>
  <conditionalFormatting sqref="CC6">
    <cfRule type="expression" dxfId="272" priority="42">
      <formula>CC296=0</formula>
    </cfRule>
  </conditionalFormatting>
  <conditionalFormatting sqref="CC1">
    <cfRule type="duplicateValues" dxfId="271" priority="41"/>
  </conditionalFormatting>
  <conditionalFormatting sqref="CC4">
    <cfRule type="duplicateValues" dxfId="270" priority="40"/>
  </conditionalFormatting>
  <conditionalFormatting sqref="CC6">
    <cfRule type="expression" dxfId="269" priority="43">
      <formula>CC$297&gt;0</formula>
    </cfRule>
    <cfRule type="duplicateValues" dxfId="268" priority="44"/>
  </conditionalFormatting>
  <conditionalFormatting sqref="CF6">
    <cfRule type="expression" dxfId="267" priority="37">
      <formula>CF296=0</formula>
    </cfRule>
  </conditionalFormatting>
  <conditionalFormatting sqref="CF1">
    <cfRule type="duplicateValues" dxfId="266" priority="36"/>
  </conditionalFormatting>
  <conditionalFormatting sqref="CF4">
    <cfRule type="duplicateValues" dxfId="265" priority="35"/>
  </conditionalFormatting>
  <conditionalFormatting sqref="CF6">
    <cfRule type="expression" dxfId="264" priority="38">
      <formula>CF$297&gt;0</formula>
    </cfRule>
    <cfRule type="duplicateValues" dxfId="263" priority="39"/>
  </conditionalFormatting>
  <conditionalFormatting sqref="CQ6">
    <cfRule type="expression" dxfId="262" priority="32">
      <formula>CQ296=0</formula>
    </cfRule>
  </conditionalFormatting>
  <conditionalFormatting sqref="CQ1">
    <cfRule type="duplicateValues" dxfId="261" priority="31"/>
  </conditionalFormatting>
  <conditionalFormatting sqref="CQ4">
    <cfRule type="duplicateValues" dxfId="260" priority="30"/>
  </conditionalFormatting>
  <conditionalFormatting sqref="CQ6">
    <cfRule type="expression" dxfId="259" priority="33">
      <formula>CQ$297&gt;0</formula>
    </cfRule>
    <cfRule type="duplicateValues" dxfId="258" priority="34"/>
  </conditionalFormatting>
  <conditionalFormatting sqref="CX6">
    <cfRule type="expression" dxfId="257" priority="27">
      <formula>CX296=0</formula>
    </cfRule>
  </conditionalFormatting>
  <conditionalFormatting sqref="CX1">
    <cfRule type="duplicateValues" dxfId="256" priority="26"/>
  </conditionalFormatting>
  <conditionalFormatting sqref="CX4">
    <cfRule type="duplicateValues" dxfId="255" priority="25"/>
  </conditionalFormatting>
  <conditionalFormatting sqref="CX6">
    <cfRule type="expression" dxfId="254" priority="28">
      <formula>CX$297&gt;0</formula>
    </cfRule>
    <cfRule type="duplicateValues" dxfId="253" priority="29"/>
  </conditionalFormatting>
  <conditionalFormatting sqref="DI6">
    <cfRule type="expression" dxfId="252" priority="22">
      <formula>DI296=0</formula>
    </cfRule>
  </conditionalFormatting>
  <conditionalFormatting sqref="DI1">
    <cfRule type="duplicateValues" dxfId="251" priority="21"/>
  </conditionalFormatting>
  <conditionalFormatting sqref="DI4">
    <cfRule type="duplicateValues" dxfId="250" priority="20"/>
  </conditionalFormatting>
  <conditionalFormatting sqref="DI6">
    <cfRule type="expression" dxfId="249" priority="23">
      <formula>DI$297&gt;0</formula>
    </cfRule>
    <cfRule type="duplicateValues" dxfId="248" priority="24"/>
  </conditionalFormatting>
  <conditionalFormatting sqref="DK1">
    <cfRule type="duplicateValues" dxfId="247" priority="17"/>
  </conditionalFormatting>
  <conditionalFormatting sqref="DK4">
    <cfRule type="duplicateValues" dxfId="246" priority="16"/>
  </conditionalFormatting>
  <conditionalFormatting sqref="DK6">
    <cfRule type="expression" dxfId="245" priority="18">
      <formula>DK$297&gt;0</formula>
    </cfRule>
    <cfRule type="duplicateValues" dxfId="244" priority="19"/>
  </conditionalFormatting>
  <conditionalFormatting sqref="BY6">
    <cfRule type="expression" dxfId="243" priority="13">
      <formula>BY296=0</formula>
    </cfRule>
  </conditionalFormatting>
  <conditionalFormatting sqref="BY1">
    <cfRule type="duplicateValues" dxfId="242" priority="12"/>
  </conditionalFormatting>
  <conditionalFormatting sqref="BY4">
    <cfRule type="duplicateValues" dxfId="241" priority="11"/>
  </conditionalFormatting>
  <conditionalFormatting sqref="BY6">
    <cfRule type="expression" dxfId="240" priority="14">
      <formula>BY$297&gt;0</formula>
    </cfRule>
    <cfRule type="duplicateValues" dxfId="239" priority="15"/>
  </conditionalFormatting>
  <conditionalFormatting sqref="BZ6">
    <cfRule type="expression" dxfId="238" priority="8">
      <formula>BZ296=0</formula>
    </cfRule>
  </conditionalFormatting>
  <conditionalFormatting sqref="BZ1">
    <cfRule type="duplicateValues" dxfId="237" priority="7"/>
  </conditionalFormatting>
  <conditionalFormatting sqref="BZ4">
    <cfRule type="duplicateValues" dxfId="236" priority="6"/>
  </conditionalFormatting>
  <conditionalFormatting sqref="BZ6">
    <cfRule type="expression" dxfId="235" priority="9">
      <formula>BZ$297&gt;0</formula>
    </cfRule>
    <cfRule type="duplicateValues" dxfId="234" priority="10"/>
  </conditionalFormatting>
  <conditionalFormatting sqref="I6:BS6 BU6 BW6:BX6 CD6:CE6 CG6:CP6 CR6:CW6 CY6:DH6 DJ6 DL6:DM6 CA6:CB6 DO6:EK6">
    <cfRule type="expression" dxfId="233" priority="237">
      <formula>I$297&gt;0</formula>
    </cfRule>
    <cfRule type="duplicateValues" dxfId="232" priority="238"/>
  </conditionalFormatting>
  <conditionalFormatting sqref="DN1">
    <cfRule type="duplicateValues" dxfId="231" priority="5"/>
  </conditionalFormatting>
  <conditionalFormatting sqref="DN4">
    <cfRule type="duplicateValues" dxfId="230" priority="4"/>
  </conditionalFormatting>
  <conditionalFormatting sqref="DN6">
    <cfRule type="expression" dxfId="229" priority="1">
      <formula>DN296=0</formula>
    </cfRule>
  </conditionalFormatting>
  <conditionalFormatting sqref="DN6">
    <cfRule type="expression" dxfId="228" priority="2">
      <formula>DN$297&gt;0</formula>
    </cfRule>
    <cfRule type="duplicateValues" dxfId="227" priority="3"/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FU114"/>
  <sheetViews>
    <sheetView tabSelected="1" workbookViewId="0">
      <pane xSplit="7" ySplit="6" topLeftCell="FN51" activePane="bottomRight" state="frozen"/>
      <selection pane="topRight" activeCell="H1" sqref="H1"/>
      <selection pane="bottomLeft" activeCell="A7" sqref="A7"/>
      <selection pane="bottomRight" activeCell="FS85" sqref="FS85"/>
    </sheetView>
  </sheetViews>
  <sheetFormatPr defaultColWidth="9" defaultRowHeight="10"/>
  <cols>
    <col min="1" max="1" width="9.69921875" style="92" bestFit="1" customWidth="1"/>
    <col min="2" max="2" width="13.8984375" style="92" bestFit="1" customWidth="1"/>
    <col min="3" max="4" width="9.69921875" style="92" bestFit="1" customWidth="1"/>
    <col min="5" max="5" width="15.09765625" style="92" bestFit="1" customWidth="1"/>
    <col min="6" max="6" width="10.3984375" style="92" bestFit="1" customWidth="1"/>
    <col min="7" max="7" width="12.19921875" style="92" bestFit="1" customWidth="1"/>
    <col min="8" max="8" width="15.8984375" style="92" bestFit="1" customWidth="1"/>
    <col min="9" max="9" width="19.8984375" style="92" bestFit="1" customWidth="1"/>
    <col min="10" max="10" width="22.5" style="92" bestFit="1" customWidth="1"/>
    <col min="11" max="11" width="15.8984375" style="92" bestFit="1" customWidth="1"/>
    <col min="12" max="12" width="19.8984375" style="92" bestFit="1" customWidth="1"/>
    <col min="13" max="13" width="22.5" style="92" bestFit="1" customWidth="1"/>
    <col min="14" max="14" width="24.3984375" style="92" bestFit="1" customWidth="1"/>
    <col min="15" max="15" width="13.8984375" style="92" bestFit="1" customWidth="1"/>
    <col min="16" max="16" width="20.5" style="92" bestFit="1" customWidth="1"/>
    <col min="17" max="17" width="22.5" style="92" bestFit="1" customWidth="1"/>
    <col min="18" max="18" width="24.3984375" style="92" bestFit="1" customWidth="1"/>
    <col min="19" max="19" width="15.8984375" style="92" bestFit="1" customWidth="1"/>
    <col min="20" max="20" width="22.19921875" style="92" bestFit="1" customWidth="1"/>
    <col min="21" max="21" width="24.3984375" style="92" bestFit="1" customWidth="1"/>
    <col min="22" max="22" width="20.09765625" style="92" bestFit="1" customWidth="1"/>
    <col min="23" max="23" width="22.5" style="92" bestFit="1" customWidth="1"/>
    <col min="24" max="24" width="23.09765625" style="92" bestFit="1" customWidth="1"/>
    <col min="25" max="25" width="24.3984375" style="92" bestFit="1" customWidth="1"/>
    <col min="26" max="26" width="23.19921875" style="92" bestFit="1" customWidth="1"/>
    <col min="27" max="27" width="20.09765625" style="92" bestFit="1" customWidth="1"/>
    <col min="28" max="28" width="21.8984375" style="92" bestFit="1" customWidth="1"/>
    <col min="29" max="29" width="22.5" style="92" bestFit="1" customWidth="1"/>
    <col min="30" max="30" width="23.09765625" style="92" bestFit="1" customWidth="1"/>
    <col min="31" max="31" width="24.3984375" style="92" bestFit="1" customWidth="1"/>
    <col min="32" max="32" width="23.19921875" style="92" bestFit="1" customWidth="1"/>
    <col min="33" max="33" width="20.09765625" style="92" bestFit="1" customWidth="1"/>
    <col min="34" max="34" width="21.5" style="92" bestFit="1" customWidth="1"/>
    <col min="35" max="35" width="22.19921875" style="92" bestFit="1" customWidth="1"/>
    <col min="36" max="36" width="23.5" style="92" bestFit="1" customWidth="1"/>
    <col min="37" max="37" width="22.3984375" style="92" bestFit="1" customWidth="1"/>
    <col min="38" max="38" width="19.09765625" style="92" bestFit="1" customWidth="1"/>
    <col min="39" max="39" width="21.5" style="92" bestFit="1" customWidth="1"/>
    <col min="40" max="40" width="22.19921875" style="92" bestFit="1" customWidth="1"/>
    <col min="41" max="41" width="27.3984375" style="92" bestFit="1" customWidth="1"/>
    <col min="42" max="42" width="23.5" style="92" bestFit="1" customWidth="1"/>
    <col min="43" max="43" width="22.3984375" style="92" bestFit="1" customWidth="1"/>
    <col min="44" max="44" width="19.09765625" style="92" bestFit="1" customWidth="1"/>
    <col min="45" max="45" width="24.3984375" style="92" bestFit="1" customWidth="1"/>
    <col min="46" max="46" width="23.09765625" style="92" bestFit="1" customWidth="1"/>
    <col min="47" max="47" width="23.19921875" style="92" bestFit="1" customWidth="1"/>
    <col min="48" max="48" width="20.09765625" style="92" bestFit="1" customWidth="1"/>
    <col min="49" max="49" width="16" style="92" bestFit="1" customWidth="1"/>
    <col min="50" max="50" width="15.5" style="92" bestFit="1" customWidth="1"/>
    <col min="51" max="51" width="15.19921875" style="92" bestFit="1" customWidth="1"/>
    <col min="52" max="52" width="19.8984375" style="92" bestFit="1" customWidth="1"/>
    <col min="53" max="53" width="16" style="92" bestFit="1" customWidth="1"/>
    <col min="54" max="54" width="15.5" style="92" bestFit="1" customWidth="1"/>
    <col min="55" max="55" width="22.3984375" style="92" bestFit="1" customWidth="1"/>
    <col min="56" max="56" width="19.5" style="92" bestFit="1" customWidth="1"/>
    <col min="57" max="57" width="16.8984375" style="92" bestFit="1" customWidth="1"/>
    <col min="58" max="58" width="15.59765625" style="92" bestFit="1" customWidth="1"/>
    <col min="59" max="59" width="15.19921875" style="92" bestFit="1" customWidth="1"/>
    <col min="60" max="60" width="15.3984375" style="92" bestFit="1" customWidth="1"/>
    <col min="61" max="61" width="15" style="92" bestFit="1" customWidth="1"/>
    <col min="62" max="62" width="15.59765625" style="92" bestFit="1" customWidth="1"/>
    <col min="63" max="63" width="17.09765625" style="92" bestFit="1" customWidth="1"/>
    <col min="64" max="64" width="14.3984375" style="92" bestFit="1" customWidth="1"/>
    <col min="65" max="65" width="15.3984375" style="92" bestFit="1" customWidth="1"/>
    <col min="66" max="66" width="15" style="92" bestFit="1" customWidth="1"/>
    <col min="67" max="67" width="15.59765625" style="92" bestFit="1" customWidth="1"/>
    <col min="68" max="68" width="15.19921875" style="92" bestFit="1" customWidth="1"/>
    <col min="69" max="69" width="12.8984375" style="92" bestFit="1" customWidth="1"/>
    <col min="70" max="71" width="13.5" style="92" bestFit="1" customWidth="1"/>
    <col min="72" max="72" width="15.09765625" style="92" bestFit="1" customWidth="1"/>
    <col min="73" max="73" width="13.5" style="92" bestFit="1" customWidth="1"/>
    <col min="74" max="75" width="13.3984375" style="92" bestFit="1" customWidth="1"/>
    <col min="76" max="76" width="12" style="92" bestFit="1" customWidth="1"/>
    <col min="77" max="77" width="11.69921875" style="92" bestFit="1" customWidth="1"/>
    <col min="78" max="79" width="13.5" style="92" bestFit="1" customWidth="1"/>
    <col min="80" max="81" width="13.3984375" style="92" bestFit="1" customWidth="1"/>
    <col min="82" max="82" width="12" style="92" bestFit="1" customWidth="1"/>
    <col min="83" max="85" width="13.5" style="92" bestFit="1" customWidth="1"/>
    <col min="86" max="87" width="13.3984375" style="92" bestFit="1" customWidth="1"/>
    <col min="88" max="88" width="12" style="92" bestFit="1" customWidth="1"/>
    <col min="89" max="89" width="13.5" style="92" bestFit="1" customWidth="1"/>
    <col min="90" max="90" width="13.09765625" style="92" bestFit="1" customWidth="1"/>
    <col min="91" max="91" width="14.69921875" style="92" bestFit="1" customWidth="1"/>
    <col min="92" max="92" width="13.5" style="92" bestFit="1" customWidth="1"/>
    <col min="93" max="94" width="13.3984375" style="92" bestFit="1" customWidth="1"/>
    <col min="95" max="95" width="13.8984375" style="92" bestFit="1" customWidth="1"/>
    <col min="96" max="96" width="13.3984375" style="92" bestFit="1" customWidth="1"/>
    <col min="97" max="97" width="12.09765625" style="92" bestFit="1" customWidth="1"/>
    <col min="98" max="99" width="12" style="92" bestFit="1" customWidth="1"/>
    <col min="100" max="100" width="12.5" style="92" bestFit="1" customWidth="1"/>
    <col min="101" max="101" width="13.09765625" style="92" bestFit="1" customWidth="1"/>
    <col min="102" max="102" width="13.5" style="92" bestFit="1" customWidth="1"/>
    <col min="103" max="104" width="13.3984375" style="92" bestFit="1" customWidth="1"/>
    <col min="105" max="105" width="12" style="92" bestFit="1" customWidth="1"/>
    <col min="106" max="106" width="12.5" style="92" bestFit="1" customWidth="1"/>
    <col min="107" max="107" width="15.09765625" style="92" bestFit="1" customWidth="1"/>
    <col min="108" max="108" width="14.8984375" style="92" bestFit="1" customWidth="1"/>
    <col min="109" max="109" width="13" style="92" bestFit="1" customWidth="1"/>
    <col min="110" max="110" width="14.3984375" style="92" bestFit="1" customWidth="1"/>
    <col min="111" max="112" width="12.8984375" style="92" bestFit="1" customWidth="1"/>
    <col min="113" max="113" width="13" style="92" bestFit="1" customWidth="1"/>
    <col min="114" max="114" width="12.09765625" style="92" bestFit="1" customWidth="1"/>
    <col min="115" max="115" width="13" style="92" bestFit="1" customWidth="1"/>
    <col min="116" max="116" width="14.3984375" style="92" bestFit="1" customWidth="1"/>
    <col min="117" max="117" width="12.8984375" style="92" bestFit="1" customWidth="1"/>
    <col min="118" max="118" width="13" style="92" bestFit="1" customWidth="1"/>
    <col min="119" max="120" width="13.3984375" style="92" bestFit="1" customWidth="1"/>
    <col min="121" max="121" width="13.09765625" style="92" bestFit="1" customWidth="1"/>
    <col min="122" max="122" width="13.3984375" style="92" bestFit="1" customWidth="1"/>
    <col min="123" max="123" width="11.09765625" style="92" bestFit="1" customWidth="1"/>
    <col min="124" max="124" width="13" style="92" bestFit="1" customWidth="1"/>
    <col min="125" max="125" width="12.8984375" style="92" bestFit="1" customWidth="1"/>
    <col min="126" max="126" width="15.09765625" style="92" bestFit="1" customWidth="1"/>
    <col min="127" max="127" width="13.3984375" style="92" bestFit="1" customWidth="1"/>
    <col min="128" max="128" width="13.09765625" style="92" bestFit="1" customWidth="1"/>
    <col min="129" max="129" width="14.19921875" style="92" bestFit="1" customWidth="1"/>
    <col min="130" max="130" width="14.8984375" style="92" bestFit="1" customWidth="1"/>
    <col min="131" max="133" width="13" style="92" bestFit="1" customWidth="1"/>
    <col min="134" max="134" width="14" style="92" bestFit="1" customWidth="1"/>
    <col min="135" max="135" width="12.8984375" style="92" bestFit="1" customWidth="1"/>
    <col min="136" max="136" width="14.3984375" style="92" bestFit="1" customWidth="1"/>
    <col min="137" max="137" width="13.8984375" style="92" bestFit="1" customWidth="1"/>
    <col min="138" max="139" width="12.8984375" style="92" bestFit="1" customWidth="1"/>
    <col min="140" max="140" width="14.3984375" style="92" bestFit="1" customWidth="1"/>
    <col min="141" max="141" width="13" style="92" bestFit="1" customWidth="1"/>
    <col min="142" max="142" width="14" style="92" bestFit="1" customWidth="1"/>
    <col min="143" max="143" width="13.5" style="92" bestFit="1" customWidth="1"/>
    <col min="144" max="144" width="14.3984375" style="92" bestFit="1" customWidth="1"/>
    <col min="145" max="145" width="13.8984375" style="92" bestFit="1" customWidth="1"/>
    <col min="146" max="146" width="13" style="92" bestFit="1" customWidth="1"/>
    <col min="147" max="147" width="14.19921875" style="92" bestFit="1" customWidth="1"/>
    <col min="148" max="148" width="14.09765625" style="92" bestFit="1" customWidth="1"/>
    <col min="149" max="149" width="14" style="92" bestFit="1" customWidth="1"/>
    <col min="150" max="150" width="12.59765625" style="92" bestFit="1" customWidth="1"/>
    <col min="151" max="151" width="13.5" style="92" bestFit="1" customWidth="1"/>
    <col min="152" max="152" width="13.8984375" style="92" bestFit="1" customWidth="1"/>
    <col min="153" max="153" width="13.59765625" style="92" bestFit="1" customWidth="1"/>
    <col min="154" max="154" width="13.8984375" style="92" bestFit="1" customWidth="1"/>
    <col min="155" max="155" width="13.3984375" style="92" bestFit="1" customWidth="1"/>
    <col min="156" max="156" width="13.8984375" style="92" bestFit="1" customWidth="1"/>
    <col min="157" max="157" width="13.3984375" style="92" bestFit="1" customWidth="1"/>
    <col min="158" max="158" width="13.8984375" style="92" bestFit="1" customWidth="1"/>
    <col min="159" max="159" width="13" style="92" bestFit="1" customWidth="1"/>
    <col min="160" max="160" width="13.8984375" style="92" bestFit="1" customWidth="1"/>
    <col min="161" max="161" width="14.19921875" style="92" bestFit="1" customWidth="1"/>
    <col min="162" max="162" width="13.8984375" style="92" bestFit="1" customWidth="1"/>
    <col min="163" max="163" width="13.09765625" style="92" bestFit="1" customWidth="1"/>
    <col min="164" max="164" width="14.3984375" style="92" bestFit="1" customWidth="1"/>
    <col min="165" max="166" width="12.59765625" style="92" bestFit="1" customWidth="1"/>
    <col min="167" max="168" width="10" style="92" bestFit="1" customWidth="1"/>
    <col min="169" max="170" width="11.19921875" style="92" bestFit="1" customWidth="1"/>
    <col min="171" max="171" width="9.69921875" style="92" bestFit="1" customWidth="1"/>
    <col min="172" max="172" width="10.09765625" style="92" bestFit="1" customWidth="1"/>
    <col min="173" max="173" width="8.09765625" style="92" bestFit="1" customWidth="1"/>
    <col min="174" max="174" width="16.8984375" style="92" bestFit="1" customWidth="1"/>
    <col min="175" max="175" width="18.8984375" style="92" bestFit="1" customWidth="1"/>
    <col min="176" max="176" width="6.3984375" style="92" bestFit="1" customWidth="1"/>
    <col min="177" max="177" width="14.09765625" style="92" bestFit="1" customWidth="1"/>
    <col min="178" max="16384" width="9" style="92"/>
  </cols>
  <sheetData>
    <row r="1" spans="1:177" s="102" customFormat="1" ht="11">
      <c r="A1" s="366"/>
      <c r="D1" s="128"/>
      <c r="E1" s="95"/>
      <c r="F1" s="95"/>
      <c r="G1" s="94" t="s">
        <v>0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6" t="s">
        <v>1146</v>
      </c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8" t="s">
        <v>1146</v>
      </c>
      <c r="BH1" s="95"/>
      <c r="BI1" s="95"/>
      <c r="BJ1" s="95"/>
      <c r="BK1" s="98" t="s">
        <v>1146</v>
      </c>
      <c r="BL1" s="98" t="s">
        <v>1146</v>
      </c>
      <c r="BM1" s="98" t="s">
        <v>1146</v>
      </c>
      <c r="BN1" s="98" t="s">
        <v>1146</v>
      </c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8" t="s">
        <v>1146</v>
      </c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427" t="s">
        <v>1016</v>
      </c>
      <c r="FJ1" s="95"/>
      <c r="FK1" s="95"/>
      <c r="FL1" s="95"/>
      <c r="FM1" s="427" t="s">
        <v>1016</v>
      </c>
      <c r="FN1" s="95"/>
      <c r="FO1" s="99"/>
      <c r="FP1" s="100"/>
      <c r="FQ1" s="101"/>
    </row>
    <row r="2" spans="1:177" s="108" customFormat="1" ht="11">
      <c r="A2" s="112"/>
      <c r="E2" s="94"/>
      <c r="F2" s="94"/>
      <c r="G2" s="94" t="s">
        <v>2</v>
      </c>
      <c r="H2" s="103" t="s">
        <v>4</v>
      </c>
      <c r="I2" s="103" t="s">
        <v>4</v>
      </c>
      <c r="J2" s="103" t="s">
        <v>850</v>
      </c>
      <c r="K2" s="103" t="s">
        <v>4</v>
      </c>
      <c r="L2" s="103" t="s">
        <v>5</v>
      </c>
      <c r="M2" s="103" t="s">
        <v>850</v>
      </c>
      <c r="N2" s="103" t="s">
        <v>850</v>
      </c>
      <c r="O2" s="103" t="s">
        <v>5</v>
      </c>
      <c r="P2" s="103" t="s">
        <v>4</v>
      </c>
      <c r="Q2" s="103" t="s">
        <v>3</v>
      </c>
      <c r="R2" s="103" t="s">
        <v>5</v>
      </c>
      <c r="S2" s="103" t="s">
        <v>4</v>
      </c>
      <c r="T2" s="103" t="s">
        <v>850</v>
      </c>
      <c r="U2" s="103" t="s">
        <v>4</v>
      </c>
      <c r="V2" s="103" t="s">
        <v>5</v>
      </c>
      <c r="W2" s="103" t="s">
        <v>5</v>
      </c>
      <c r="X2" s="103" t="s">
        <v>5</v>
      </c>
      <c r="Y2" s="103" t="s">
        <v>850</v>
      </c>
      <c r="Z2" s="103" t="s">
        <v>850</v>
      </c>
      <c r="AA2" s="103" t="s">
        <v>850</v>
      </c>
      <c r="AB2" s="103" t="s">
        <v>850</v>
      </c>
      <c r="AC2" s="103" t="s">
        <v>850</v>
      </c>
      <c r="AD2" s="103" t="s">
        <v>850</v>
      </c>
      <c r="AE2" s="103" t="s">
        <v>850</v>
      </c>
      <c r="AF2" s="103" t="s">
        <v>850</v>
      </c>
      <c r="AG2" s="103" t="s">
        <v>850</v>
      </c>
      <c r="AH2" s="103" t="s">
        <v>850</v>
      </c>
      <c r="AI2" s="103" t="s">
        <v>4</v>
      </c>
      <c r="AJ2" s="103" t="s">
        <v>850</v>
      </c>
      <c r="AK2" s="103" t="s">
        <v>850</v>
      </c>
      <c r="AL2" s="103" t="s">
        <v>850</v>
      </c>
      <c r="AM2" s="103" t="s">
        <v>850</v>
      </c>
      <c r="AN2" s="103" t="s">
        <v>3</v>
      </c>
      <c r="AO2" s="103" t="s">
        <v>3</v>
      </c>
      <c r="AP2" s="103" t="s">
        <v>3</v>
      </c>
      <c r="AQ2" s="103" t="s">
        <v>3</v>
      </c>
      <c r="AR2" s="103" t="s">
        <v>3</v>
      </c>
      <c r="AS2" s="103" t="s">
        <v>5</v>
      </c>
      <c r="AT2" s="103" t="s">
        <v>850</v>
      </c>
      <c r="AU2" s="103" t="s">
        <v>5</v>
      </c>
      <c r="AV2" s="103" t="s">
        <v>5</v>
      </c>
      <c r="AW2" s="103" t="s">
        <v>850</v>
      </c>
      <c r="AX2" s="103" t="s">
        <v>4</v>
      </c>
      <c r="AY2" s="103" t="s">
        <v>5</v>
      </c>
      <c r="AZ2" s="103" t="s">
        <v>850</v>
      </c>
      <c r="BA2" s="103" t="s">
        <v>850</v>
      </c>
      <c r="BB2" s="103" t="s">
        <v>850</v>
      </c>
      <c r="BC2" s="103" t="s">
        <v>5</v>
      </c>
      <c r="BD2" s="103" t="s">
        <v>5</v>
      </c>
      <c r="BE2" s="103" t="s">
        <v>850</v>
      </c>
      <c r="BF2" s="103" t="s">
        <v>850</v>
      </c>
      <c r="BG2" s="103" t="s">
        <v>5</v>
      </c>
      <c r="BH2" s="103" t="s">
        <v>850</v>
      </c>
      <c r="BI2" s="103" t="s">
        <v>850</v>
      </c>
      <c r="BJ2" s="103" t="s">
        <v>5</v>
      </c>
      <c r="BK2" s="103" t="s">
        <v>5</v>
      </c>
      <c r="BL2" s="103" t="s">
        <v>850</v>
      </c>
      <c r="BM2" s="103" t="s">
        <v>850</v>
      </c>
      <c r="BN2" s="103" t="s">
        <v>850</v>
      </c>
      <c r="BO2" s="103" t="s">
        <v>850</v>
      </c>
      <c r="BP2" s="103" t="s">
        <v>5</v>
      </c>
      <c r="BQ2" s="103" t="s">
        <v>5</v>
      </c>
      <c r="BR2" s="103" t="s">
        <v>4</v>
      </c>
      <c r="BS2" s="103" t="s">
        <v>4</v>
      </c>
      <c r="BT2" s="103" t="s">
        <v>5</v>
      </c>
      <c r="BU2" s="103" t="s">
        <v>5</v>
      </c>
      <c r="BV2" s="103" t="s">
        <v>5</v>
      </c>
      <c r="BW2" s="103" t="s">
        <v>850</v>
      </c>
      <c r="BX2" s="103" t="s">
        <v>850</v>
      </c>
      <c r="BY2" s="103" t="s">
        <v>5</v>
      </c>
      <c r="BZ2" s="103" t="s">
        <v>5</v>
      </c>
      <c r="CA2" s="103" t="s">
        <v>5</v>
      </c>
      <c r="CB2" s="103" t="s">
        <v>5</v>
      </c>
      <c r="CC2" s="103" t="s">
        <v>4</v>
      </c>
      <c r="CD2" s="103" t="s">
        <v>850</v>
      </c>
      <c r="CE2" s="103" t="s">
        <v>5</v>
      </c>
      <c r="CF2" s="103" t="s">
        <v>5</v>
      </c>
      <c r="CG2" s="103" t="s">
        <v>5</v>
      </c>
      <c r="CH2" s="103" t="s">
        <v>5</v>
      </c>
      <c r="CI2" s="103" t="s">
        <v>4</v>
      </c>
      <c r="CJ2" s="103" t="s">
        <v>4</v>
      </c>
      <c r="CK2" s="103" t="s">
        <v>850</v>
      </c>
      <c r="CL2" s="103" t="s">
        <v>5</v>
      </c>
      <c r="CM2" s="103" t="s">
        <v>5</v>
      </c>
      <c r="CN2" s="103" t="s">
        <v>5</v>
      </c>
      <c r="CO2" s="103" t="s">
        <v>5</v>
      </c>
      <c r="CP2" s="103" t="s">
        <v>5</v>
      </c>
      <c r="CQ2" s="103" t="s">
        <v>850</v>
      </c>
      <c r="CR2" s="103" t="s">
        <v>4</v>
      </c>
      <c r="CS2" s="103" t="s">
        <v>850</v>
      </c>
      <c r="CT2" s="103" t="s">
        <v>4</v>
      </c>
      <c r="CU2" s="103" t="s">
        <v>8</v>
      </c>
      <c r="CV2" s="103" t="s">
        <v>850</v>
      </c>
      <c r="CW2" s="103" t="s">
        <v>5</v>
      </c>
      <c r="CX2" s="103" t="s">
        <v>5</v>
      </c>
      <c r="CY2" s="103" t="s">
        <v>5</v>
      </c>
      <c r="CZ2" s="103" t="s">
        <v>850</v>
      </c>
      <c r="DA2" s="103" t="s">
        <v>7</v>
      </c>
      <c r="DB2" s="103" t="s">
        <v>850</v>
      </c>
      <c r="DC2" s="103" t="s">
        <v>850</v>
      </c>
      <c r="DD2" s="103" t="s">
        <v>850</v>
      </c>
      <c r="DE2" s="103" t="s">
        <v>8</v>
      </c>
      <c r="DF2" s="103" t="s">
        <v>4</v>
      </c>
      <c r="DG2" s="103" t="s">
        <v>9</v>
      </c>
      <c r="DH2" s="103" t="s">
        <v>4</v>
      </c>
      <c r="DI2" s="103" t="s">
        <v>850</v>
      </c>
      <c r="DJ2" s="103" t="s">
        <v>850</v>
      </c>
      <c r="DK2" s="103" t="s">
        <v>850</v>
      </c>
      <c r="DL2" s="103" t="s">
        <v>850</v>
      </c>
      <c r="DM2" s="103" t="s">
        <v>4</v>
      </c>
      <c r="DN2" s="103" t="s">
        <v>8</v>
      </c>
      <c r="DO2" s="103" t="s">
        <v>850</v>
      </c>
      <c r="DP2" s="103" t="s">
        <v>850</v>
      </c>
      <c r="DQ2" s="103" t="s">
        <v>6</v>
      </c>
      <c r="DR2" s="103" t="s">
        <v>9</v>
      </c>
      <c r="DS2" s="103" t="s">
        <v>635</v>
      </c>
      <c r="DT2" s="103" t="s">
        <v>850</v>
      </c>
      <c r="DU2" s="103" t="s">
        <v>9</v>
      </c>
      <c r="DV2" s="103" t="s">
        <v>850</v>
      </c>
      <c r="DW2" s="103" t="s">
        <v>8</v>
      </c>
      <c r="DX2" s="103" t="s">
        <v>4</v>
      </c>
      <c r="DY2" s="103" t="s">
        <v>850</v>
      </c>
      <c r="DZ2" s="103" t="s">
        <v>4</v>
      </c>
      <c r="EA2" s="103" t="s">
        <v>8</v>
      </c>
      <c r="EB2" s="103" t="s">
        <v>9</v>
      </c>
      <c r="EC2" s="103" t="s">
        <v>9</v>
      </c>
      <c r="ED2" s="103" t="s">
        <v>4</v>
      </c>
      <c r="EE2" s="103" t="s">
        <v>850</v>
      </c>
      <c r="EF2" s="103" t="s">
        <v>8</v>
      </c>
      <c r="EG2" s="103" t="s">
        <v>850</v>
      </c>
      <c r="EH2" s="103" t="s">
        <v>8</v>
      </c>
      <c r="EI2" s="103" t="s">
        <v>9</v>
      </c>
      <c r="EJ2" s="103" t="s">
        <v>850</v>
      </c>
      <c r="EK2" s="103" t="s">
        <v>5</v>
      </c>
      <c r="EL2" s="103" t="s">
        <v>4</v>
      </c>
      <c r="EM2" s="103" t="s">
        <v>850</v>
      </c>
      <c r="EN2" s="103" t="s">
        <v>850</v>
      </c>
      <c r="EO2" s="103" t="s">
        <v>4</v>
      </c>
      <c r="EP2" s="103" t="s">
        <v>4</v>
      </c>
      <c r="EQ2" s="103" t="s">
        <v>8</v>
      </c>
      <c r="ER2" s="103" t="s">
        <v>8</v>
      </c>
      <c r="ES2" s="103" t="s">
        <v>4</v>
      </c>
      <c r="ET2" s="103" t="s">
        <v>850</v>
      </c>
      <c r="EU2" s="103" t="s">
        <v>8</v>
      </c>
      <c r="EV2" s="103" t="s">
        <v>4</v>
      </c>
      <c r="EW2" s="103" t="s">
        <v>850</v>
      </c>
      <c r="EX2" s="103" t="s">
        <v>6</v>
      </c>
      <c r="EY2" s="103" t="s">
        <v>850</v>
      </c>
      <c r="EZ2" s="103" t="s">
        <v>9</v>
      </c>
      <c r="FA2" s="103" t="s">
        <v>9</v>
      </c>
      <c r="FB2" s="103" t="s">
        <v>850</v>
      </c>
      <c r="FC2" s="103" t="s">
        <v>850</v>
      </c>
      <c r="FD2" s="103" t="s">
        <v>850</v>
      </c>
      <c r="FE2" s="103" t="s">
        <v>850</v>
      </c>
      <c r="FF2" s="103" t="s">
        <v>9</v>
      </c>
      <c r="FG2" s="103" t="s">
        <v>850</v>
      </c>
      <c r="FH2" s="103" t="s">
        <v>850</v>
      </c>
      <c r="FI2" s="103" t="s">
        <v>3</v>
      </c>
      <c r="FJ2" s="103" t="s">
        <v>850</v>
      </c>
      <c r="FK2" s="103" t="s">
        <v>850</v>
      </c>
      <c r="FL2" s="103" t="s">
        <v>850</v>
      </c>
      <c r="FM2" s="103" t="s">
        <v>3</v>
      </c>
      <c r="FN2" s="103" t="s">
        <v>850</v>
      </c>
      <c r="FO2" s="99"/>
      <c r="FP2" s="106"/>
      <c r="FQ2" s="107"/>
    </row>
    <row r="3" spans="1:177" s="108" customFormat="1">
      <c r="A3" s="112"/>
      <c r="E3" s="94"/>
      <c r="F3" s="94"/>
      <c r="G3" s="94" t="s">
        <v>10</v>
      </c>
      <c r="H3" s="103">
        <v>5</v>
      </c>
      <c r="I3" s="103">
        <v>10</v>
      </c>
      <c r="J3" s="103">
        <v>5</v>
      </c>
      <c r="K3" s="103">
        <v>5</v>
      </c>
      <c r="L3" s="103">
        <v>10</v>
      </c>
      <c r="M3" s="103">
        <v>10</v>
      </c>
      <c r="N3" s="103">
        <v>5</v>
      </c>
      <c r="O3" s="103">
        <v>10</v>
      </c>
      <c r="P3" s="103">
        <v>10</v>
      </c>
      <c r="Q3" s="103">
        <v>10</v>
      </c>
      <c r="R3" s="103">
        <v>10</v>
      </c>
      <c r="S3" s="103">
        <v>10</v>
      </c>
      <c r="T3" s="103">
        <v>10</v>
      </c>
      <c r="U3" s="103">
        <v>10</v>
      </c>
      <c r="V3" s="103">
        <v>10</v>
      </c>
      <c r="W3" s="103">
        <v>10</v>
      </c>
      <c r="X3" s="103">
        <v>10</v>
      </c>
      <c r="Y3" s="103">
        <v>10</v>
      </c>
      <c r="Z3" s="103">
        <v>10</v>
      </c>
      <c r="AA3" s="103">
        <v>10</v>
      </c>
      <c r="AB3" s="103">
        <v>10</v>
      </c>
      <c r="AC3" s="103">
        <v>10</v>
      </c>
      <c r="AD3" s="103">
        <v>10</v>
      </c>
      <c r="AE3" s="103">
        <v>10</v>
      </c>
      <c r="AF3" s="103">
        <v>10</v>
      </c>
      <c r="AG3" s="103">
        <v>10</v>
      </c>
      <c r="AH3" s="103">
        <v>10</v>
      </c>
      <c r="AI3" s="103">
        <v>10</v>
      </c>
      <c r="AJ3" s="103">
        <v>10</v>
      </c>
      <c r="AK3" s="103">
        <v>10</v>
      </c>
      <c r="AL3" s="103">
        <v>10</v>
      </c>
      <c r="AM3" s="103">
        <v>10</v>
      </c>
      <c r="AN3" s="103">
        <v>1</v>
      </c>
      <c r="AO3" s="103">
        <v>1</v>
      </c>
      <c r="AP3" s="103">
        <v>1</v>
      </c>
      <c r="AQ3" s="103">
        <v>4</v>
      </c>
      <c r="AR3" s="103">
        <v>5</v>
      </c>
      <c r="AS3" s="103">
        <v>5</v>
      </c>
      <c r="AT3" s="103">
        <v>5</v>
      </c>
      <c r="AU3" s="103">
        <v>10</v>
      </c>
      <c r="AV3" s="103">
        <v>10</v>
      </c>
      <c r="AW3" s="103">
        <v>10</v>
      </c>
      <c r="AX3" s="103">
        <v>10</v>
      </c>
      <c r="AY3" s="103">
        <v>10</v>
      </c>
      <c r="AZ3" s="103">
        <v>5</v>
      </c>
      <c r="BA3" s="103">
        <v>1</v>
      </c>
      <c r="BB3" s="103">
        <v>1</v>
      </c>
      <c r="BC3" s="103">
        <v>4</v>
      </c>
      <c r="BD3" s="103">
        <v>5</v>
      </c>
      <c r="BE3" s="103">
        <v>5</v>
      </c>
      <c r="BF3" s="103">
        <v>5</v>
      </c>
      <c r="BG3" s="103">
        <v>10</v>
      </c>
      <c r="BH3" s="103">
        <v>10</v>
      </c>
      <c r="BI3" s="103">
        <v>10</v>
      </c>
      <c r="BJ3" s="103">
        <v>10</v>
      </c>
      <c r="BK3" s="103">
        <v>1</v>
      </c>
      <c r="BL3" s="103">
        <v>1</v>
      </c>
      <c r="BM3" s="103">
        <v>1</v>
      </c>
      <c r="BN3" s="103">
        <v>1</v>
      </c>
      <c r="BO3" s="103">
        <v>4</v>
      </c>
      <c r="BP3" s="103">
        <v>5</v>
      </c>
      <c r="BQ3" s="103">
        <v>5</v>
      </c>
      <c r="BR3" s="103">
        <v>5</v>
      </c>
      <c r="BS3" s="103">
        <v>5</v>
      </c>
      <c r="BT3" s="103">
        <v>10</v>
      </c>
      <c r="BU3" s="103">
        <v>10</v>
      </c>
      <c r="BV3" s="103">
        <v>10</v>
      </c>
      <c r="BW3" s="103">
        <v>10</v>
      </c>
      <c r="BX3" s="103">
        <v>10</v>
      </c>
      <c r="BY3" s="103">
        <v>10</v>
      </c>
      <c r="BZ3" s="103">
        <v>5</v>
      </c>
      <c r="CA3" s="103">
        <v>10</v>
      </c>
      <c r="CB3" s="103">
        <v>10</v>
      </c>
      <c r="CC3" s="103">
        <v>10</v>
      </c>
      <c r="CD3" s="103">
        <v>10</v>
      </c>
      <c r="CE3" s="103">
        <v>5</v>
      </c>
      <c r="CF3" s="103">
        <v>5</v>
      </c>
      <c r="CG3" s="103">
        <v>10</v>
      </c>
      <c r="CH3" s="103">
        <v>10</v>
      </c>
      <c r="CI3" s="103">
        <v>10</v>
      </c>
      <c r="CJ3" s="103">
        <v>10</v>
      </c>
      <c r="CK3" s="103">
        <v>5</v>
      </c>
      <c r="CL3" s="103">
        <v>10</v>
      </c>
      <c r="CM3" s="103">
        <v>10</v>
      </c>
      <c r="CN3" s="103">
        <v>10</v>
      </c>
      <c r="CO3" s="103">
        <v>10</v>
      </c>
      <c r="CP3" s="103">
        <v>10</v>
      </c>
      <c r="CQ3" s="103"/>
      <c r="CR3" s="103">
        <v>10</v>
      </c>
      <c r="CS3" s="103">
        <v>10</v>
      </c>
      <c r="CT3" s="103">
        <v>10</v>
      </c>
      <c r="CU3" s="103">
        <v>10</v>
      </c>
      <c r="CV3" s="103">
        <v>5</v>
      </c>
      <c r="CW3" s="103">
        <v>10</v>
      </c>
      <c r="CX3" s="103">
        <v>10</v>
      </c>
      <c r="CY3" s="103">
        <v>10</v>
      </c>
      <c r="CZ3" s="103">
        <v>10</v>
      </c>
      <c r="DA3" s="103">
        <v>10</v>
      </c>
      <c r="DB3" s="103">
        <v>5</v>
      </c>
      <c r="DC3" s="103">
        <v>10</v>
      </c>
      <c r="DD3" s="103">
        <v>10</v>
      </c>
      <c r="DE3" s="103">
        <v>10</v>
      </c>
      <c r="DF3" s="103">
        <v>10</v>
      </c>
      <c r="DG3" s="103">
        <v>10</v>
      </c>
      <c r="DH3" s="103">
        <v>10</v>
      </c>
      <c r="DI3" s="103">
        <v>20</v>
      </c>
      <c r="DJ3" s="103">
        <v>10</v>
      </c>
      <c r="DK3" s="103">
        <v>10</v>
      </c>
      <c r="DL3" s="103">
        <v>10</v>
      </c>
      <c r="DM3" s="103">
        <v>10</v>
      </c>
      <c r="DN3" s="103">
        <v>20</v>
      </c>
      <c r="DO3" s="103">
        <v>10</v>
      </c>
      <c r="DP3" s="103">
        <v>10</v>
      </c>
      <c r="DQ3" s="103">
        <v>10</v>
      </c>
      <c r="DR3" s="103">
        <v>20</v>
      </c>
      <c r="DS3" s="103">
        <v>5</v>
      </c>
      <c r="DT3" s="103">
        <v>10</v>
      </c>
      <c r="DU3" s="103">
        <v>10</v>
      </c>
      <c r="DV3" s="103">
        <v>10</v>
      </c>
      <c r="DW3" s="103">
        <v>20</v>
      </c>
      <c r="DX3" s="103">
        <v>20</v>
      </c>
      <c r="DY3" s="103">
        <v>10</v>
      </c>
      <c r="DZ3" s="103">
        <v>20</v>
      </c>
      <c r="EA3" s="103">
        <v>20</v>
      </c>
      <c r="EB3" s="103">
        <v>20</v>
      </c>
      <c r="EC3" s="103">
        <v>20</v>
      </c>
      <c r="ED3" s="103">
        <v>20</v>
      </c>
      <c r="EE3" s="103">
        <v>10</v>
      </c>
      <c r="EF3" s="103">
        <v>20</v>
      </c>
      <c r="EG3" s="103">
        <v>20</v>
      </c>
      <c r="EH3" s="103">
        <v>20</v>
      </c>
      <c r="EI3" s="103">
        <v>20</v>
      </c>
      <c r="EJ3" s="103">
        <v>10</v>
      </c>
      <c r="EK3" s="103">
        <v>20</v>
      </c>
      <c r="EL3" s="103">
        <v>20</v>
      </c>
      <c r="EM3" s="103">
        <v>20</v>
      </c>
      <c r="EN3" s="103">
        <v>10</v>
      </c>
      <c r="EO3" s="103">
        <v>20</v>
      </c>
      <c r="EP3" s="103">
        <v>20</v>
      </c>
      <c r="EQ3" s="103">
        <v>20</v>
      </c>
      <c r="ER3" s="103">
        <v>20</v>
      </c>
      <c r="ES3" s="103">
        <v>20</v>
      </c>
      <c r="ET3" s="103">
        <v>20</v>
      </c>
      <c r="EU3" s="103">
        <v>20</v>
      </c>
      <c r="EV3" s="103">
        <v>20</v>
      </c>
      <c r="EW3" s="103">
        <v>20</v>
      </c>
      <c r="EX3" s="103">
        <v>20</v>
      </c>
      <c r="EY3" s="103">
        <v>20</v>
      </c>
      <c r="EZ3" s="103">
        <v>30</v>
      </c>
      <c r="FA3" s="103">
        <v>20</v>
      </c>
      <c r="FB3" s="103">
        <v>30</v>
      </c>
      <c r="FC3" s="103">
        <v>30</v>
      </c>
      <c r="FD3" s="103">
        <v>20</v>
      </c>
      <c r="FE3" s="103">
        <v>30</v>
      </c>
      <c r="FF3" s="103">
        <v>30</v>
      </c>
      <c r="FG3" s="103">
        <v>20</v>
      </c>
      <c r="FH3" s="103"/>
      <c r="FI3" s="103"/>
      <c r="FJ3" s="103"/>
      <c r="FK3" s="103"/>
      <c r="FL3" s="103"/>
      <c r="FM3" s="103"/>
      <c r="FN3" s="103"/>
      <c r="FO3" s="111"/>
      <c r="FP3" s="112"/>
      <c r="FR3" s="106"/>
      <c r="FS3" s="107"/>
    </row>
    <row r="4" spans="1:177" s="93" customFormat="1" ht="30">
      <c r="A4" s="113"/>
      <c r="E4" s="113"/>
      <c r="F4" s="113"/>
      <c r="G4" s="113" t="s">
        <v>12</v>
      </c>
      <c r="H4" s="114" t="s">
        <v>15</v>
      </c>
      <c r="I4" s="114" t="s">
        <v>16</v>
      </c>
      <c r="J4" s="114" t="s">
        <v>18</v>
      </c>
      <c r="K4" s="114" t="s">
        <v>19</v>
      </c>
      <c r="L4" s="114" t="s">
        <v>20</v>
      </c>
      <c r="M4" s="114" t="s">
        <v>21</v>
      </c>
      <c r="N4" s="114" t="s">
        <v>23</v>
      </c>
      <c r="O4" s="114" t="s">
        <v>24</v>
      </c>
      <c r="P4" s="114" t="s">
        <v>25</v>
      </c>
      <c r="Q4" s="114" t="s">
        <v>27</v>
      </c>
      <c r="R4" s="114" t="s">
        <v>28</v>
      </c>
      <c r="S4" s="114" t="s">
        <v>637</v>
      </c>
      <c r="T4" s="114" t="s">
        <v>29</v>
      </c>
      <c r="U4" s="114" t="s">
        <v>30</v>
      </c>
      <c r="V4" s="114" t="s">
        <v>31</v>
      </c>
      <c r="W4" s="114" t="s">
        <v>32</v>
      </c>
      <c r="X4" s="114" t="s">
        <v>33</v>
      </c>
      <c r="Y4" s="114" t="s">
        <v>34</v>
      </c>
      <c r="Z4" s="114" t="s">
        <v>35</v>
      </c>
      <c r="AA4" s="114" t="s">
        <v>36</v>
      </c>
      <c r="AB4" s="114" t="s">
        <v>37</v>
      </c>
      <c r="AC4" s="114" t="s">
        <v>39</v>
      </c>
      <c r="AD4" s="114" t="s">
        <v>638</v>
      </c>
      <c r="AE4" s="114" t="s">
        <v>851</v>
      </c>
      <c r="AF4" s="114" t="s">
        <v>41</v>
      </c>
      <c r="AG4" s="114" t="s">
        <v>42</v>
      </c>
      <c r="AH4" s="114" t="s">
        <v>43</v>
      </c>
      <c r="AI4" s="114" t="s">
        <v>44</v>
      </c>
      <c r="AJ4" s="114" t="s">
        <v>45</v>
      </c>
      <c r="AK4" s="114" t="s">
        <v>1107</v>
      </c>
      <c r="AL4" s="114" t="s">
        <v>46</v>
      </c>
      <c r="AM4" s="114" t="s">
        <v>47</v>
      </c>
      <c r="AN4" s="114" t="s">
        <v>48</v>
      </c>
      <c r="AO4" s="114" t="s">
        <v>48</v>
      </c>
      <c r="AP4" s="114" t="s">
        <v>48</v>
      </c>
      <c r="AQ4" s="114" t="s">
        <v>49</v>
      </c>
      <c r="AR4" s="114" t="s">
        <v>50</v>
      </c>
      <c r="AS4" s="114" t="s">
        <v>51</v>
      </c>
      <c r="AT4" s="114" t="s">
        <v>52</v>
      </c>
      <c r="AU4" s="114" t="s">
        <v>53</v>
      </c>
      <c r="AV4" s="114" t="s">
        <v>54</v>
      </c>
      <c r="AW4" s="114" t="s">
        <v>55</v>
      </c>
      <c r="AX4" s="114" t="s">
        <v>56</v>
      </c>
      <c r="AY4" s="114" t="s">
        <v>57</v>
      </c>
      <c r="AZ4" s="114" t="s">
        <v>57</v>
      </c>
      <c r="BA4" s="114" t="s">
        <v>58</v>
      </c>
      <c r="BB4" s="114" t="s">
        <v>58</v>
      </c>
      <c r="BC4" s="114" t="s">
        <v>59</v>
      </c>
      <c r="BD4" s="114" t="s">
        <v>60</v>
      </c>
      <c r="BE4" s="114" t="s">
        <v>61</v>
      </c>
      <c r="BF4" s="114" t="s">
        <v>62</v>
      </c>
      <c r="BG4" s="114" t="s">
        <v>63</v>
      </c>
      <c r="BH4" s="114" t="s">
        <v>64</v>
      </c>
      <c r="BI4" s="114" t="s">
        <v>65</v>
      </c>
      <c r="BJ4" s="114" t="s">
        <v>66</v>
      </c>
      <c r="BK4" s="114" t="s">
        <v>67</v>
      </c>
      <c r="BL4" s="114" t="s">
        <v>67</v>
      </c>
      <c r="BM4" s="114" t="s">
        <v>67</v>
      </c>
      <c r="BN4" s="114" t="s">
        <v>67</v>
      </c>
      <c r="BO4" s="114" t="s">
        <v>68</v>
      </c>
      <c r="BP4" s="114" t="s">
        <v>69</v>
      </c>
      <c r="BQ4" s="114" t="s">
        <v>70</v>
      </c>
      <c r="BR4" s="116" t="s">
        <v>71</v>
      </c>
      <c r="BS4" s="116" t="s">
        <v>71</v>
      </c>
      <c r="BT4" s="114" t="s">
        <v>72</v>
      </c>
      <c r="BU4" s="114" t="s">
        <v>73</v>
      </c>
      <c r="BV4" s="114" t="s">
        <v>74</v>
      </c>
      <c r="BW4" s="114" t="s">
        <v>75</v>
      </c>
      <c r="BX4" s="114" t="s">
        <v>76</v>
      </c>
      <c r="BY4" s="114" t="s">
        <v>77</v>
      </c>
      <c r="BZ4" s="114" t="s">
        <v>78</v>
      </c>
      <c r="CA4" s="114" t="s">
        <v>79</v>
      </c>
      <c r="CB4" s="114" t="s">
        <v>80</v>
      </c>
      <c r="CC4" s="114" t="s">
        <v>81</v>
      </c>
      <c r="CD4" s="114" t="s">
        <v>82</v>
      </c>
      <c r="CE4" s="116" t="s">
        <v>83</v>
      </c>
      <c r="CF4" s="116" t="s">
        <v>83</v>
      </c>
      <c r="CG4" s="114" t="s">
        <v>84</v>
      </c>
      <c r="CH4" s="114" t="s">
        <v>85</v>
      </c>
      <c r="CI4" s="114" t="s">
        <v>86</v>
      </c>
      <c r="CJ4" s="114" t="s">
        <v>87</v>
      </c>
      <c r="CK4" s="114" t="s">
        <v>88</v>
      </c>
      <c r="CL4" s="114" t="s">
        <v>89</v>
      </c>
      <c r="CM4" s="114" t="s">
        <v>90</v>
      </c>
      <c r="CN4" s="114" t="s">
        <v>91</v>
      </c>
      <c r="CO4" s="114" t="s">
        <v>92</v>
      </c>
      <c r="CP4" s="114" t="s">
        <v>93</v>
      </c>
      <c r="CQ4" s="114" t="s">
        <v>93</v>
      </c>
      <c r="CR4" s="114" t="s">
        <v>94</v>
      </c>
      <c r="CS4" s="114" t="s">
        <v>95</v>
      </c>
      <c r="CT4" s="114" t="s">
        <v>96</v>
      </c>
      <c r="CU4" s="114" t="s">
        <v>97</v>
      </c>
      <c r="CV4" s="114" t="s">
        <v>97</v>
      </c>
      <c r="CW4" s="114" t="s">
        <v>98</v>
      </c>
      <c r="CX4" s="114" t="s">
        <v>99</v>
      </c>
      <c r="CY4" s="114" t="s">
        <v>100</v>
      </c>
      <c r="CZ4" s="114" t="s">
        <v>101</v>
      </c>
      <c r="DA4" s="114" t="s">
        <v>102</v>
      </c>
      <c r="DB4" s="114" t="s">
        <v>102</v>
      </c>
      <c r="DC4" s="114" t="s">
        <v>750</v>
      </c>
      <c r="DD4" s="114" t="s">
        <v>103</v>
      </c>
      <c r="DE4" s="114" t="s">
        <v>104</v>
      </c>
      <c r="DF4" s="114" t="s">
        <v>105</v>
      </c>
      <c r="DG4" s="116" t="s">
        <v>106</v>
      </c>
      <c r="DH4" s="116" t="s">
        <v>106</v>
      </c>
      <c r="DI4" s="114" t="s">
        <v>756</v>
      </c>
      <c r="DJ4" s="114" t="s">
        <v>757</v>
      </c>
      <c r="DK4" s="119" t="s">
        <v>107</v>
      </c>
      <c r="DL4" s="114" t="s">
        <v>108</v>
      </c>
      <c r="DM4" s="114" t="s">
        <v>109</v>
      </c>
      <c r="DN4" s="114" t="s">
        <v>110</v>
      </c>
      <c r="DO4" s="114" t="s">
        <v>112</v>
      </c>
      <c r="DP4" s="114" t="s">
        <v>114</v>
      </c>
      <c r="DQ4" s="114" t="s">
        <v>115</v>
      </c>
      <c r="DR4" s="114" t="s">
        <v>116</v>
      </c>
      <c r="DS4" s="119" t="s">
        <v>1108</v>
      </c>
      <c r="DT4" s="114" t="s">
        <v>117</v>
      </c>
      <c r="DU4" s="114" t="s">
        <v>119</v>
      </c>
      <c r="DV4" s="114" t="s">
        <v>120</v>
      </c>
      <c r="DW4" s="114" t="s">
        <v>121</v>
      </c>
      <c r="DX4" s="114" t="s">
        <v>122</v>
      </c>
      <c r="DY4" s="114" t="s">
        <v>123</v>
      </c>
      <c r="DZ4" s="114" t="s">
        <v>124</v>
      </c>
      <c r="EA4" s="116" t="s">
        <v>125</v>
      </c>
      <c r="EB4" s="116" t="s">
        <v>960</v>
      </c>
      <c r="EC4" s="116" t="s">
        <v>125</v>
      </c>
      <c r="ED4" s="114" t="s">
        <v>126</v>
      </c>
      <c r="EE4" s="114" t="s">
        <v>127</v>
      </c>
      <c r="EF4" s="114" t="s">
        <v>128</v>
      </c>
      <c r="EG4" s="114" t="s">
        <v>129</v>
      </c>
      <c r="EH4" s="116" t="s">
        <v>130</v>
      </c>
      <c r="EI4" s="116" t="s">
        <v>130</v>
      </c>
      <c r="EJ4" s="114" t="s">
        <v>131</v>
      </c>
      <c r="EK4" s="114" t="s">
        <v>132</v>
      </c>
      <c r="EL4" s="114" t="s">
        <v>133</v>
      </c>
      <c r="EM4" s="114" t="s">
        <v>134</v>
      </c>
      <c r="EN4" s="114" t="s">
        <v>135</v>
      </c>
      <c r="EO4" s="114" t="s">
        <v>136</v>
      </c>
      <c r="EP4" s="114" t="s">
        <v>137</v>
      </c>
      <c r="EQ4" s="114" t="s">
        <v>138</v>
      </c>
      <c r="ER4" s="114" t="s">
        <v>139</v>
      </c>
      <c r="ES4" s="114" t="s">
        <v>140</v>
      </c>
      <c r="ET4" s="114" t="s">
        <v>141</v>
      </c>
      <c r="EU4" s="114" t="s">
        <v>142</v>
      </c>
      <c r="EV4" s="114" t="s">
        <v>143</v>
      </c>
      <c r="EW4" s="114" t="s">
        <v>144</v>
      </c>
      <c r="EX4" s="114" t="s">
        <v>1148</v>
      </c>
      <c r="EY4" s="114" t="s">
        <v>146</v>
      </c>
      <c r="EZ4" s="114" t="s">
        <v>147</v>
      </c>
      <c r="FA4" s="114" t="s">
        <v>148</v>
      </c>
      <c r="FB4" s="114" t="s">
        <v>149</v>
      </c>
      <c r="FC4" s="114" t="s">
        <v>150</v>
      </c>
      <c r="FD4" s="114" t="s">
        <v>151</v>
      </c>
      <c r="FE4" s="114" t="s">
        <v>152</v>
      </c>
      <c r="FF4" s="114" t="s">
        <v>645</v>
      </c>
      <c r="FG4" s="114" t="s">
        <v>154</v>
      </c>
      <c r="FH4" s="123" t="s">
        <v>858</v>
      </c>
      <c r="FI4" s="123" t="s">
        <v>156</v>
      </c>
      <c r="FJ4" s="123" t="s">
        <v>157</v>
      </c>
      <c r="FK4" s="123" t="s">
        <v>648</v>
      </c>
      <c r="FL4" s="123" t="s">
        <v>649</v>
      </c>
      <c r="FM4" s="123" t="s">
        <v>159</v>
      </c>
      <c r="FN4" s="123" t="s">
        <v>859</v>
      </c>
      <c r="FO4" s="125"/>
      <c r="FP4" s="113"/>
      <c r="FR4" s="126"/>
    </row>
    <row r="5" spans="1:177" s="102" customFormat="1" ht="20">
      <c r="A5" s="127"/>
      <c r="D5" s="128"/>
      <c r="E5" s="95" t="s">
        <v>162</v>
      </c>
      <c r="F5" s="129" t="s">
        <v>163</v>
      </c>
      <c r="G5" s="95" t="s">
        <v>164</v>
      </c>
      <c r="H5" s="130" t="s">
        <v>167</v>
      </c>
      <c r="I5" s="130" t="s">
        <v>168</v>
      </c>
      <c r="J5" s="130" t="s">
        <v>170</v>
      </c>
      <c r="K5" s="130" t="s">
        <v>171</v>
      </c>
      <c r="L5" s="130" t="s">
        <v>172</v>
      </c>
      <c r="M5" s="130" t="s">
        <v>173</v>
      </c>
      <c r="N5" s="130" t="s">
        <v>175</v>
      </c>
      <c r="O5" s="130" t="s">
        <v>176</v>
      </c>
      <c r="P5" s="130" t="s">
        <v>177</v>
      </c>
      <c r="Q5" s="130" t="s">
        <v>179</v>
      </c>
      <c r="R5" s="130" t="s">
        <v>180</v>
      </c>
      <c r="S5" s="130" t="s">
        <v>650</v>
      </c>
      <c r="T5" s="130" t="s">
        <v>181</v>
      </c>
      <c r="U5" s="130" t="s">
        <v>182</v>
      </c>
      <c r="V5" s="130" t="s">
        <v>183</v>
      </c>
      <c r="W5" s="130" t="s">
        <v>184</v>
      </c>
      <c r="X5" s="130" t="s">
        <v>185</v>
      </c>
      <c r="Y5" s="130" t="s">
        <v>186</v>
      </c>
      <c r="Z5" s="130" t="s">
        <v>187</v>
      </c>
      <c r="AA5" s="130" t="s">
        <v>188</v>
      </c>
      <c r="AB5" s="130" t="s">
        <v>189</v>
      </c>
      <c r="AC5" s="130" t="s">
        <v>191</v>
      </c>
      <c r="AD5" s="130" t="s">
        <v>193</v>
      </c>
      <c r="AE5" s="130" t="s">
        <v>862</v>
      </c>
      <c r="AF5" s="130" t="s">
        <v>194</v>
      </c>
      <c r="AG5" s="130" t="s">
        <v>195</v>
      </c>
      <c r="AH5" s="130" t="s">
        <v>196</v>
      </c>
      <c r="AI5" s="130" t="s">
        <v>1109</v>
      </c>
      <c r="AJ5" s="130" t="s">
        <v>198</v>
      </c>
      <c r="AK5" s="130" t="s">
        <v>1110</v>
      </c>
      <c r="AL5" s="130" t="s">
        <v>199</v>
      </c>
      <c r="AM5" s="130" t="s">
        <v>200</v>
      </c>
      <c r="AN5" s="130" t="s">
        <v>201</v>
      </c>
      <c r="AO5" s="130" t="s">
        <v>653</v>
      </c>
      <c r="AP5" s="130" t="s">
        <v>202</v>
      </c>
      <c r="AQ5" s="130" t="s">
        <v>204</v>
      </c>
      <c r="AR5" s="130" t="s">
        <v>205</v>
      </c>
      <c r="AS5" s="130" t="s">
        <v>206</v>
      </c>
      <c r="AT5" s="130" t="s">
        <v>208</v>
      </c>
      <c r="AU5" s="130" t="s">
        <v>209</v>
      </c>
      <c r="AV5" s="130" t="s">
        <v>210</v>
      </c>
      <c r="AW5" s="130" t="s">
        <v>211</v>
      </c>
      <c r="AX5" s="130" t="s">
        <v>212</v>
      </c>
      <c r="AY5" s="130" t="s">
        <v>213</v>
      </c>
      <c r="AZ5" s="130" t="s">
        <v>214</v>
      </c>
      <c r="BA5" s="130" t="s">
        <v>215</v>
      </c>
      <c r="BB5" s="130" t="s">
        <v>217</v>
      </c>
      <c r="BC5" s="130" t="s">
        <v>218</v>
      </c>
      <c r="BD5" s="130" t="s">
        <v>219</v>
      </c>
      <c r="BE5" s="130" t="s">
        <v>220</v>
      </c>
      <c r="BF5" s="130" t="s">
        <v>221</v>
      </c>
      <c r="BG5" s="130" t="s">
        <v>222</v>
      </c>
      <c r="BH5" s="130" t="s">
        <v>223</v>
      </c>
      <c r="BI5" s="130" t="s">
        <v>224</v>
      </c>
      <c r="BJ5" s="130" t="s">
        <v>225</v>
      </c>
      <c r="BK5" s="130" t="s">
        <v>226</v>
      </c>
      <c r="BL5" s="130" t="s">
        <v>1111</v>
      </c>
      <c r="BM5" s="130" t="s">
        <v>968</v>
      </c>
      <c r="BN5" s="130" t="s">
        <v>1040</v>
      </c>
      <c r="BO5" s="130" t="s">
        <v>232</v>
      </c>
      <c r="BP5" s="130" t="s">
        <v>233</v>
      </c>
      <c r="BQ5" s="130" t="s">
        <v>234</v>
      </c>
      <c r="BR5" s="130" t="s">
        <v>237</v>
      </c>
      <c r="BS5" s="130" t="s">
        <v>238</v>
      </c>
      <c r="BT5" s="130" t="s">
        <v>239</v>
      </c>
      <c r="BU5" s="130" t="s">
        <v>240</v>
      </c>
      <c r="BV5" s="130" t="s">
        <v>241</v>
      </c>
      <c r="BW5" s="130" t="s">
        <v>969</v>
      </c>
      <c r="BX5" s="130" t="s">
        <v>244</v>
      </c>
      <c r="BY5" s="130" t="s">
        <v>245</v>
      </c>
      <c r="BZ5" s="130" t="s">
        <v>247</v>
      </c>
      <c r="CA5" s="130" t="s">
        <v>248</v>
      </c>
      <c r="CB5" s="130" t="s">
        <v>249</v>
      </c>
      <c r="CC5" s="130" t="s">
        <v>250</v>
      </c>
      <c r="CD5" s="130" t="s">
        <v>251</v>
      </c>
      <c r="CE5" s="130" t="s">
        <v>252</v>
      </c>
      <c r="CF5" s="130" t="s">
        <v>253</v>
      </c>
      <c r="CG5" s="130" t="s">
        <v>254</v>
      </c>
      <c r="CH5" s="130" t="s">
        <v>256</v>
      </c>
      <c r="CI5" s="130" t="s">
        <v>257</v>
      </c>
      <c r="CJ5" s="130" t="s">
        <v>1043</v>
      </c>
      <c r="CK5" s="130" t="s">
        <v>260</v>
      </c>
      <c r="CL5" s="130" t="s">
        <v>261</v>
      </c>
      <c r="CM5" s="130" t="s">
        <v>262</v>
      </c>
      <c r="CN5" s="130" t="s">
        <v>263</v>
      </c>
      <c r="CO5" s="130" t="s">
        <v>265</v>
      </c>
      <c r="CP5" s="130" t="s">
        <v>266</v>
      </c>
      <c r="CQ5" s="130" t="s">
        <v>1112</v>
      </c>
      <c r="CR5" s="130" t="s">
        <v>268</v>
      </c>
      <c r="CS5" s="130" t="s">
        <v>269</v>
      </c>
      <c r="CT5" s="130" t="s">
        <v>270</v>
      </c>
      <c r="CU5" s="130" t="s">
        <v>271</v>
      </c>
      <c r="CV5" s="130" t="s">
        <v>670</v>
      </c>
      <c r="CW5" s="130" t="s">
        <v>273</v>
      </c>
      <c r="CX5" s="130" t="s">
        <v>274</v>
      </c>
      <c r="CY5" s="130" t="s">
        <v>671</v>
      </c>
      <c r="CZ5" s="130" t="s">
        <v>277</v>
      </c>
      <c r="DA5" s="130" t="s">
        <v>278</v>
      </c>
      <c r="DB5" s="130" t="s">
        <v>279</v>
      </c>
      <c r="DC5" s="130" t="s">
        <v>771</v>
      </c>
      <c r="DD5" s="130" t="s">
        <v>281</v>
      </c>
      <c r="DE5" s="130" t="s">
        <v>282</v>
      </c>
      <c r="DF5" s="130" t="s">
        <v>283</v>
      </c>
      <c r="DG5" s="130" t="s">
        <v>284</v>
      </c>
      <c r="DH5" s="130" t="s">
        <v>678</v>
      </c>
      <c r="DI5" s="130" t="s">
        <v>778</v>
      </c>
      <c r="DJ5" s="130" t="s">
        <v>779</v>
      </c>
      <c r="DK5" s="130" t="s">
        <v>285</v>
      </c>
      <c r="DL5" s="130" t="s">
        <v>286</v>
      </c>
      <c r="DM5" s="130" t="s">
        <v>287</v>
      </c>
      <c r="DN5" s="130" t="s">
        <v>288</v>
      </c>
      <c r="DO5" s="130" t="s">
        <v>290</v>
      </c>
      <c r="DP5" s="130" t="s">
        <v>292</v>
      </c>
      <c r="DQ5" s="130" t="s">
        <v>293</v>
      </c>
      <c r="DR5" s="130" t="s">
        <v>294</v>
      </c>
      <c r="DS5" s="130" t="s">
        <v>1113</v>
      </c>
      <c r="DT5" s="130" t="s">
        <v>295</v>
      </c>
      <c r="DU5" s="130" t="s">
        <v>297</v>
      </c>
      <c r="DV5" s="130" t="s">
        <v>298</v>
      </c>
      <c r="DW5" s="130" t="s">
        <v>299</v>
      </c>
      <c r="DX5" s="130" t="s">
        <v>300</v>
      </c>
      <c r="DY5" s="130" t="s">
        <v>301</v>
      </c>
      <c r="DZ5" s="130" t="s">
        <v>302</v>
      </c>
      <c r="EA5" s="130" t="s">
        <v>1114</v>
      </c>
      <c r="EB5" s="130" t="s">
        <v>303</v>
      </c>
      <c r="EC5" s="130" t="s">
        <v>684</v>
      </c>
      <c r="ED5" s="130" t="s">
        <v>304</v>
      </c>
      <c r="EE5" s="130" t="s">
        <v>305</v>
      </c>
      <c r="EF5" s="130" t="s">
        <v>306</v>
      </c>
      <c r="EG5" s="130" t="s">
        <v>307</v>
      </c>
      <c r="EH5" s="130" t="s">
        <v>1115</v>
      </c>
      <c r="EI5" s="130" t="s">
        <v>308</v>
      </c>
      <c r="EJ5" s="130" t="s">
        <v>310</v>
      </c>
      <c r="EK5" s="130" t="s">
        <v>311</v>
      </c>
      <c r="EL5" s="130" t="s">
        <v>312</v>
      </c>
      <c r="EM5" s="130" t="s">
        <v>313</v>
      </c>
      <c r="EN5" s="130" t="s">
        <v>314</v>
      </c>
      <c r="EO5" s="130" t="s">
        <v>315</v>
      </c>
      <c r="EP5" s="130" t="s">
        <v>316</v>
      </c>
      <c r="EQ5" s="130" t="s">
        <v>317</v>
      </c>
      <c r="ER5" s="130" t="s">
        <v>318</v>
      </c>
      <c r="ES5" s="130" t="s">
        <v>319</v>
      </c>
      <c r="ET5" s="130" t="s">
        <v>320</v>
      </c>
      <c r="EU5" s="130" t="s">
        <v>321</v>
      </c>
      <c r="EV5" s="130" t="s">
        <v>322</v>
      </c>
      <c r="EW5" s="130" t="s">
        <v>323</v>
      </c>
      <c r="EX5" s="130" t="s">
        <v>324</v>
      </c>
      <c r="EY5" s="130" t="s">
        <v>325</v>
      </c>
      <c r="EZ5" s="130" t="s">
        <v>326</v>
      </c>
      <c r="FA5" s="130" t="s">
        <v>327</v>
      </c>
      <c r="FB5" s="130" t="s">
        <v>328</v>
      </c>
      <c r="FC5" s="130" t="s">
        <v>329</v>
      </c>
      <c r="FD5" s="130" t="s">
        <v>328</v>
      </c>
      <c r="FE5" s="130" t="s">
        <v>331</v>
      </c>
      <c r="FF5" s="130" t="s">
        <v>333</v>
      </c>
      <c r="FG5" s="130" t="s">
        <v>334</v>
      </c>
      <c r="FH5" s="130" t="s">
        <v>872</v>
      </c>
      <c r="FI5" s="130" t="s">
        <v>336</v>
      </c>
      <c r="FJ5" s="130" t="s">
        <v>337</v>
      </c>
      <c r="FK5" s="130" t="s">
        <v>688</v>
      </c>
      <c r="FL5" s="130" t="s">
        <v>341</v>
      </c>
      <c r="FM5" s="130" t="s">
        <v>339</v>
      </c>
      <c r="FN5" s="130" t="s">
        <v>873</v>
      </c>
      <c r="FO5" s="131"/>
      <c r="FP5" s="100"/>
      <c r="FQ5" s="101"/>
    </row>
    <row r="6" spans="1:177" s="112" customFormat="1" ht="11.4" customHeight="1">
      <c r="A6" s="132" t="s">
        <v>743</v>
      </c>
      <c r="B6" s="128" t="s">
        <v>744</v>
      </c>
      <c r="C6" s="128" t="s">
        <v>745</v>
      </c>
      <c r="D6" s="128" t="s">
        <v>746</v>
      </c>
      <c r="E6" s="133" t="s">
        <v>346</v>
      </c>
      <c r="F6" s="133"/>
      <c r="G6" s="134" t="s">
        <v>347</v>
      </c>
      <c r="H6" s="135" t="s">
        <v>350</v>
      </c>
      <c r="I6" s="135" t="s">
        <v>351</v>
      </c>
      <c r="J6" s="135" t="s">
        <v>353</v>
      </c>
      <c r="K6" s="135" t="s">
        <v>354</v>
      </c>
      <c r="L6" s="135" t="s">
        <v>355</v>
      </c>
      <c r="M6" s="135" t="s">
        <v>356</v>
      </c>
      <c r="N6" s="135" t="s">
        <v>358</v>
      </c>
      <c r="O6" s="135" t="s">
        <v>359</v>
      </c>
      <c r="P6" s="135" t="s">
        <v>360</v>
      </c>
      <c r="Q6" s="135" t="s">
        <v>362</v>
      </c>
      <c r="R6" s="135" t="s">
        <v>363</v>
      </c>
      <c r="S6" s="135" t="s">
        <v>689</v>
      </c>
      <c r="T6" s="135" t="s">
        <v>364</v>
      </c>
      <c r="U6" s="135" t="s">
        <v>365</v>
      </c>
      <c r="V6" s="135" t="s">
        <v>366</v>
      </c>
      <c r="W6" s="135" t="s">
        <v>367</v>
      </c>
      <c r="X6" s="135" t="s">
        <v>368</v>
      </c>
      <c r="Y6" s="135" t="s">
        <v>369</v>
      </c>
      <c r="Z6" s="135" t="s">
        <v>370</v>
      </c>
      <c r="AA6" s="135" t="s">
        <v>371</v>
      </c>
      <c r="AB6" s="135" t="s">
        <v>372</v>
      </c>
      <c r="AC6" s="135" t="s">
        <v>374</v>
      </c>
      <c r="AD6" s="135" t="s">
        <v>376</v>
      </c>
      <c r="AE6" s="135" t="s">
        <v>876</v>
      </c>
      <c r="AF6" s="135" t="s">
        <v>377</v>
      </c>
      <c r="AG6" s="135" t="s">
        <v>378</v>
      </c>
      <c r="AH6" s="135" t="s">
        <v>379</v>
      </c>
      <c r="AI6" s="135" t="s">
        <v>380</v>
      </c>
      <c r="AJ6" s="135" t="s">
        <v>381</v>
      </c>
      <c r="AK6" s="135" t="s">
        <v>1116</v>
      </c>
      <c r="AL6" s="135" t="s">
        <v>382</v>
      </c>
      <c r="AM6" s="135" t="s">
        <v>383</v>
      </c>
      <c r="AN6" s="135" t="s">
        <v>384</v>
      </c>
      <c r="AO6" s="135" t="s">
        <v>1117</v>
      </c>
      <c r="AP6" s="135" t="s">
        <v>385</v>
      </c>
      <c r="AQ6" s="135" t="s">
        <v>387</v>
      </c>
      <c r="AR6" s="135" t="s">
        <v>388</v>
      </c>
      <c r="AS6" s="135" t="s">
        <v>389</v>
      </c>
      <c r="AT6" s="135" t="s">
        <v>390</v>
      </c>
      <c r="AU6" s="135" t="s">
        <v>391</v>
      </c>
      <c r="AV6" s="135" t="s">
        <v>392</v>
      </c>
      <c r="AW6" s="135" t="s">
        <v>393</v>
      </c>
      <c r="AX6" s="135" t="s">
        <v>394</v>
      </c>
      <c r="AY6" s="135" t="s">
        <v>395</v>
      </c>
      <c r="AZ6" s="135" t="s">
        <v>396</v>
      </c>
      <c r="BA6" s="135" t="s">
        <v>397</v>
      </c>
      <c r="BB6" s="135" t="s">
        <v>399</v>
      </c>
      <c r="BC6" s="135" t="s">
        <v>400</v>
      </c>
      <c r="BD6" s="135" t="s">
        <v>401</v>
      </c>
      <c r="BE6" s="135" t="s">
        <v>402</v>
      </c>
      <c r="BF6" s="135" t="s">
        <v>403</v>
      </c>
      <c r="BG6" s="135" t="s">
        <v>404</v>
      </c>
      <c r="BH6" s="135" t="s">
        <v>405</v>
      </c>
      <c r="BI6" s="135" t="s">
        <v>406</v>
      </c>
      <c r="BJ6" s="135" t="s">
        <v>407</v>
      </c>
      <c r="BK6" s="135" t="s">
        <v>408</v>
      </c>
      <c r="BL6" s="135" t="s">
        <v>1118</v>
      </c>
      <c r="BM6" s="135" t="s">
        <v>412</v>
      </c>
      <c r="BN6" s="135" t="s">
        <v>409</v>
      </c>
      <c r="BO6" s="135" t="s">
        <v>413</v>
      </c>
      <c r="BP6" s="135" t="s">
        <v>414</v>
      </c>
      <c r="BQ6" s="135" t="s">
        <v>415</v>
      </c>
      <c r="BR6" s="135" t="s">
        <v>416</v>
      </c>
      <c r="BS6" s="135" t="s">
        <v>416</v>
      </c>
      <c r="BT6" s="135" t="s">
        <v>417</v>
      </c>
      <c r="BU6" s="135" t="s">
        <v>418</v>
      </c>
      <c r="BV6" s="135" t="s">
        <v>419</v>
      </c>
      <c r="BW6" s="135" t="s">
        <v>420</v>
      </c>
      <c r="BX6" s="135" t="s">
        <v>421</v>
      </c>
      <c r="BY6" s="135" t="s">
        <v>422</v>
      </c>
      <c r="BZ6" s="135" t="s">
        <v>423</v>
      </c>
      <c r="CA6" s="135" t="s">
        <v>424</v>
      </c>
      <c r="CB6" s="135" t="s">
        <v>425</v>
      </c>
      <c r="CC6" s="135" t="s">
        <v>426</v>
      </c>
      <c r="CD6" s="135" t="s">
        <v>427</v>
      </c>
      <c r="CE6" s="135" t="s">
        <v>428</v>
      </c>
      <c r="CF6" s="135" t="s">
        <v>428</v>
      </c>
      <c r="CG6" s="135" t="s">
        <v>429</v>
      </c>
      <c r="CH6" s="135" t="s">
        <v>430</v>
      </c>
      <c r="CI6" s="135" t="s">
        <v>431</v>
      </c>
      <c r="CJ6" s="135" t="s">
        <v>432</v>
      </c>
      <c r="CK6" s="135" t="s">
        <v>434</v>
      </c>
      <c r="CL6" s="135" t="s">
        <v>435</v>
      </c>
      <c r="CM6" s="135" t="s">
        <v>436</v>
      </c>
      <c r="CN6" s="135" t="s">
        <v>437</v>
      </c>
      <c r="CO6" s="135" t="s">
        <v>438</v>
      </c>
      <c r="CP6" s="135" t="s">
        <v>439</v>
      </c>
      <c r="CQ6" s="135" t="s">
        <v>440</v>
      </c>
      <c r="CR6" s="135" t="s">
        <v>441</v>
      </c>
      <c r="CS6" s="135" t="s">
        <v>442</v>
      </c>
      <c r="CT6" s="135" t="s">
        <v>443</v>
      </c>
      <c r="CU6" s="135" t="s">
        <v>444</v>
      </c>
      <c r="CV6" s="135" t="s">
        <v>445</v>
      </c>
      <c r="CW6" s="135" t="s">
        <v>446</v>
      </c>
      <c r="CX6" s="135" t="s">
        <v>447</v>
      </c>
      <c r="CY6" s="135" t="s">
        <v>448</v>
      </c>
      <c r="CZ6" s="135" t="s">
        <v>449</v>
      </c>
      <c r="DA6" s="135" t="s">
        <v>450</v>
      </c>
      <c r="DB6" s="135" t="s">
        <v>451</v>
      </c>
      <c r="DC6" s="135" t="s">
        <v>1119</v>
      </c>
      <c r="DD6" s="135" t="s">
        <v>452</v>
      </c>
      <c r="DE6" s="135" t="s">
        <v>453</v>
      </c>
      <c r="DF6" s="135" t="s">
        <v>454</v>
      </c>
      <c r="DG6" s="135" t="s">
        <v>455</v>
      </c>
      <c r="DH6" s="135" t="s">
        <v>455</v>
      </c>
      <c r="DI6" s="135" t="s">
        <v>877</v>
      </c>
      <c r="DJ6" s="135" t="s">
        <v>882</v>
      </c>
      <c r="DK6" s="135" t="s">
        <v>456</v>
      </c>
      <c r="DL6" s="135" t="s">
        <v>457</v>
      </c>
      <c r="DM6" s="135" t="s">
        <v>458</v>
      </c>
      <c r="DN6" s="135" t="s">
        <v>459</v>
      </c>
      <c r="DO6" s="135" t="s">
        <v>461</v>
      </c>
      <c r="DP6" s="135" t="s">
        <v>463</v>
      </c>
      <c r="DQ6" s="135" t="s">
        <v>464</v>
      </c>
      <c r="DR6" s="135" t="s">
        <v>465</v>
      </c>
      <c r="DS6" s="135" t="s">
        <v>794</v>
      </c>
      <c r="DT6" s="135" t="s">
        <v>466</v>
      </c>
      <c r="DU6" s="135" t="s">
        <v>468</v>
      </c>
      <c r="DV6" s="135" t="s">
        <v>469</v>
      </c>
      <c r="DW6" s="135" t="s">
        <v>470</v>
      </c>
      <c r="DX6" s="135" t="s">
        <v>471</v>
      </c>
      <c r="DY6" s="135" t="s">
        <v>472</v>
      </c>
      <c r="DZ6" s="135" t="s">
        <v>473</v>
      </c>
      <c r="EA6" s="135" t="s">
        <v>474</v>
      </c>
      <c r="EB6" s="135" t="s">
        <v>474</v>
      </c>
      <c r="EC6" s="135" t="s">
        <v>474</v>
      </c>
      <c r="ED6" s="135" t="s">
        <v>475</v>
      </c>
      <c r="EE6" s="135" t="s">
        <v>476</v>
      </c>
      <c r="EF6" s="135" t="s">
        <v>477</v>
      </c>
      <c r="EG6" s="135" t="s">
        <v>478</v>
      </c>
      <c r="EH6" s="135" t="s">
        <v>479</v>
      </c>
      <c r="EI6" s="135" t="s">
        <v>479</v>
      </c>
      <c r="EJ6" s="135" t="s">
        <v>480</v>
      </c>
      <c r="EK6" s="135" t="s">
        <v>481</v>
      </c>
      <c r="EL6" s="135" t="s">
        <v>482</v>
      </c>
      <c r="EM6" s="135" t="s">
        <v>483</v>
      </c>
      <c r="EN6" s="135" t="s">
        <v>484</v>
      </c>
      <c r="EO6" s="135" t="s">
        <v>485</v>
      </c>
      <c r="EP6" s="135" t="s">
        <v>486</v>
      </c>
      <c r="EQ6" s="135" t="s">
        <v>487</v>
      </c>
      <c r="ER6" s="135" t="s">
        <v>488</v>
      </c>
      <c r="ES6" s="135" t="s">
        <v>489</v>
      </c>
      <c r="ET6" s="135" t="s">
        <v>490</v>
      </c>
      <c r="EU6" s="135" t="s">
        <v>491</v>
      </c>
      <c r="EV6" s="135" t="s">
        <v>492</v>
      </c>
      <c r="EW6" s="135" t="s">
        <v>493</v>
      </c>
      <c r="EX6" s="135" t="s">
        <v>494</v>
      </c>
      <c r="EY6" s="135" t="s">
        <v>495</v>
      </c>
      <c r="EZ6" s="135" t="s">
        <v>496</v>
      </c>
      <c r="FA6" s="135" t="s">
        <v>497</v>
      </c>
      <c r="FB6" s="135" t="s">
        <v>498</v>
      </c>
      <c r="FC6" s="135" t="s">
        <v>499</v>
      </c>
      <c r="FD6" s="135" t="s">
        <v>500</v>
      </c>
      <c r="FE6" s="135" t="s">
        <v>501</v>
      </c>
      <c r="FF6" s="135" t="s">
        <v>502</v>
      </c>
      <c r="FG6" s="135" t="s">
        <v>503</v>
      </c>
      <c r="FH6" s="135" t="s">
        <v>885</v>
      </c>
      <c r="FI6" s="135" t="s">
        <v>505</v>
      </c>
      <c r="FJ6" s="135" t="s">
        <v>506</v>
      </c>
      <c r="FK6" s="135" t="s">
        <v>701</v>
      </c>
      <c r="FL6" s="135" t="s">
        <v>702</v>
      </c>
      <c r="FM6" s="135" t="s">
        <v>508</v>
      </c>
      <c r="FN6" s="135" t="s">
        <v>886</v>
      </c>
      <c r="FO6" s="137" t="s">
        <v>511</v>
      </c>
      <c r="FP6" s="137" t="s">
        <v>512</v>
      </c>
      <c r="FQ6" s="137" t="s">
        <v>513</v>
      </c>
      <c r="FR6" s="137" t="s">
        <v>514</v>
      </c>
      <c r="FS6" s="137" t="s">
        <v>515</v>
      </c>
      <c r="FT6" s="108"/>
      <c r="FU6" s="112" t="s">
        <v>516</v>
      </c>
    </row>
    <row r="7" spans="1:177" s="371" customFormat="1">
      <c r="A7" s="428" t="s">
        <v>926</v>
      </c>
      <c r="B7" s="369" t="s">
        <v>517</v>
      </c>
      <c r="C7" s="369" t="s">
        <v>518</v>
      </c>
      <c r="D7" s="369" t="s">
        <v>636</v>
      </c>
      <c r="E7" s="370" t="s">
        <v>519</v>
      </c>
      <c r="F7" s="369" t="s">
        <v>520</v>
      </c>
      <c r="G7" s="369"/>
      <c r="CU7" s="373">
        <f>2000-2000+610</f>
        <v>610</v>
      </c>
      <c r="DA7" s="373">
        <f>1000-1000+310</f>
        <v>310</v>
      </c>
      <c r="DG7" s="378">
        <f>7500-7500+3230-2500</f>
        <v>730</v>
      </c>
      <c r="DH7" s="372"/>
      <c r="DR7" s="417">
        <v>2</v>
      </c>
      <c r="DU7" s="373">
        <f>500-500+20</f>
        <v>20</v>
      </c>
      <c r="EA7" s="417">
        <v>30</v>
      </c>
      <c r="EB7" s="373">
        <f>5000-5000+2150</f>
        <v>2150</v>
      </c>
      <c r="EH7" s="417">
        <v>70</v>
      </c>
      <c r="EI7" s="378">
        <f>200-200+120-120</f>
        <v>0</v>
      </c>
      <c r="FO7" s="375" t="s">
        <v>850</v>
      </c>
      <c r="FP7" s="376" t="s">
        <v>1120</v>
      </c>
      <c r="FQ7" s="377" t="s">
        <v>522</v>
      </c>
      <c r="FR7" s="377" t="s">
        <v>850</v>
      </c>
      <c r="FS7" s="377" t="s">
        <v>523</v>
      </c>
      <c r="FT7" s="144">
        <f t="shared" ref="FT7:FT38" si="0">SUM(H7:FN7)</f>
        <v>3922</v>
      </c>
      <c r="FU7" s="371" t="s">
        <v>888</v>
      </c>
    </row>
    <row r="8" spans="1:177" s="371" customFormat="1">
      <c r="A8" s="368" t="s">
        <v>926</v>
      </c>
      <c r="B8" s="369" t="s">
        <v>517</v>
      </c>
      <c r="C8" s="369" t="s">
        <v>518</v>
      </c>
      <c r="D8" s="369" t="s">
        <v>633</v>
      </c>
      <c r="E8" s="370" t="s">
        <v>519</v>
      </c>
      <c r="F8" s="369" t="s">
        <v>520</v>
      </c>
      <c r="G8" s="369"/>
      <c r="H8" s="373">
        <f>200-200+200</f>
        <v>200</v>
      </c>
      <c r="I8" s="373">
        <f>500-500+240+10</f>
        <v>250</v>
      </c>
      <c r="J8" s="373">
        <f>500-500</f>
        <v>0</v>
      </c>
      <c r="K8" s="373">
        <f>800-800+180</f>
        <v>180</v>
      </c>
      <c r="L8" s="373">
        <f>1500-1500+235</f>
        <v>235</v>
      </c>
      <c r="M8" s="373">
        <f>100-100</f>
        <v>0</v>
      </c>
      <c r="N8" s="373">
        <f>1000-1000</f>
        <v>0</v>
      </c>
      <c r="O8" s="373">
        <f>1000-1000+300</f>
        <v>300</v>
      </c>
      <c r="P8" s="378">
        <f>100-100+1-1</f>
        <v>0</v>
      </c>
      <c r="R8" s="373">
        <f>2000-2000+20</f>
        <v>20</v>
      </c>
      <c r="S8" s="373">
        <f>2000-2000+30</f>
        <v>30</v>
      </c>
      <c r="T8" s="373">
        <f>2000-2000</f>
        <v>0</v>
      </c>
      <c r="U8" s="373">
        <f>2000-2000+50</f>
        <v>50</v>
      </c>
      <c r="V8" s="373">
        <f>2000-2000+50</f>
        <v>50</v>
      </c>
      <c r="W8" s="373">
        <f>2000-2000+6</f>
        <v>6</v>
      </c>
      <c r="X8" s="378">
        <f>3000-3000+200-200</f>
        <v>0</v>
      </c>
      <c r="Y8" s="373">
        <f>200-200</f>
        <v>0</v>
      </c>
      <c r="Z8" s="373">
        <f>500-500</f>
        <v>0</v>
      </c>
      <c r="AA8" s="373">
        <f>200-200</f>
        <v>0</v>
      </c>
      <c r="AB8" s="372" t="s">
        <v>850</v>
      </c>
      <c r="AC8" s="373">
        <f>1000-1000</f>
        <v>0</v>
      </c>
      <c r="AD8" s="373">
        <f>1000-1000</f>
        <v>0</v>
      </c>
      <c r="AE8" s="373">
        <f>1000-1000</f>
        <v>0</v>
      </c>
      <c r="AF8" s="372" t="s">
        <v>850</v>
      </c>
      <c r="AG8" s="372" t="s">
        <v>850</v>
      </c>
      <c r="AH8" s="372" t="s">
        <v>850</v>
      </c>
      <c r="AI8" s="372" t="s">
        <v>850</v>
      </c>
      <c r="AJ8" s="372" t="s">
        <v>850</v>
      </c>
      <c r="AK8" s="372" t="s">
        <v>850</v>
      </c>
      <c r="AL8" s="372" t="s">
        <v>850</v>
      </c>
      <c r="AM8" s="372" t="s">
        <v>850</v>
      </c>
      <c r="AN8" s="372" t="s">
        <v>850</v>
      </c>
      <c r="AO8" s="372" t="s">
        <v>850</v>
      </c>
      <c r="AP8" s="372" t="s">
        <v>850</v>
      </c>
      <c r="AS8" s="373">
        <f>400-400+7</f>
        <v>7</v>
      </c>
      <c r="AT8" s="373">
        <f>500-500</f>
        <v>0</v>
      </c>
      <c r="AU8" s="373">
        <f>1000-1000+320</f>
        <v>320</v>
      </c>
      <c r="AV8" s="373">
        <f>800-800+320</f>
        <v>320</v>
      </c>
      <c r="AW8" s="373">
        <f>800-800</f>
        <v>0</v>
      </c>
      <c r="AX8" s="373">
        <f>500-500+13</f>
        <v>13</v>
      </c>
      <c r="AY8" s="373">
        <f>1000-1000+470</f>
        <v>470</v>
      </c>
      <c r="AZ8" s="372" t="s">
        <v>850</v>
      </c>
      <c r="BA8" s="372" t="s">
        <v>850</v>
      </c>
      <c r="BB8" s="372" t="s">
        <v>850</v>
      </c>
      <c r="BC8" s="373">
        <f>200-200+36</f>
        <v>36</v>
      </c>
      <c r="BD8" s="373">
        <f>200-200+25</f>
        <v>25</v>
      </c>
      <c r="BE8" s="373">
        <f>500-500</f>
        <v>0</v>
      </c>
      <c r="BF8" s="373">
        <f>500-500</f>
        <v>0</v>
      </c>
      <c r="BG8" s="373">
        <f>800-800+680</f>
        <v>680</v>
      </c>
      <c r="BH8" s="373">
        <f>300-300</f>
        <v>0</v>
      </c>
      <c r="BI8" s="373">
        <f>300-300</f>
        <v>0</v>
      </c>
      <c r="BJ8" s="373">
        <f>1000-1000+340</f>
        <v>340</v>
      </c>
      <c r="BK8" s="373">
        <f>100-100+92</f>
        <v>92</v>
      </c>
      <c r="BL8" s="372" t="s">
        <v>850</v>
      </c>
      <c r="BM8" s="372" t="s">
        <v>850</v>
      </c>
      <c r="BN8" s="372" t="s">
        <v>850</v>
      </c>
      <c r="BO8" s="373">
        <f>500-500</f>
        <v>0</v>
      </c>
      <c r="BP8" s="373">
        <f>500-500+125</f>
        <v>125</v>
      </c>
      <c r="BQ8" s="373">
        <f>1000-1000+20</f>
        <v>20</v>
      </c>
      <c r="BR8" s="373">
        <f>1200-1200+5</f>
        <v>5</v>
      </c>
      <c r="BS8" s="373">
        <f>1200-1200+4</f>
        <v>4</v>
      </c>
      <c r="BT8" s="417">
        <v>10</v>
      </c>
      <c r="BU8" s="373">
        <f>3000-3000+1440</f>
        <v>1440</v>
      </c>
      <c r="BV8" s="373">
        <f>800-800+380</f>
        <v>380</v>
      </c>
      <c r="BW8" s="373">
        <f>2000-2000</f>
        <v>0</v>
      </c>
      <c r="BX8" s="373">
        <f>1000-1000</f>
        <v>0</v>
      </c>
      <c r="BY8" s="373">
        <f>1000-1000+360</f>
        <v>360</v>
      </c>
      <c r="BZ8" s="373">
        <f>1000-1000+560</f>
        <v>560</v>
      </c>
      <c r="CA8" s="373">
        <f>3000-3000+660</f>
        <v>660</v>
      </c>
      <c r="CB8" s="373">
        <f>1000-1000+27</f>
        <v>27</v>
      </c>
      <c r="CC8" s="373">
        <f>2000-2000+2</f>
        <v>2</v>
      </c>
      <c r="CD8" s="373">
        <f>3000-3000</f>
        <v>0</v>
      </c>
      <c r="CE8" s="373">
        <f>2000-2000+1140</f>
        <v>1140</v>
      </c>
      <c r="CF8" s="374">
        <f>6-6</f>
        <v>0</v>
      </c>
      <c r="CG8" s="373">
        <f>5000-5000+2510</f>
        <v>2510</v>
      </c>
      <c r="CH8" s="373">
        <f>1500-1500+760</f>
        <v>760</v>
      </c>
      <c r="CI8" s="378">
        <f>1-1</f>
        <v>0</v>
      </c>
      <c r="CJ8" s="378">
        <f>1-1</f>
        <v>0</v>
      </c>
      <c r="CK8" s="373">
        <f>1000-1000</f>
        <v>0</v>
      </c>
      <c r="CL8" s="373">
        <f>1000-1000+1080</f>
        <v>1080</v>
      </c>
      <c r="CM8" s="373">
        <f>3000-3000+935</f>
        <v>935</v>
      </c>
      <c r="CN8" s="373">
        <f>4000-4000+3450</f>
        <v>3450</v>
      </c>
      <c r="CO8" s="373">
        <f>2000-2000+620</f>
        <v>620</v>
      </c>
      <c r="CP8" s="373">
        <f>5000-5000+1270</f>
        <v>1270</v>
      </c>
      <c r="CQ8" s="372" t="s">
        <v>850</v>
      </c>
      <c r="CR8" s="378">
        <f>200-200+1-1</f>
        <v>0</v>
      </c>
      <c r="CS8" s="373">
        <f>200-200</f>
        <v>0</v>
      </c>
      <c r="CT8" s="372" t="s">
        <v>850</v>
      </c>
      <c r="CV8" s="372" t="s">
        <v>850</v>
      </c>
      <c r="CW8" s="373">
        <f>2000-2000+620</f>
        <v>620</v>
      </c>
      <c r="CX8" s="373">
        <f>5000-5000+685</f>
        <v>685</v>
      </c>
      <c r="CY8" s="373">
        <f>1000-1000+55</f>
        <v>55</v>
      </c>
      <c r="CZ8" s="373">
        <f>5000-5000</f>
        <v>0</v>
      </c>
      <c r="DB8" s="372" t="s">
        <v>850</v>
      </c>
      <c r="DC8" s="373">
        <f>5000-5000</f>
        <v>0</v>
      </c>
      <c r="DD8" s="373">
        <f>100-100</f>
        <v>0</v>
      </c>
      <c r="DE8" s="373">
        <f>1000-1000</f>
        <v>0</v>
      </c>
      <c r="DF8" s="378">
        <f>15-15</f>
        <v>0</v>
      </c>
      <c r="DG8" s="417">
        <v>340</v>
      </c>
      <c r="DH8" s="378">
        <f>2-2</f>
        <v>0</v>
      </c>
      <c r="DI8" s="372" t="s">
        <v>850</v>
      </c>
      <c r="DJ8" s="372" t="s">
        <v>850</v>
      </c>
      <c r="DK8" s="461">
        <f>1500-1500+160</f>
        <v>160</v>
      </c>
      <c r="DL8" s="372" t="s">
        <v>850</v>
      </c>
      <c r="DM8" s="373">
        <v>10</v>
      </c>
      <c r="DN8" s="372" t="s">
        <v>850</v>
      </c>
      <c r="DO8" s="373">
        <f>6000-6000</f>
        <v>0</v>
      </c>
      <c r="DP8" s="372" t="s">
        <v>850</v>
      </c>
      <c r="DQ8" s="373">
        <f>1000-1000+60</f>
        <v>60</v>
      </c>
      <c r="DR8" s="373">
        <v>13</v>
      </c>
      <c r="DT8" s="373">
        <f>3000-3000</f>
        <v>0</v>
      </c>
      <c r="DV8" s="373">
        <f>5000-5000</f>
        <v>0</v>
      </c>
      <c r="DW8" s="373">
        <f>2000-2000</f>
        <v>0</v>
      </c>
      <c r="DX8" s="373">
        <f>200-200</f>
        <v>0</v>
      </c>
      <c r="DY8" s="373">
        <f>1000-1000</f>
        <v>0</v>
      </c>
      <c r="DZ8" s="373">
        <f>3000-3000+1160</f>
        <v>1160</v>
      </c>
      <c r="ED8" s="373">
        <f>3000-3000</f>
        <v>0</v>
      </c>
      <c r="EE8" s="373">
        <f>100-100</f>
        <v>0</v>
      </c>
      <c r="EF8" s="373">
        <f>500-500</f>
        <v>0</v>
      </c>
      <c r="EG8" s="373">
        <f>1000-1000</f>
        <v>0</v>
      </c>
      <c r="EH8" s="372"/>
      <c r="EJ8" s="373">
        <f>100-100</f>
        <v>0</v>
      </c>
      <c r="EK8" s="373">
        <f>3000-3000+560</f>
        <v>560</v>
      </c>
      <c r="EL8" s="373">
        <f>1000-1000+400</f>
        <v>400</v>
      </c>
      <c r="EM8" s="373">
        <f>500-500</f>
        <v>0</v>
      </c>
      <c r="EN8" s="373">
        <f>100-100</f>
        <v>0</v>
      </c>
      <c r="EO8" s="378">
        <f>100-100+10-10</f>
        <v>0</v>
      </c>
      <c r="EP8" s="373">
        <f>100-100</f>
        <v>0</v>
      </c>
      <c r="EQ8" s="372" t="s">
        <v>850</v>
      </c>
      <c r="ER8" s="372" t="s">
        <v>850</v>
      </c>
      <c r="ES8" s="372" t="s">
        <v>850</v>
      </c>
      <c r="ET8" s="372" t="s">
        <v>850</v>
      </c>
      <c r="EU8" s="372" t="s">
        <v>850</v>
      </c>
      <c r="EV8" s="372" t="s">
        <v>850</v>
      </c>
      <c r="EW8" s="372" t="s">
        <v>850</v>
      </c>
      <c r="EX8" s="372" t="s">
        <v>850</v>
      </c>
      <c r="EY8" s="372" t="s">
        <v>850</v>
      </c>
      <c r="EZ8" s="372" t="s">
        <v>850</v>
      </c>
      <c r="FA8" s="372" t="s">
        <v>850</v>
      </c>
      <c r="FB8" s="372" t="s">
        <v>850</v>
      </c>
      <c r="FC8" s="372" t="s">
        <v>850</v>
      </c>
      <c r="FD8" s="372" t="s">
        <v>850</v>
      </c>
      <c r="FE8" s="372" t="s">
        <v>850</v>
      </c>
      <c r="FF8" s="372" t="s">
        <v>850</v>
      </c>
      <c r="FG8" s="373">
        <f>100-100</f>
        <v>0</v>
      </c>
      <c r="FH8" s="372" t="s">
        <v>850</v>
      </c>
      <c r="FI8" s="372" t="s">
        <v>850</v>
      </c>
      <c r="FJ8" s="372" t="s">
        <v>850</v>
      </c>
      <c r="FK8" s="372" t="s">
        <v>850</v>
      </c>
      <c r="FL8" s="372" t="s">
        <v>850</v>
      </c>
      <c r="FM8" s="372" t="s">
        <v>850</v>
      </c>
      <c r="FN8" s="372" t="s">
        <v>850</v>
      </c>
      <c r="FO8" s="375" t="s">
        <v>850</v>
      </c>
      <c r="FP8" s="376" t="s">
        <v>1120</v>
      </c>
      <c r="FQ8" s="377" t="s">
        <v>522</v>
      </c>
      <c r="FR8" s="377" t="s">
        <v>850</v>
      </c>
      <c r="FS8" s="377" t="s">
        <v>523</v>
      </c>
      <c r="FT8" s="144">
        <f t="shared" si="0"/>
        <v>23045</v>
      </c>
      <c r="FU8" s="371" t="s">
        <v>888</v>
      </c>
    </row>
    <row r="9" spans="1:177" s="371" customFormat="1">
      <c r="A9" s="368" t="s">
        <v>926</v>
      </c>
      <c r="B9" s="369" t="s">
        <v>517</v>
      </c>
      <c r="C9" s="369" t="s">
        <v>518</v>
      </c>
      <c r="D9" s="369" t="s">
        <v>632</v>
      </c>
      <c r="E9" s="370" t="s">
        <v>519</v>
      </c>
      <c r="F9" s="369" t="s">
        <v>520</v>
      </c>
      <c r="G9" s="369"/>
      <c r="H9" s="372"/>
      <c r="I9" s="372"/>
      <c r="J9" s="372"/>
      <c r="K9" s="372"/>
      <c r="L9" s="372"/>
      <c r="M9" s="372"/>
      <c r="N9" s="372"/>
      <c r="O9" s="372"/>
      <c r="P9" s="372"/>
      <c r="Q9" s="378">
        <f>1000-1000+2-2</f>
        <v>0</v>
      </c>
      <c r="R9" s="373">
        <v>30</v>
      </c>
      <c r="S9" s="372"/>
      <c r="T9" s="372"/>
      <c r="U9" s="372"/>
      <c r="V9" s="373">
        <v>20</v>
      </c>
      <c r="X9" s="372"/>
      <c r="Y9" s="372"/>
      <c r="Z9" s="372"/>
      <c r="AA9" s="372"/>
      <c r="AB9" s="372"/>
      <c r="AC9" s="372"/>
      <c r="AD9" s="372"/>
      <c r="AE9" s="372"/>
      <c r="AF9" s="372"/>
      <c r="AG9" s="372"/>
      <c r="AH9" s="372"/>
      <c r="AI9" s="372"/>
      <c r="AJ9" s="372"/>
      <c r="AK9" s="372"/>
      <c r="AL9" s="372"/>
      <c r="AM9" s="372"/>
      <c r="AN9" s="373">
        <v>33</v>
      </c>
      <c r="AO9" s="372"/>
      <c r="AP9" s="372"/>
      <c r="AQ9" s="373">
        <f>200-200+5</f>
        <v>5</v>
      </c>
      <c r="AR9" s="373">
        <f>200-200+85</f>
        <v>85</v>
      </c>
      <c r="AS9" s="372"/>
      <c r="AT9" s="372"/>
      <c r="AU9" s="372"/>
      <c r="AV9" s="372"/>
      <c r="AW9" s="372"/>
      <c r="AX9" s="372"/>
      <c r="AY9" s="372"/>
      <c r="AZ9" s="372"/>
      <c r="BA9" s="372"/>
      <c r="BB9" s="372"/>
      <c r="BC9" s="372"/>
      <c r="BD9" s="372"/>
      <c r="BE9" s="372"/>
      <c r="BF9" s="372"/>
      <c r="BG9" s="372"/>
      <c r="BH9" s="372"/>
      <c r="BI9" s="372"/>
      <c r="BJ9" s="372"/>
      <c r="BK9" s="372"/>
      <c r="BL9" s="372"/>
      <c r="BM9" s="372"/>
      <c r="BN9" s="372"/>
      <c r="BO9" s="372"/>
      <c r="BP9" s="372"/>
      <c r="BQ9" s="372"/>
      <c r="BR9" s="372"/>
      <c r="BS9" s="372"/>
      <c r="BT9" s="373">
        <f>500-500+285</f>
        <v>285</v>
      </c>
      <c r="BU9" s="372"/>
      <c r="BV9" s="372"/>
      <c r="BW9" s="372"/>
      <c r="BX9" s="372"/>
      <c r="BY9" s="372"/>
      <c r="BZ9" s="372"/>
      <c r="CA9" s="372"/>
      <c r="CB9" s="372"/>
      <c r="CC9" s="372"/>
      <c r="CD9" s="372"/>
      <c r="CE9" s="372"/>
      <c r="CG9" s="372"/>
      <c r="CH9" s="372"/>
      <c r="CI9" s="372"/>
      <c r="CJ9" s="372"/>
      <c r="CK9" s="372"/>
      <c r="CL9" s="372"/>
      <c r="CM9" s="372"/>
      <c r="CN9" s="372"/>
      <c r="CO9" s="372"/>
      <c r="CP9" s="372"/>
      <c r="CQ9" s="372"/>
      <c r="CR9" s="372"/>
      <c r="CS9" s="372"/>
      <c r="CT9" s="372"/>
      <c r="CU9" s="372"/>
      <c r="CV9" s="372"/>
      <c r="CW9" s="372"/>
      <c r="CX9" s="372"/>
      <c r="CY9" s="372"/>
      <c r="CZ9" s="372"/>
      <c r="DA9" s="372"/>
      <c r="DB9" s="372"/>
      <c r="DC9" s="372"/>
      <c r="DD9" s="372"/>
      <c r="DE9" s="372"/>
      <c r="DF9" s="372"/>
      <c r="DG9" s="372"/>
      <c r="DH9" s="372"/>
      <c r="DI9" s="372"/>
      <c r="DJ9" s="372"/>
      <c r="DK9" s="372"/>
      <c r="DL9" s="372"/>
      <c r="DM9" s="372"/>
      <c r="DN9" s="372"/>
      <c r="DO9" s="372"/>
      <c r="DP9" s="372"/>
      <c r="DQ9" s="372"/>
      <c r="DR9" s="372"/>
      <c r="DS9" s="372"/>
      <c r="DT9" s="372"/>
      <c r="DU9" s="372"/>
      <c r="DV9" s="372"/>
      <c r="DW9" s="372"/>
      <c r="DX9" s="372"/>
      <c r="DY9" s="372"/>
      <c r="DZ9" s="372"/>
      <c r="EB9" s="372"/>
      <c r="ED9" s="372"/>
      <c r="EE9" s="372"/>
      <c r="EF9" s="372"/>
      <c r="EG9" s="372"/>
      <c r="EH9" s="372"/>
      <c r="EI9" s="372"/>
      <c r="EJ9" s="372"/>
      <c r="EK9" s="372"/>
      <c r="EL9" s="372"/>
      <c r="EM9" s="372"/>
      <c r="EN9" s="372"/>
      <c r="EO9" s="372"/>
      <c r="EP9" s="372"/>
      <c r="EQ9" s="372"/>
      <c r="ER9" s="372"/>
      <c r="ES9" s="372"/>
      <c r="ET9" s="372"/>
      <c r="EU9" s="372"/>
      <c r="EV9" s="372"/>
      <c r="EW9" s="372"/>
      <c r="EX9" s="372"/>
      <c r="EY9" s="372"/>
      <c r="EZ9" s="372"/>
      <c r="FA9" s="372"/>
      <c r="FB9" s="372"/>
      <c r="FC9" s="372"/>
      <c r="FD9" s="372"/>
      <c r="FE9" s="372"/>
      <c r="FF9" s="372"/>
      <c r="FG9" s="372"/>
      <c r="FH9" s="372"/>
      <c r="FI9" s="372"/>
      <c r="FJ9" s="372"/>
      <c r="FK9" s="372"/>
      <c r="FL9" s="372"/>
      <c r="FM9" s="372"/>
      <c r="FN9" s="372"/>
      <c r="FO9" s="375" t="s">
        <v>850</v>
      </c>
      <c r="FP9" s="376" t="s">
        <v>1120</v>
      </c>
      <c r="FQ9" s="377" t="s">
        <v>522</v>
      </c>
      <c r="FR9" s="377" t="s">
        <v>850</v>
      </c>
      <c r="FS9" s="377" t="s">
        <v>523</v>
      </c>
      <c r="FT9" s="144">
        <f t="shared" si="0"/>
        <v>458</v>
      </c>
      <c r="FU9" s="371" t="s">
        <v>888</v>
      </c>
    </row>
    <row r="10" spans="1:177" s="371" customFormat="1">
      <c r="A10" s="368" t="s">
        <v>926</v>
      </c>
      <c r="B10" s="369" t="s">
        <v>525</v>
      </c>
      <c r="C10" s="369" t="s">
        <v>518</v>
      </c>
      <c r="D10" s="369" t="s">
        <v>8</v>
      </c>
      <c r="E10" s="379" t="s">
        <v>519</v>
      </c>
      <c r="F10" s="369" t="s">
        <v>520</v>
      </c>
      <c r="G10" s="369"/>
      <c r="DH10" s="372"/>
      <c r="EH10" s="372"/>
      <c r="ER10" s="373">
        <f>10000-10000+1620</f>
        <v>1620</v>
      </c>
      <c r="EU10" s="373">
        <f>3000-3000+650</f>
        <v>650</v>
      </c>
      <c r="EX10" s="373">
        <f>2000-2000+930</f>
        <v>930</v>
      </c>
      <c r="FO10" s="375" t="s">
        <v>850</v>
      </c>
      <c r="FP10" s="376" t="s">
        <v>1120</v>
      </c>
      <c r="FQ10" s="377" t="s">
        <v>522</v>
      </c>
      <c r="FR10" s="377" t="s">
        <v>850</v>
      </c>
      <c r="FS10" s="377" t="s">
        <v>523</v>
      </c>
      <c r="FT10" s="144">
        <f t="shared" si="0"/>
        <v>3200</v>
      </c>
      <c r="FU10" s="371" t="s">
        <v>888</v>
      </c>
    </row>
    <row r="11" spans="1:177" s="371" customFormat="1">
      <c r="A11" s="368" t="s">
        <v>926</v>
      </c>
      <c r="B11" s="369" t="s">
        <v>525</v>
      </c>
      <c r="C11" s="369" t="s">
        <v>518</v>
      </c>
      <c r="D11" s="369" t="s">
        <v>4</v>
      </c>
      <c r="E11" s="379" t="s">
        <v>519</v>
      </c>
      <c r="F11" s="369" t="s">
        <v>520</v>
      </c>
      <c r="G11" s="369"/>
      <c r="H11" s="372" t="s">
        <v>850</v>
      </c>
      <c r="I11" s="372"/>
      <c r="J11" s="372" t="s">
        <v>850</v>
      </c>
      <c r="K11" s="372"/>
      <c r="L11" s="372"/>
      <c r="M11" s="372" t="s">
        <v>850</v>
      </c>
      <c r="N11" s="372" t="s">
        <v>850</v>
      </c>
      <c r="O11" s="372"/>
      <c r="P11" s="372"/>
      <c r="Q11" s="372" t="s">
        <v>850</v>
      </c>
      <c r="R11" s="372" t="s">
        <v>850</v>
      </c>
      <c r="S11" s="372"/>
      <c r="T11" s="372" t="s">
        <v>850</v>
      </c>
      <c r="U11" s="372" t="s">
        <v>850</v>
      </c>
      <c r="V11" s="372" t="s">
        <v>850</v>
      </c>
      <c r="W11" s="372" t="s">
        <v>850</v>
      </c>
      <c r="X11" s="372"/>
      <c r="Y11" s="372" t="s">
        <v>850</v>
      </c>
      <c r="Z11" s="372" t="s">
        <v>850</v>
      </c>
      <c r="AA11" s="372" t="s">
        <v>850</v>
      </c>
      <c r="AB11" s="372" t="s">
        <v>850</v>
      </c>
      <c r="AC11" s="372" t="s">
        <v>850</v>
      </c>
      <c r="AD11" s="372" t="s">
        <v>850</v>
      </c>
      <c r="AE11" s="372" t="s">
        <v>850</v>
      </c>
      <c r="AF11" s="372" t="s">
        <v>850</v>
      </c>
      <c r="AG11" s="372" t="s">
        <v>850</v>
      </c>
      <c r="AH11" s="372" t="s">
        <v>850</v>
      </c>
      <c r="AI11" s="372" t="s">
        <v>850</v>
      </c>
      <c r="AJ11" s="372" t="s">
        <v>850</v>
      </c>
      <c r="AK11" s="372" t="s">
        <v>850</v>
      </c>
      <c r="AL11" s="373">
        <f>1000-1000</f>
        <v>0</v>
      </c>
      <c r="AM11" s="372" t="s">
        <v>850</v>
      </c>
      <c r="AN11" s="372"/>
      <c r="AO11" s="372" t="s">
        <v>850</v>
      </c>
      <c r="AP11" s="372" t="s">
        <v>850</v>
      </c>
      <c r="AQ11" s="372" t="s">
        <v>850</v>
      </c>
      <c r="AR11" s="372"/>
      <c r="AS11" s="372"/>
      <c r="AT11" s="372" t="s">
        <v>850</v>
      </c>
      <c r="AU11" s="372" t="s">
        <v>850</v>
      </c>
      <c r="AV11" s="372" t="s">
        <v>850</v>
      </c>
      <c r="AW11" s="372" t="s">
        <v>850</v>
      </c>
      <c r="AX11" s="372" t="s">
        <v>850</v>
      </c>
      <c r="AY11" s="372" t="s">
        <v>850</v>
      </c>
      <c r="AZ11" s="372" t="s">
        <v>850</v>
      </c>
      <c r="BA11" s="372" t="s">
        <v>850</v>
      </c>
      <c r="BB11" s="372" t="s">
        <v>850</v>
      </c>
      <c r="BC11" s="372"/>
      <c r="BD11" s="372"/>
      <c r="BE11" s="372" t="s">
        <v>850</v>
      </c>
      <c r="BF11" s="372" t="s">
        <v>850</v>
      </c>
      <c r="BG11" s="372"/>
      <c r="BH11" s="372" t="s">
        <v>850</v>
      </c>
      <c r="BI11" s="372" t="s">
        <v>850</v>
      </c>
      <c r="BJ11" s="372"/>
      <c r="BK11" s="372"/>
      <c r="BL11" s="372" t="s">
        <v>850</v>
      </c>
      <c r="BM11" s="372" t="s">
        <v>850</v>
      </c>
      <c r="BN11" s="372" t="s">
        <v>850</v>
      </c>
      <c r="BO11" s="372" t="s">
        <v>850</v>
      </c>
      <c r="BP11" s="372"/>
      <c r="BQ11" s="372" t="s">
        <v>850</v>
      </c>
      <c r="BR11" s="372" t="s">
        <v>850</v>
      </c>
      <c r="BS11" s="372" t="s">
        <v>850</v>
      </c>
      <c r="BT11" s="372"/>
      <c r="BU11" s="372"/>
      <c r="BV11" s="372"/>
      <c r="BW11" s="372"/>
      <c r="BX11" s="372" t="s">
        <v>850</v>
      </c>
      <c r="BY11" s="372" t="s">
        <v>850</v>
      </c>
      <c r="BZ11" s="372" t="s">
        <v>850</v>
      </c>
      <c r="CA11" s="372" t="s">
        <v>850</v>
      </c>
      <c r="CB11" s="372" t="s">
        <v>850</v>
      </c>
      <c r="CC11" s="372" t="s">
        <v>850</v>
      </c>
      <c r="CD11" s="372" t="s">
        <v>850</v>
      </c>
      <c r="CE11" s="372"/>
      <c r="CG11" s="372" t="s">
        <v>850</v>
      </c>
      <c r="CH11" s="372" t="s">
        <v>850</v>
      </c>
      <c r="CI11" s="372" t="s">
        <v>850</v>
      </c>
      <c r="CJ11" s="372" t="s">
        <v>850</v>
      </c>
      <c r="CK11" s="372" t="s">
        <v>850</v>
      </c>
      <c r="CL11" s="372" t="s">
        <v>850</v>
      </c>
      <c r="CM11" s="372" t="s">
        <v>850</v>
      </c>
      <c r="CN11" s="372" t="s">
        <v>850</v>
      </c>
      <c r="CO11" s="372" t="s">
        <v>850</v>
      </c>
      <c r="CP11" s="372" t="s">
        <v>850</v>
      </c>
      <c r="CQ11" s="372" t="s">
        <v>850</v>
      </c>
      <c r="CR11" s="372" t="s">
        <v>850</v>
      </c>
      <c r="CS11" s="372" t="s">
        <v>850</v>
      </c>
      <c r="CT11" s="372" t="s">
        <v>850</v>
      </c>
      <c r="CU11" s="372"/>
      <c r="CV11" s="372"/>
      <c r="CW11" s="372"/>
      <c r="CX11" s="372"/>
      <c r="CY11" s="372"/>
      <c r="CZ11" s="372" t="s">
        <v>850</v>
      </c>
      <c r="DA11" s="372" t="s">
        <v>850</v>
      </c>
      <c r="DB11" s="372" t="s">
        <v>850</v>
      </c>
      <c r="DC11" s="372" t="s">
        <v>850</v>
      </c>
      <c r="DD11" s="372" t="s">
        <v>850</v>
      </c>
      <c r="DE11" s="372" t="s">
        <v>850</v>
      </c>
      <c r="DF11" s="372" t="s">
        <v>850</v>
      </c>
      <c r="DG11" s="372"/>
      <c r="DH11" s="372"/>
      <c r="DI11" s="372" t="s">
        <v>850</v>
      </c>
      <c r="DJ11" s="372" t="s">
        <v>850</v>
      </c>
      <c r="DK11" s="372"/>
      <c r="DL11" s="372" t="s">
        <v>850</v>
      </c>
      <c r="DM11" s="372" t="s">
        <v>850</v>
      </c>
      <c r="DN11" s="372" t="s">
        <v>850</v>
      </c>
      <c r="DO11" s="372" t="s">
        <v>850</v>
      </c>
      <c r="DP11" s="372" t="s">
        <v>850</v>
      </c>
      <c r="DQ11" s="372" t="s">
        <v>850</v>
      </c>
      <c r="DR11" s="372"/>
      <c r="DS11" s="372"/>
      <c r="DT11" s="372" t="s">
        <v>850</v>
      </c>
      <c r="DU11" s="372" t="s">
        <v>850</v>
      </c>
      <c r="DV11" s="372" t="s">
        <v>850</v>
      </c>
      <c r="DW11" s="372" t="s">
        <v>850</v>
      </c>
      <c r="DX11" s="372" t="s">
        <v>850</v>
      </c>
      <c r="DY11" s="372" t="s">
        <v>850</v>
      </c>
      <c r="DZ11" s="372"/>
      <c r="EB11" s="372"/>
      <c r="ED11" s="372" t="s">
        <v>850</v>
      </c>
      <c r="EE11" s="372" t="s">
        <v>850</v>
      </c>
      <c r="EF11" s="372" t="s">
        <v>850</v>
      </c>
      <c r="EG11" s="372" t="s">
        <v>850</v>
      </c>
      <c r="EH11" s="372"/>
      <c r="EI11" s="372" t="s">
        <v>850</v>
      </c>
      <c r="EJ11" s="372" t="s">
        <v>850</v>
      </c>
      <c r="EK11" s="372"/>
      <c r="EL11" s="372"/>
      <c r="EM11" s="372" t="s">
        <v>850</v>
      </c>
      <c r="EN11" s="372" t="s">
        <v>850</v>
      </c>
      <c r="EO11" s="372" t="s">
        <v>850</v>
      </c>
      <c r="EP11" s="372" t="s">
        <v>850</v>
      </c>
      <c r="EQ11" s="373">
        <f>3000-3000</f>
        <v>0</v>
      </c>
      <c r="ES11" s="378">
        <f>5000-5000+60-60</f>
        <v>0</v>
      </c>
      <c r="ET11" s="373">
        <f>500-500</f>
        <v>0</v>
      </c>
      <c r="EV11" s="373">
        <f>3000-3000+960</f>
        <v>960</v>
      </c>
      <c r="EW11" s="373">
        <f>3000-3000</f>
        <v>0</v>
      </c>
      <c r="EY11" s="373">
        <f>1000-1000</f>
        <v>0</v>
      </c>
      <c r="EZ11" s="373">
        <f>1000-1000+1120</f>
        <v>1120</v>
      </c>
      <c r="FA11" s="373">
        <f>500-500+120</f>
        <v>120</v>
      </c>
      <c r="FB11" s="373">
        <f>3000-3000</f>
        <v>0</v>
      </c>
      <c r="FC11" s="373">
        <f>3000-3000</f>
        <v>0</v>
      </c>
      <c r="FD11" s="373">
        <f>3000-3000</f>
        <v>0</v>
      </c>
      <c r="FE11" s="373">
        <f>5000-5000</f>
        <v>0</v>
      </c>
      <c r="FF11" s="378">
        <f>4000-4000+15-15</f>
        <v>0</v>
      </c>
      <c r="FG11" s="372" t="s">
        <v>850</v>
      </c>
      <c r="FH11" s="372" t="s">
        <v>850</v>
      </c>
      <c r="FI11" s="372" t="s">
        <v>850</v>
      </c>
      <c r="FJ11" s="372" t="s">
        <v>850</v>
      </c>
      <c r="FK11" s="372" t="s">
        <v>850</v>
      </c>
      <c r="FL11" s="372" t="s">
        <v>850</v>
      </c>
      <c r="FM11" s="372" t="s">
        <v>850</v>
      </c>
      <c r="FN11" s="372" t="s">
        <v>850</v>
      </c>
      <c r="FO11" s="375" t="s">
        <v>850</v>
      </c>
      <c r="FP11" s="376" t="s">
        <v>1120</v>
      </c>
      <c r="FQ11" s="377" t="s">
        <v>522</v>
      </c>
      <c r="FR11" s="377" t="s">
        <v>850</v>
      </c>
      <c r="FS11" s="377" t="s">
        <v>523</v>
      </c>
      <c r="FT11" s="144">
        <f t="shared" si="0"/>
        <v>2200</v>
      </c>
      <c r="FU11" s="371" t="s">
        <v>888</v>
      </c>
    </row>
    <row r="12" spans="1:177" s="371" customFormat="1">
      <c r="A12" s="368" t="s">
        <v>926</v>
      </c>
      <c r="B12" s="369" t="s">
        <v>525</v>
      </c>
      <c r="C12" s="369" t="s">
        <v>518</v>
      </c>
      <c r="D12" s="369" t="s">
        <v>3</v>
      </c>
      <c r="E12" s="379" t="s">
        <v>519</v>
      </c>
      <c r="F12" s="369" t="s">
        <v>520</v>
      </c>
      <c r="G12" s="369"/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  <c r="AE12" s="372"/>
      <c r="AF12" s="372"/>
      <c r="AG12" s="372"/>
      <c r="AH12" s="372"/>
      <c r="AI12" s="372"/>
      <c r="AJ12" s="372"/>
      <c r="AK12" s="372"/>
      <c r="AL12" s="372"/>
      <c r="AM12" s="372"/>
      <c r="AN12" s="372"/>
      <c r="AO12" s="372"/>
      <c r="AP12" s="372"/>
      <c r="AQ12" s="372"/>
      <c r="AR12" s="372"/>
      <c r="AS12" s="372"/>
      <c r="AT12" s="372"/>
      <c r="AU12" s="372"/>
      <c r="AV12" s="372"/>
      <c r="AW12" s="372"/>
      <c r="AX12" s="372"/>
      <c r="AY12" s="372"/>
      <c r="AZ12" s="372"/>
      <c r="BA12" s="372"/>
      <c r="BB12" s="372"/>
      <c r="BC12" s="372"/>
      <c r="BD12" s="372"/>
      <c r="BE12" s="372"/>
      <c r="BF12" s="372"/>
      <c r="BG12" s="372"/>
      <c r="BH12" s="372"/>
      <c r="BI12" s="372"/>
      <c r="BJ12" s="372"/>
      <c r="BK12" s="372"/>
      <c r="BL12" s="372"/>
      <c r="BM12" s="372"/>
      <c r="BN12" s="372"/>
      <c r="BO12" s="372"/>
      <c r="BP12" s="372"/>
      <c r="BQ12" s="372"/>
      <c r="BR12" s="372"/>
      <c r="BS12" s="372"/>
      <c r="BT12" s="372"/>
      <c r="BU12" s="372"/>
      <c r="BV12" s="372"/>
      <c r="BW12" s="372"/>
      <c r="BX12" s="372"/>
      <c r="BY12" s="372"/>
      <c r="BZ12" s="372"/>
      <c r="CA12" s="372"/>
      <c r="CB12" s="372"/>
      <c r="CC12" s="372"/>
      <c r="CD12" s="372"/>
      <c r="CE12" s="372"/>
      <c r="CG12" s="372"/>
      <c r="CH12" s="372"/>
      <c r="CI12" s="372"/>
      <c r="CJ12" s="372"/>
      <c r="CK12" s="372"/>
      <c r="CL12" s="372"/>
      <c r="CM12" s="372"/>
      <c r="CN12" s="372"/>
      <c r="CO12" s="372"/>
      <c r="CP12" s="372"/>
      <c r="CQ12" s="372"/>
      <c r="CR12" s="372"/>
      <c r="CS12" s="372"/>
      <c r="CT12" s="372"/>
      <c r="CU12" s="372"/>
      <c r="CV12" s="372"/>
      <c r="CW12" s="372"/>
      <c r="CX12" s="372"/>
      <c r="CY12" s="372"/>
      <c r="CZ12" s="372"/>
      <c r="DA12" s="372"/>
      <c r="DB12" s="372"/>
      <c r="DC12" s="372"/>
      <c r="DD12" s="372"/>
      <c r="DE12" s="372"/>
      <c r="DF12" s="372"/>
      <c r="DG12" s="372"/>
      <c r="DH12" s="372"/>
      <c r="DI12" s="372"/>
      <c r="DJ12" s="372"/>
      <c r="DK12" s="372"/>
      <c r="DL12" s="372"/>
      <c r="DM12" s="372"/>
      <c r="DN12" s="372"/>
      <c r="DO12" s="372"/>
      <c r="DP12" s="372"/>
      <c r="DQ12" s="372"/>
      <c r="DR12" s="372"/>
      <c r="DS12" s="372"/>
      <c r="DT12" s="372"/>
      <c r="DU12" s="372"/>
      <c r="DV12" s="372"/>
      <c r="DW12" s="372"/>
      <c r="DX12" s="372"/>
      <c r="DY12" s="372"/>
      <c r="DZ12" s="372"/>
      <c r="EB12" s="372"/>
      <c r="ED12" s="372"/>
      <c r="EE12" s="372"/>
      <c r="EF12" s="372"/>
      <c r="EG12" s="372"/>
      <c r="EH12" s="372"/>
      <c r="EI12" s="372"/>
      <c r="EJ12" s="372"/>
      <c r="EK12" s="372"/>
      <c r="EL12" s="372"/>
      <c r="EM12" s="372"/>
      <c r="EN12" s="372"/>
      <c r="EO12" s="372"/>
      <c r="EP12" s="372"/>
      <c r="EQ12" s="372"/>
      <c r="ER12" s="372"/>
      <c r="ES12" s="372"/>
      <c r="ET12" s="372"/>
      <c r="EU12" s="372"/>
      <c r="EV12" s="372"/>
      <c r="EW12" s="372"/>
      <c r="EX12" s="372"/>
      <c r="EY12" s="372"/>
      <c r="EZ12" s="372"/>
      <c r="FA12" s="372"/>
      <c r="FB12" s="372"/>
      <c r="FC12" s="372"/>
      <c r="FD12" s="372"/>
      <c r="FE12" s="372"/>
      <c r="FF12" s="372"/>
      <c r="FG12" s="372"/>
      <c r="FH12" s="372"/>
      <c r="FI12" s="372"/>
      <c r="FJ12" s="372"/>
      <c r="FK12" s="372"/>
      <c r="FL12" s="372"/>
      <c r="FM12" s="372"/>
      <c r="FN12" s="372"/>
      <c r="FO12" s="375" t="s">
        <v>850</v>
      </c>
      <c r="FP12" s="376" t="s">
        <v>1120</v>
      </c>
      <c r="FQ12" s="377" t="s">
        <v>522</v>
      </c>
      <c r="FR12" s="377" t="s">
        <v>850</v>
      </c>
      <c r="FS12" s="377" t="s">
        <v>523</v>
      </c>
      <c r="FT12" s="144">
        <f t="shared" si="0"/>
        <v>0</v>
      </c>
      <c r="FU12" s="371" t="s">
        <v>888</v>
      </c>
    </row>
    <row r="13" spans="1:177" s="371" customFormat="1" hidden="1">
      <c r="A13" s="368" t="s">
        <v>526</v>
      </c>
      <c r="B13" s="369" t="s">
        <v>517</v>
      </c>
      <c r="C13" s="369" t="s">
        <v>527</v>
      </c>
      <c r="D13" s="369" t="s">
        <v>8</v>
      </c>
      <c r="E13" s="370" t="s">
        <v>528</v>
      </c>
      <c r="F13" s="369" t="s">
        <v>520</v>
      </c>
      <c r="G13" s="369"/>
      <c r="DH13" s="372"/>
      <c r="EH13" s="372" t="s">
        <v>850</v>
      </c>
      <c r="EI13" s="374">
        <f>120</f>
        <v>120</v>
      </c>
      <c r="FO13" s="375" t="s">
        <v>850</v>
      </c>
      <c r="FP13" s="376" t="s">
        <v>1120</v>
      </c>
      <c r="FQ13" s="377" t="s">
        <v>522</v>
      </c>
      <c r="FR13" s="377" t="s">
        <v>850</v>
      </c>
      <c r="FS13" s="377" t="s">
        <v>529</v>
      </c>
      <c r="FT13" s="144">
        <f t="shared" si="0"/>
        <v>120</v>
      </c>
      <c r="FU13" s="371" t="s">
        <v>888</v>
      </c>
    </row>
    <row r="14" spans="1:177" s="371" customFormat="1" hidden="1">
      <c r="A14" s="368" t="s">
        <v>526</v>
      </c>
      <c r="B14" s="369" t="s">
        <v>517</v>
      </c>
      <c r="C14" s="369" t="s">
        <v>527</v>
      </c>
      <c r="D14" s="369" t="s">
        <v>4</v>
      </c>
      <c r="E14" s="370" t="s">
        <v>528</v>
      </c>
      <c r="F14" s="369" t="s">
        <v>520</v>
      </c>
      <c r="G14" s="369"/>
      <c r="H14" s="372" t="s">
        <v>850</v>
      </c>
      <c r="I14" s="372" t="s">
        <v>850</v>
      </c>
      <c r="J14" s="372" t="s">
        <v>850</v>
      </c>
      <c r="K14" s="372" t="s">
        <v>850</v>
      </c>
      <c r="L14" s="372" t="s">
        <v>850</v>
      </c>
      <c r="M14" s="372" t="s">
        <v>850</v>
      </c>
      <c r="N14" s="372" t="s">
        <v>850</v>
      </c>
      <c r="O14" s="372" t="s">
        <v>850</v>
      </c>
      <c r="P14" s="372" t="s">
        <v>850</v>
      </c>
      <c r="Q14" s="372" t="s">
        <v>850</v>
      </c>
      <c r="R14" s="372" t="s">
        <v>850</v>
      </c>
      <c r="S14" s="372" t="s">
        <v>850</v>
      </c>
      <c r="T14" s="372" t="s">
        <v>850</v>
      </c>
      <c r="U14" s="372" t="s">
        <v>850</v>
      </c>
      <c r="V14" s="372" t="s">
        <v>850</v>
      </c>
      <c r="W14" s="372" t="s">
        <v>850</v>
      </c>
      <c r="X14" s="372" t="s">
        <v>850</v>
      </c>
      <c r="Y14" s="372" t="s">
        <v>850</v>
      </c>
      <c r="Z14" s="372" t="s">
        <v>850</v>
      </c>
      <c r="AA14" s="372" t="s">
        <v>850</v>
      </c>
      <c r="AB14" s="372" t="s">
        <v>850</v>
      </c>
      <c r="AC14" s="372" t="s">
        <v>850</v>
      </c>
      <c r="AD14" s="372" t="s">
        <v>850</v>
      </c>
      <c r="AE14" s="372" t="s">
        <v>850</v>
      </c>
      <c r="AF14" s="372" t="s">
        <v>850</v>
      </c>
      <c r="AG14" s="372" t="s">
        <v>850</v>
      </c>
      <c r="AH14" s="372" t="s">
        <v>850</v>
      </c>
      <c r="AI14" s="372" t="s">
        <v>850</v>
      </c>
      <c r="AJ14" s="372" t="s">
        <v>850</v>
      </c>
      <c r="AK14" s="372" t="s">
        <v>850</v>
      </c>
      <c r="AL14" s="372" t="s">
        <v>850</v>
      </c>
      <c r="AM14" s="372" t="s">
        <v>850</v>
      </c>
      <c r="AN14" s="372" t="s">
        <v>850</v>
      </c>
      <c r="AO14" s="372" t="s">
        <v>850</v>
      </c>
      <c r="AP14" s="372" t="s">
        <v>850</v>
      </c>
      <c r="AQ14" s="372" t="s">
        <v>850</v>
      </c>
      <c r="AR14" s="372" t="s">
        <v>850</v>
      </c>
      <c r="AS14" s="372" t="s">
        <v>850</v>
      </c>
      <c r="AT14" s="372" t="s">
        <v>850</v>
      </c>
      <c r="AU14" s="372" t="s">
        <v>850</v>
      </c>
      <c r="AV14" s="372" t="s">
        <v>850</v>
      </c>
      <c r="AW14" s="372" t="s">
        <v>850</v>
      </c>
      <c r="AX14" s="372" t="s">
        <v>850</v>
      </c>
      <c r="AY14" s="372" t="s">
        <v>850</v>
      </c>
      <c r="AZ14" s="372" t="s">
        <v>850</v>
      </c>
      <c r="BA14" s="372" t="s">
        <v>850</v>
      </c>
      <c r="BB14" s="372" t="s">
        <v>850</v>
      </c>
      <c r="BC14" s="372" t="s">
        <v>850</v>
      </c>
      <c r="BD14" s="372" t="s">
        <v>850</v>
      </c>
      <c r="BE14" s="372" t="s">
        <v>850</v>
      </c>
      <c r="BF14" s="372" t="s">
        <v>850</v>
      </c>
      <c r="BG14" s="372" t="s">
        <v>850</v>
      </c>
      <c r="BH14" s="372" t="s">
        <v>850</v>
      </c>
      <c r="BI14" s="372" t="s">
        <v>850</v>
      </c>
      <c r="BJ14" s="372" t="s">
        <v>850</v>
      </c>
      <c r="BK14" s="372" t="s">
        <v>850</v>
      </c>
      <c r="BL14" s="372" t="s">
        <v>850</v>
      </c>
      <c r="BM14" s="372" t="s">
        <v>850</v>
      </c>
      <c r="BN14" s="372" t="s">
        <v>850</v>
      </c>
      <c r="BO14" s="372" t="s">
        <v>850</v>
      </c>
      <c r="BP14" s="372" t="s">
        <v>850</v>
      </c>
      <c r="BQ14" s="372" t="s">
        <v>850</v>
      </c>
      <c r="BR14" s="372" t="s">
        <v>850</v>
      </c>
      <c r="BS14" s="372" t="s">
        <v>850</v>
      </c>
      <c r="BT14" s="372" t="s">
        <v>850</v>
      </c>
      <c r="BU14" s="372" t="s">
        <v>850</v>
      </c>
      <c r="BV14" s="372" t="s">
        <v>850</v>
      </c>
      <c r="BW14" s="372" t="s">
        <v>850</v>
      </c>
      <c r="BX14" s="372" t="s">
        <v>850</v>
      </c>
      <c r="BY14" s="372" t="s">
        <v>850</v>
      </c>
      <c r="BZ14" s="372" t="s">
        <v>850</v>
      </c>
      <c r="CA14" s="372" t="s">
        <v>850</v>
      </c>
      <c r="CB14" s="372" t="s">
        <v>850</v>
      </c>
      <c r="CC14" s="372" t="s">
        <v>850</v>
      </c>
      <c r="CD14" s="372" t="s">
        <v>850</v>
      </c>
      <c r="CE14" s="372" t="s">
        <v>850</v>
      </c>
      <c r="CG14" s="372" t="s">
        <v>850</v>
      </c>
      <c r="CH14" s="372" t="s">
        <v>850</v>
      </c>
      <c r="CI14" s="372" t="s">
        <v>850</v>
      </c>
      <c r="CJ14" s="372" t="s">
        <v>850</v>
      </c>
      <c r="CK14" s="372" t="s">
        <v>850</v>
      </c>
      <c r="CL14" s="372" t="s">
        <v>850</v>
      </c>
      <c r="CM14" s="372" t="s">
        <v>850</v>
      </c>
      <c r="CN14" s="372" t="s">
        <v>850</v>
      </c>
      <c r="CO14" s="372" t="s">
        <v>850</v>
      </c>
      <c r="CP14" s="372" t="s">
        <v>850</v>
      </c>
      <c r="CQ14" s="372" t="s">
        <v>850</v>
      </c>
      <c r="CR14" s="372" t="s">
        <v>850</v>
      </c>
      <c r="CS14" s="372" t="s">
        <v>850</v>
      </c>
      <c r="CT14" s="372" t="s">
        <v>850</v>
      </c>
      <c r="CU14" s="372" t="s">
        <v>850</v>
      </c>
      <c r="CV14" s="372" t="s">
        <v>850</v>
      </c>
      <c r="CW14" s="372" t="s">
        <v>850</v>
      </c>
      <c r="CX14" s="372" t="s">
        <v>850</v>
      </c>
      <c r="CY14" s="372" t="s">
        <v>850</v>
      </c>
      <c r="CZ14" s="372" t="s">
        <v>850</v>
      </c>
      <c r="DA14" s="372" t="s">
        <v>850</v>
      </c>
      <c r="DB14" s="372" t="s">
        <v>850</v>
      </c>
      <c r="DC14" s="372" t="s">
        <v>850</v>
      </c>
      <c r="DD14" s="372" t="s">
        <v>850</v>
      </c>
      <c r="DE14" s="372" t="s">
        <v>850</v>
      </c>
      <c r="DF14" s="372" t="s">
        <v>850</v>
      </c>
      <c r="DG14" s="373">
        <f>100-100</f>
        <v>0</v>
      </c>
      <c r="DH14" s="372"/>
      <c r="DI14" s="372" t="s">
        <v>850</v>
      </c>
      <c r="DJ14" s="372" t="s">
        <v>850</v>
      </c>
      <c r="DK14" s="372" t="s">
        <v>850</v>
      </c>
      <c r="DL14" s="372" t="s">
        <v>850</v>
      </c>
      <c r="DM14" s="372" t="s">
        <v>850</v>
      </c>
      <c r="DN14" s="372" t="s">
        <v>850</v>
      </c>
      <c r="DO14" s="372" t="s">
        <v>850</v>
      </c>
      <c r="DP14" s="372" t="s">
        <v>850</v>
      </c>
      <c r="DQ14" s="372" t="s">
        <v>850</v>
      </c>
      <c r="DR14" s="372" t="s">
        <v>850</v>
      </c>
      <c r="DS14" s="372"/>
      <c r="DT14" s="372" t="s">
        <v>850</v>
      </c>
      <c r="DU14" s="372" t="s">
        <v>850</v>
      </c>
      <c r="DV14" s="373">
        <f>100-100</f>
        <v>0</v>
      </c>
      <c r="DW14" s="373">
        <f>100-100</f>
        <v>0</v>
      </c>
      <c r="DX14" s="372" t="s">
        <v>850</v>
      </c>
      <c r="DY14" s="372" t="s">
        <v>850</v>
      </c>
      <c r="DZ14" s="373">
        <f>200-200</f>
        <v>0</v>
      </c>
      <c r="EB14" s="373">
        <f>100-100</f>
        <v>0</v>
      </c>
      <c r="ED14" s="373">
        <f>20-20</f>
        <v>0</v>
      </c>
      <c r="EE14" s="372" t="s">
        <v>850</v>
      </c>
      <c r="EF14" s="372" t="s">
        <v>850</v>
      </c>
      <c r="EG14" s="373">
        <f>50-50</f>
        <v>0</v>
      </c>
      <c r="EH14" s="372" t="s">
        <v>850</v>
      </c>
      <c r="EI14" s="373">
        <f>50-50</f>
        <v>0</v>
      </c>
      <c r="EJ14" s="372" t="s">
        <v>850</v>
      </c>
      <c r="EK14" s="373">
        <f>200-200</f>
        <v>0</v>
      </c>
      <c r="EL14" s="372" t="s">
        <v>850</v>
      </c>
      <c r="EM14" s="372" t="s">
        <v>850</v>
      </c>
      <c r="EN14" s="372" t="s">
        <v>850</v>
      </c>
      <c r="EO14" s="378">
        <f>10</f>
        <v>10</v>
      </c>
      <c r="EP14" s="372" t="s">
        <v>850</v>
      </c>
      <c r="EQ14" s="372" t="s">
        <v>850</v>
      </c>
      <c r="ER14" s="372" t="s">
        <v>850</v>
      </c>
      <c r="ES14" s="378">
        <f>80-80+60</f>
        <v>60</v>
      </c>
      <c r="ET14" s="372" t="s">
        <v>850</v>
      </c>
      <c r="EU14" s="372" t="s">
        <v>850</v>
      </c>
      <c r="EV14" s="372" t="s">
        <v>850</v>
      </c>
      <c r="EW14" s="372" t="s">
        <v>850</v>
      </c>
      <c r="EX14" s="372" t="s">
        <v>850</v>
      </c>
      <c r="EY14" s="372" t="s">
        <v>850</v>
      </c>
      <c r="EZ14" s="372" t="s">
        <v>850</v>
      </c>
      <c r="FA14" s="372" t="s">
        <v>850</v>
      </c>
      <c r="FB14" s="372" t="s">
        <v>850</v>
      </c>
      <c r="FC14" s="372" t="s">
        <v>850</v>
      </c>
      <c r="FD14" s="372" t="s">
        <v>850</v>
      </c>
      <c r="FE14" s="372" t="s">
        <v>850</v>
      </c>
      <c r="FF14" s="372" t="s">
        <v>850</v>
      </c>
      <c r="FG14" s="372" t="s">
        <v>850</v>
      </c>
      <c r="FH14" s="372" t="s">
        <v>850</v>
      </c>
      <c r="FI14" s="372" t="s">
        <v>850</v>
      </c>
      <c r="FJ14" s="372" t="s">
        <v>850</v>
      </c>
      <c r="FK14" s="372" t="s">
        <v>850</v>
      </c>
      <c r="FL14" s="372" t="s">
        <v>850</v>
      </c>
      <c r="FM14" s="372" t="s">
        <v>850</v>
      </c>
      <c r="FN14" s="372" t="s">
        <v>850</v>
      </c>
      <c r="FO14" s="375" t="s">
        <v>850</v>
      </c>
      <c r="FP14" s="376" t="s">
        <v>1120</v>
      </c>
      <c r="FQ14" s="377" t="s">
        <v>522</v>
      </c>
      <c r="FR14" s="377" t="s">
        <v>850</v>
      </c>
      <c r="FS14" s="377" t="s">
        <v>529</v>
      </c>
      <c r="FT14" s="144">
        <f t="shared" si="0"/>
        <v>70</v>
      </c>
      <c r="FU14" s="371" t="s">
        <v>888</v>
      </c>
    </row>
    <row r="15" spans="1:177" s="371" customFormat="1" hidden="1">
      <c r="A15" s="368" t="s">
        <v>526</v>
      </c>
      <c r="B15" s="369" t="s">
        <v>517</v>
      </c>
      <c r="C15" s="369" t="s">
        <v>527</v>
      </c>
      <c r="D15" s="369" t="s">
        <v>3</v>
      </c>
      <c r="E15" s="370" t="s">
        <v>528</v>
      </c>
      <c r="F15" s="369" t="s">
        <v>520</v>
      </c>
      <c r="G15" s="369"/>
      <c r="H15" s="372"/>
      <c r="I15" s="372"/>
      <c r="J15" s="372"/>
      <c r="K15" s="372"/>
      <c r="L15" s="372"/>
      <c r="M15" s="372"/>
      <c r="N15" s="372"/>
      <c r="O15" s="372"/>
      <c r="P15" s="372"/>
      <c r="Q15" s="372"/>
      <c r="R15" s="372"/>
      <c r="S15" s="372"/>
      <c r="T15" s="372"/>
      <c r="U15" s="372"/>
      <c r="V15" s="372"/>
      <c r="W15" s="372"/>
      <c r="X15" s="372"/>
      <c r="Y15" s="372"/>
      <c r="Z15" s="372"/>
      <c r="AA15" s="372"/>
      <c r="AB15" s="372"/>
      <c r="AC15" s="372"/>
      <c r="AD15" s="372"/>
      <c r="AE15" s="372"/>
      <c r="AF15" s="372"/>
      <c r="AG15" s="372"/>
      <c r="AH15" s="372"/>
      <c r="AI15" s="372"/>
      <c r="AJ15" s="372"/>
      <c r="AK15" s="372"/>
      <c r="AL15" s="372"/>
      <c r="AM15" s="372"/>
      <c r="AN15" s="372"/>
      <c r="AO15" s="372"/>
      <c r="AP15" s="372"/>
      <c r="AQ15" s="372"/>
      <c r="AR15" s="372"/>
      <c r="AS15" s="372"/>
      <c r="AT15" s="372"/>
      <c r="AU15" s="372"/>
      <c r="AV15" s="372"/>
      <c r="AW15" s="372"/>
      <c r="AX15" s="372"/>
      <c r="AY15" s="372"/>
      <c r="AZ15" s="372"/>
      <c r="BA15" s="372"/>
      <c r="BB15" s="372"/>
      <c r="BC15" s="372"/>
      <c r="BD15" s="372"/>
      <c r="BE15" s="372"/>
      <c r="BF15" s="372"/>
      <c r="BG15" s="372"/>
      <c r="BH15" s="372"/>
      <c r="BI15" s="372"/>
      <c r="BJ15" s="372"/>
      <c r="BK15" s="372"/>
      <c r="BL15" s="372"/>
      <c r="BM15" s="372"/>
      <c r="BN15" s="372"/>
      <c r="BO15" s="372"/>
      <c r="BP15" s="372"/>
      <c r="BQ15" s="372"/>
      <c r="BR15" s="372"/>
      <c r="BS15" s="372"/>
      <c r="BT15" s="372"/>
      <c r="BU15" s="372"/>
      <c r="BV15" s="372"/>
      <c r="BW15" s="372"/>
      <c r="BX15" s="372"/>
      <c r="BY15" s="372"/>
      <c r="BZ15" s="372"/>
      <c r="CA15" s="372"/>
      <c r="CB15" s="372"/>
      <c r="CC15" s="372"/>
      <c r="CD15" s="372"/>
      <c r="CE15" s="372"/>
      <c r="CG15" s="372"/>
      <c r="CH15" s="372"/>
      <c r="CI15" s="372"/>
      <c r="CJ15" s="372"/>
      <c r="CK15" s="372"/>
      <c r="CL15" s="372"/>
      <c r="CM15" s="372"/>
      <c r="CN15" s="372"/>
      <c r="CO15" s="372"/>
      <c r="CP15" s="372"/>
      <c r="CQ15" s="372"/>
      <c r="CR15" s="372"/>
      <c r="CS15" s="372"/>
      <c r="CT15" s="372"/>
      <c r="CU15" s="372"/>
      <c r="CV15" s="372"/>
      <c r="CW15" s="372"/>
      <c r="CX15" s="372"/>
      <c r="CY15" s="372"/>
      <c r="CZ15" s="372"/>
      <c r="DA15" s="372"/>
      <c r="DB15" s="372"/>
      <c r="DC15" s="372"/>
      <c r="DD15" s="372"/>
      <c r="DE15" s="372"/>
      <c r="DF15" s="372"/>
      <c r="DG15" s="372"/>
      <c r="DH15" s="372"/>
      <c r="DI15" s="372"/>
      <c r="DJ15" s="372"/>
      <c r="DK15" s="372"/>
      <c r="DL15" s="372"/>
      <c r="DM15" s="372"/>
      <c r="DN15" s="372"/>
      <c r="DO15" s="372"/>
      <c r="DP15" s="372"/>
      <c r="DQ15" s="372"/>
      <c r="DR15" s="372"/>
      <c r="DS15" s="372"/>
      <c r="DT15" s="372"/>
      <c r="DU15" s="372"/>
      <c r="DV15" s="372"/>
      <c r="DW15" s="372"/>
      <c r="DX15" s="372"/>
      <c r="DY15" s="372"/>
      <c r="DZ15" s="372"/>
      <c r="EB15" s="372"/>
      <c r="ED15" s="372"/>
      <c r="EE15" s="372"/>
      <c r="EF15" s="372"/>
      <c r="EG15" s="372"/>
      <c r="EH15" s="372" t="s">
        <v>850</v>
      </c>
      <c r="EI15" s="372"/>
      <c r="EJ15" s="372"/>
      <c r="EK15" s="372"/>
      <c r="EL15" s="372"/>
      <c r="EM15" s="372"/>
      <c r="EN15" s="372"/>
      <c r="EO15" s="372"/>
      <c r="EP15" s="372"/>
      <c r="EQ15" s="372"/>
      <c r="ER15" s="372"/>
      <c r="ES15" s="372"/>
      <c r="ET15" s="372"/>
      <c r="EU15" s="372"/>
      <c r="EV15" s="372"/>
      <c r="EW15" s="372"/>
      <c r="EX15" s="372"/>
      <c r="EY15" s="372"/>
      <c r="EZ15" s="372"/>
      <c r="FA15" s="372"/>
      <c r="FB15" s="372"/>
      <c r="FC15" s="372"/>
      <c r="FD15" s="372"/>
      <c r="FE15" s="372"/>
      <c r="FF15" s="372"/>
      <c r="FG15" s="372"/>
      <c r="FH15" s="372"/>
      <c r="FI15" s="372"/>
      <c r="FJ15" s="372"/>
      <c r="FK15" s="372"/>
      <c r="FL15" s="372"/>
      <c r="FM15" s="372"/>
      <c r="FN15" s="372"/>
      <c r="FO15" s="375" t="s">
        <v>850</v>
      </c>
      <c r="FP15" s="376" t="s">
        <v>1120</v>
      </c>
      <c r="FQ15" s="377" t="s">
        <v>522</v>
      </c>
      <c r="FR15" s="377" t="s">
        <v>850</v>
      </c>
      <c r="FS15" s="377" t="s">
        <v>529</v>
      </c>
      <c r="FT15" s="144">
        <f t="shared" si="0"/>
        <v>0</v>
      </c>
      <c r="FU15" s="371" t="s">
        <v>888</v>
      </c>
    </row>
    <row r="16" spans="1:177" s="371" customFormat="1" hidden="1">
      <c r="A16" s="368" t="s">
        <v>892</v>
      </c>
      <c r="B16" s="369" t="s">
        <v>517</v>
      </c>
      <c r="C16" s="369" t="s">
        <v>527</v>
      </c>
      <c r="D16" s="369" t="s">
        <v>8</v>
      </c>
      <c r="E16" s="370" t="s">
        <v>534</v>
      </c>
      <c r="F16" s="369" t="s">
        <v>520</v>
      </c>
      <c r="G16" s="369"/>
      <c r="DH16" s="372"/>
      <c r="EH16" s="372" t="s">
        <v>850</v>
      </c>
      <c r="FO16" s="375" t="s">
        <v>850</v>
      </c>
      <c r="FP16" s="376" t="s">
        <v>1120</v>
      </c>
      <c r="FQ16" s="377" t="s">
        <v>522</v>
      </c>
      <c r="FR16" s="377" t="s">
        <v>893</v>
      </c>
      <c r="FS16" s="377" t="s">
        <v>894</v>
      </c>
      <c r="FT16" s="144">
        <f t="shared" si="0"/>
        <v>0</v>
      </c>
      <c r="FU16" s="371" t="s">
        <v>888</v>
      </c>
    </row>
    <row r="17" spans="1:177" s="371" customFormat="1" hidden="1">
      <c r="A17" s="368" t="s">
        <v>892</v>
      </c>
      <c r="B17" s="369" t="s">
        <v>517</v>
      </c>
      <c r="C17" s="369" t="s">
        <v>527</v>
      </c>
      <c r="D17" s="369" t="s">
        <v>4</v>
      </c>
      <c r="E17" s="370" t="s">
        <v>534</v>
      </c>
      <c r="F17" s="369" t="s">
        <v>520</v>
      </c>
      <c r="G17" s="369"/>
      <c r="H17" s="372" t="s">
        <v>850</v>
      </c>
      <c r="I17" s="372" t="s">
        <v>850</v>
      </c>
      <c r="J17" s="372" t="s">
        <v>850</v>
      </c>
      <c r="K17" s="372" t="s">
        <v>850</v>
      </c>
      <c r="L17" s="372" t="s">
        <v>850</v>
      </c>
      <c r="M17" s="372" t="s">
        <v>850</v>
      </c>
      <c r="N17" s="372" t="s">
        <v>850</v>
      </c>
      <c r="O17" s="372" t="s">
        <v>850</v>
      </c>
      <c r="P17" s="372" t="s">
        <v>850</v>
      </c>
      <c r="Q17" s="372" t="s">
        <v>850</v>
      </c>
      <c r="R17" s="372" t="s">
        <v>850</v>
      </c>
      <c r="S17" s="372" t="s">
        <v>850</v>
      </c>
      <c r="T17" s="372" t="s">
        <v>850</v>
      </c>
      <c r="U17" s="372" t="s">
        <v>850</v>
      </c>
      <c r="V17" s="372" t="s">
        <v>850</v>
      </c>
      <c r="W17" s="372" t="s">
        <v>850</v>
      </c>
      <c r="X17" s="372" t="s">
        <v>850</v>
      </c>
      <c r="Y17" s="372" t="s">
        <v>850</v>
      </c>
      <c r="Z17" s="372" t="s">
        <v>850</v>
      </c>
      <c r="AA17" s="372" t="s">
        <v>850</v>
      </c>
      <c r="AB17" s="372" t="s">
        <v>850</v>
      </c>
      <c r="AC17" s="372" t="s">
        <v>850</v>
      </c>
      <c r="AD17" s="372" t="s">
        <v>850</v>
      </c>
      <c r="AE17" s="372" t="s">
        <v>850</v>
      </c>
      <c r="AF17" s="372" t="s">
        <v>850</v>
      </c>
      <c r="AG17" s="372" t="s">
        <v>850</v>
      </c>
      <c r="AH17" s="372" t="s">
        <v>850</v>
      </c>
      <c r="AI17" s="372" t="s">
        <v>850</v>
      </c>
      <c r="AJ17" s="372" t="s">
        <v>850</v>
      </c>
      <c r="AK17" s="372" t="s">
        <v>850</v>
      </c>
      <c r="AL17" s="372" t="s">
        <v>850</v>
      </c>
      <c r="AM17" s="372" t="s">
        <v>850</v>
      </c>
      <c r="AN17" s="372" t="s">
        <v>850</v>
      </c>
      <c r="AO17" s="372" t="s">
        <v>850</v>
      </c>
      <c r="AP17" s="372" t="s">
        <v>850</v>
      </c>
      <c r="AQ17" s="372" t="s">
        <v>850</v>
      </c>
      <c r="AR17" s="372" t="s">
        <v>850</v>
      </c>
      <c r="AS17" s="372" t="s">
        <v>850</v>
      </c>
      <c r="AT17" s="372" t="s">
        <v>850</v>
      </c>
      <c r="AU17" s="372" t="s">
        <v>850</v>
      </c>
      <c r="AV17" s="372" t="s">
        <v>850</v>
      </c>
      <c r="AW17" s="372" t="s">
        <v>850</v>
      </c>
      <c r="AX17" s="372" t="s">
        <v>850</v>
      </c>
      <c r="AY17" s="372" t="s">
        <v>850</v>
      </c>
      <c r="AZ17" s="372" t="s">
        <v>850</v>
      </c>
      <c r="BA17" s="372" t="s">
        <v>850</v>
      </c>
      <c r="BB17" s="372" t="s">
        <v>850</v>
      </c>
      <c r="BC17" s="372" t="s">
        <v>850</v>
      </c>
      <c r="BD17" s="372" t="s">
        <v>850</v>
      </c>
      <c r="BE17" s="372" t="s">
        <v>850</v>
      </c>
      <c r="BF17" s="372" t="s">
        <v>850</v>
      </c>
      <c r="BG17" s="372" t="s">
        <v>850</v>
      </c>
      <c r="BH17" s="372" t="s">
        <v>850</v>
      </c>
      <c r="BI17" s="372" t="s">
        <v>850</v>
      </c>
      <c r="BJ17" s="372" t="s">
        <v>850</v>
      </c>
      <c r="BK17" s="372" t="s">
        <v>850</v>
      </c>
      <c r="BL17" s="372" t="s">
        <v>850</v>
      </c>
      <c r="BM17" s="372" t="s">
        <v>850</v>
      </c>
      <c r="BN17" s="372" t="s">
        <v>850</v>
      </c>
      <c r="BO17" s="372" t="s">
        <v>850</v>
      </c>
      <c r="BP17" s="372" t="s">
        <v>850</v>
      </c>
      <c r="BQ17" s="372" t="s">
        <v>850</v>
      </c>
      <c r="BR17" s="372" t="s">
        <v>850</v>
      </c>
      <c r="BS17" s="372" t="s">
        <v>850</v>
      </c>
      <c r="BT17" s="372" t="s">
        <v>850</v>
      </c>
      <c r="BU17" s="372" t="s">
        <v>850</v>
      </c>
      <c r="BV17" s="372" t="s">
        <v>850</v>
      </c>
      <c r="BW17" s="372" t="s">
        <v>850</v>
      </c>
      <c r="BX17" s="372" t="s">
        <v>850</v>
      </c>
      <c r="BY17" s="372" t="s">
        <v>850</v>
      </c>
      <c r="BZ17" s="372" t="s">
        <v>850</v>
      </c>
      <c r="CA17" s="372" t="s">
        <v>850</v>
      </c>
      <c r="CB17" s="372" t="s">
        <v>850</v>
      </c>
      <c r="CC17" s="372" t="s">
        <v>850</v>
      </c>
      <c r="CD17" s="372" t="s">
        <v>850</v>
      </c>
      <c r="CE17" s="372" t="s">
        <v>850</v>
      </c>
      <c r="CG17" s="372" t="s">
        <v>850</v>
      </c>
      <c r="CH17" s="372" t="s">
        <v>850</v>
      </c>
      <c r="CI17" s="372" t="s">
        <v>850</v>
      </c>
      <c r="CJ17" s="372" t="s">
        <v>850</v>
      </c>
      <c r="CK17" s="372" t="s">
        <v>850</v>
      </c>
      <c r="CL17" s="372" t="s">
        <v>850</v>
      </c>
      <c r="CM17" s="372" t="s">
        <v>850</v>
      </c>
      <c r="CN17" s="372" t="s">
        <v>850</v>
      </c>
      <c r="CO17" s="372" t="s">
        <v>850</v>
      </c>
      <c r="CP17" s="372" t="s">
        <v>850</v>
      </c>
      <c r="CQ17" s="372" t="s">
        <v>850</v>
      </c>
      <c r="CR17" s="372" t="s">
        <v>850</v>
      </c>
      <c r="CS17" s="372" t="s">
        <v>850</v>
      </c>
      <c r="CT17" s="372" t="s">
        <v>850</v>
      </c>
      <c r="CU17" s="372" t="s">
        <v>850</v>
      </c>
      <c r="CV17" s="372" t="s">
        <v>850</v>
      </c>
      <c r="CW17" s="372" t="s">
        <v>850</v>
      </c>
      <c r="CX17" s="372" t="s">
        <v>850</v>
      </c>
      <c r="CY17" s="372" t="s">
        <v>850</v>
      </c>
      <c r="CZ17" s="372" t="s">
        <v>850</v>
      </c>
      <c r="DA17" s="372" t="s">
        <v>850</v>
      </c>
      <c r="DB17" s="372" t="s">
        <v>850</v>
      </c>
      <c r="DC17" s="372" t="s">
        <v>850</v>
      </c>
      <c r="DD17" s="372" t="s">
        <v>850</v>
      </c>
      <c r="DE17" s="372" t="s">
        <v>850</v>
      </c>
      <c r="DF17" s="372" t="s">
        <v>850</v>
      </c>
      <c r="DG17" s="373">
        <f>100-100</f>
        <v>0</v>
      </c>
      <c r="DH17" s="372"/>
      <c r="DI17" s="372" t="s">
        <v>850</v>
      </c>
      <c r="DJ17" s="372" t="s">
        <v>850</v>
      </c>
      <c r="DK17" s="372" t="s">
        <v>850</v>
      </c>
      <c r="DL17" s="372" t="s">
        <v>850</v>
      </c>
      <c r="DM17" s="372" t="s">
        <v>850</v>
      </c>
      <c r="DN17" s="372" t="s">
        <v>850</v>
      </c>
      <c r="DO17" s="372" t="s">
        <v>850</v>
      </c>
      <c r="DP17" s="372" t="s">
        <v>850</v>
      </c>
      <c r="DQ17" s="372" t="s">
        <v>850</v>
      </c>
      <c r="DR17" s="372" t="s">
        <v>850</v>
      </c>
      <c r="DS17" s="372"/>
      <c r="DT17" s="372" t="s">
        <v>850</v>
      </c>
      <c r="DU17" s="372" t="s">
        <v>850</v>
      </c>
      <c r="DV17" s="373">
        <f>50-50</f>
        <v>0</v>
      </c>
      <c r="DW17" s="373">
        <f>100-100</f>
        <v>0</v>
      </c>
      <c r="DX17" s="372" t="s">
        <v>850</v>
      </c>
      <c r="DY17" s="372" t="s">
        <v>850</v>
      </c>
      <c r="DZ17" s="373">
        <f>200-200</f>
        <v>0</v>
      </c>
      <c r="EB17" s="373">
        <f>100-100</f>
        <v>0</v>
      </c>
      <c r="ED17" s="373">
        <f>50-50</f>
        <v>0</v>
      </c>
      <c r="EE17" s="372" t="s">
        <v>850</v>
      </c>
      <c r="EF17" s="372" t="s">
        <v>850</v>
      </c>
      <c r="EG17" s="373">
        <f>50-50</f>
        <v>0</v>
      </c>
      <c r="EH17" s="372" t="s">
        <v>850</v>
      </c>
      <c r="EI17" s="373">
        <f>20-20</f>
        <v>0</v>
      </c>
      <c r="EJ17" s="372" t="s">
        <v>850</v>
      </c>
      <c r="EK17" s="373">
        <f>50-50</f>
        <v>0</v>
      </c>
      <c r="EL17" s="372" t="s">
        <v>850</v>
      </c>
      <c r="EM17" s="372" t="s">
        <v>850</v>
      </c>
      <c r="EN17" s="372" t="s">
        <v>850</v>
      </c>
      <c r="EO17" s="372" t="s">
        <v>850</v>
      </c>
      <c r="EP17" s="372" t="s">
        <v>850</v>
      </c>
      <c r="EQ17" s="372" t="s">
        <v>850</v>
      </c>
      <c r="ER17" s="372" t="s">
        <v>850</v>
      </c>
      <c r="ES17" s="373">
        <f>50-50</f>
        <v>0</v>
      </c>
      <c r="ET17" s="372" t="s">
        <v>850</v>
      </c>
      <c r="EU17" s="372" t="s">
        <v>850</v>
      </c>
      <c r="EV17" s="372" t="s">
        <v>850</v>
      </c>
      <c r="EW17" s="372" t="s">
        <v>850</v>
      </c>
      <c r="EX17" s="372" t="s">
        <v>850</v>
      </c>
      <c r="EY17" s="372" t="s">
        <v>850</v>
      </c>
      <c r="EZ17" s="372" t="s">
        <v>850</v>
      </c>
      <c r="FA17" s="372" t="s">
        <v>850</v>
      </c>
      <c r="FB17" s="372" t="s">
        <v>850</v>
      </c>
      <c r="FC17" s="372" t="s">
        <v>850</v>
      </c>
      <c r="FD17" s="372" t="s">
        <v>850</v>
      </c>
      <c r="FE17" s="372" t="s">
        <v>850</v>
      </c>
      <c r="FF17" s="372" t="s">
        <v>850</v>
      </c>
      <c r="FG17" s="372" t="s">
        <v>850</v>
      </c>
      <c r="FH17" s="372" t="s">
        <v>850</v>
      </c>
      <c r="FI17" s="372" t="s">
        <v>850</v>
      </c>
      <c r="FJ17" s="372" t="s">
        <v>850</v>
      </c>
      <c r="FK17" s="372" t="s">
        <v>850</v>
      </c>
      <c r="FL17" s="372" t="s">
        <v>850</v>
      </c>
      <c r="FM17" s="372" t="s">
        <v>850</v>
      </c>
      <c r="FN17" s="372" t="s">
        <v>850</v>
      </c>
      <c r="FO17" s="375" t="s">
        <v>850</v>
      </c>
      <c r="FP17" s="376" t="s">
        <v>1120</v>
      </c>
      <c r="FQ17" s="377" t="s">
        <v>522</v>
      </c>
      <c r="FR17" s="377" t="s">
        <v>893</v>
      </c>
      <c r="FS17" s="377" t="s">
        <v>894</v>
      </c>
      <c r="FT17" s="144">
        <f t="shared" si="0"/>
        <v>0</v>
      </c>
      <c r="FU17" s="371" t="s">
        <v>888</v>
      </c>
    </row>
    <row r="18" spans="1:177" s="371" customFormat="1" hidden="1">
      <c r="A18" s="368" t="s">
        <v>892</v>
      </c>
      <c r="B18" s="369" t="s">
        <v>517</v>
      </c>
      <c r="C18" s="369" t="s">
        <v>527</v>
      </c>
      <c r="D18" s="369" t="s">
        <v>3</v>
      </c>
      <c r="E18" s="370" t="s">
        <v>534</v>
      </c>
      <c r="F18" s="369" t="s">
        <v>520</v>
      </c>
      <c r="G18" s="369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  <c r="AB18" s="372"/>
      <c r="AC18" s="372"/>
      <c r="AD18" s="372"/>
      <c r="AE18" s="372"/>
      <c r="AF18" s="372"/>
      <c r="AG18" s="372"/>
      <c r="AH18" s="372"/>
      <c r="AI18" s="372"/>
      <c r="AJ18" s="372"/>
      <c r="AK18" s="372"/>
      <c r="AL18" s="372"/>
      <c r="AM18" s="372"/>
      <c r="AN18" s="372"/>
      <c r="AO18" s="372"/>
      <c r="AP18" s="372"/>
      <c r="AQ18" s="372"/>
      <c r="AR18" s="372"/>
      <c r="AS18" s="372"/>
      <c r="AT18" s="372"/>
      <c r="AU18" s="372"/>
      <c r="AV18" s="372"/>
      <c r="AW18" s="372"/>
      <c r="AX18" s="372"/>
      <c r="AY18" s="372"/>
      <c r="AZ18" s="372"/>
      <c r="BA18" s="372"/>
      <c r="BB18" s="372"/>
      <c r="BC18" s="372"/>
      <c r="BD18" s="372"/>
      <c r="BE18" s="372"/>
      <c r="BF18" s="372"/>
      <c r="BG18" s="372"/>
      <c r="BH18" s="372"/>
      <c r="BI18" s="372"/>
      <c r="BJ18" s="372"/>
      <c r="BK18" s="372"/>
      <c r="BL18" s="372"/>
      <c r="BM18" s="372"/>
      <c r="BN18" s="372"/>
      <c r="BO18" s="372"/>
      <c r="BP18" s="372"/>
      <c r="BQ18" s="372"/>
      <c r="BR18" s="372"/>
      <c r="BS18" s="372"/>
      <c r="BT18" s="372"/>
      <c r="BU18" s="372"/>
      <c r="BV18" s="372"/>
      <c r="BW18" s="372"/>
      <c r="BX18" s="372"/>
      <c r="BY18" s="372"/>
      <c r="BZ18" s="372"/>
      <c r="CA18" s="372"/>
      <c r="CB18" s="372"/>
      <c r="CC18" s="372"/>
      <c r="CD18" s="372"/>
      <c r="CE18" s="372"/>
      <c r="CG18" s="372"/>
      <c r="CH18" s="372"/>
      <c r="CI18" s="372"/>
      <c r="CJ18" s="372"/>
      <c r="CK18" s="372"/>
      <c r="CL18" s="372"/>
      <c r="CM18" s="372"/>
      <c r="CN18" s="372"/>
      <c r="CO18" s="372"/>
      <c r="CP18" s="372"/>
      <c r="CQ18" s="372"/>
      <c r="CR18" s="372"/>
      <c r="CS18" s="372"/>
      <c r="CT18" s="372"/>
      <c r="CU18" s="372"/>
      <c r="CV18" s="372"/>
      <c r="CW18" s="372"/>
      <c r="CX18" s="372"/>
      <c r="CY18" s="372"/>
      <c r="CZ18" s="372"/>
      <c r="DA18" s="372"/>
      <c r="DB18" s="372"/>
      <c r="DC18" s="372"/>
      <c r="DD18" s="372"/>
      <c r="DE18" s="372"/>
      <c r="DF18" s="372"/>
      <c r="DG18" s="372"/>
      <c r="DH18" s="372"/>
      <c r="DI18" s="372"/>
      <c r="DJ18" s="372"/>
      <c r="DK18" s="372"/>
      <c r="DL18" s="372"/>
      <c r="DM18" s="372"/>
      <c r="DN18" s="372"/>
      <c r="DO18" s="372"/>
      <c r="DP18" s="372"/>
      <c r="DQ18" s="372"/>
      <c r="DR18" s="372"/>
      <c r="DS18" s="372"/>
      <c r="DT18" s="372"/>
      <c r="DU18" s="372"/>
      <c r="DV18" s="372"/>
      <c r="DW18" s="372"/>
      <c r="DX18" s="372"/>
      <c r="DY18" s="372"/>
      <c r="DZ18" s="372"/>
      <c r="EB18" s="372"/>
      <c r="ED18" s="372"/>
      <c r="EE18" s="372"/>
      <c r="EF18" s="372"/>
      <c r="EG18" s="372"/>
      <c r="EH18" s="372" t="s">
        <v>850</v>
      </c>
      <c r="EI18" s="372"/>
      <c r="EJ18" s="372"/>
      <c r="EK18" s="372"/>
      <c r="EL18" s="372"/>
      <c r="EM18" s="372"/>
      <c r="EN18" s="372"/>
      <c r="EO18" s="372"/>
      <c r="EP18" s="372"/>
      <c r="EQ18" s="372"/>
      <c r="ER18" s="372"/>
      <c r="ES18" s="372"/>
      <c r="ET18" s="372"/>
      <c r="EU18" s="372"/>
      <c r="EV18" s="372"/>
      <c r="EW18" s="372"/>
      <c r="EX18" s="372"/>
      <c r="EY18" s="372"/>
      <c r="EZ18" s="372"/>
      <c r="FA18" s="372"/>
      <c r="FB18" s="372"/>
      <c r="FC18" s="372"/>
      <c r="FD18" s="372"/>
      <c r="FE18" s="372"/>
      <c r="FF18" s="372"/>
      <c r="FG18" s="372"/>
      <c r="FH18" s="372"/>
      <c r="FI18" s="372"/>
      <c r="FJ18" s="372"/>
      <c r="FK18" s="372"/>
      <c r="FL18" s="372"/>
      <c r="FM18" s="372"/>
      <c r="FN18" s="372"/>
      <c r="FO18" s="375" t="s">
        <v>850</v>
      </c>
      <c r="FP18" s="376" t="s">
        <v>1120</v>
      </c>
      <c r="FQ18" s="377" t="s">
        <v>522</v>
      </c>
      <c r="FR18" s="377" t="s">
        <v>893</v>
      </c>
      <c r="FS18" s="377" t="s">
        <v>894</v>
      </c>
      <c r="FT18" s="144">
        <f t="shared" si="0"/>
        <v>0</v>
      </c>
      <c r="FU18" s="371" t="s">
        <v>888</v>
      </c>
    </row>
    <row r="19" spans="1:177" s="371" customFormat="1" hidden="1">
      <c r="A19" s="368" t="s">
        <v>897</v>
      </c>
      <c r="B19" s="369" t="s">
        <v>517</v>
      </c>
      <c r="C19" s="369" t="s">
        <v>527</v>
      </c>
      <c r="D19" s="369" t="s">
        <v>8</v>
      </c>
      <c r="E19" s="370" t="s">
        <v>541</v>
      </c>
      <c r="F19" s="369" t="s">
        <v>520</v>
      </c>
      <c r="G19" s="369"/>
      <c r="DH19" s="372"/>
      <c r="EH19" s="372" t="s">
        <v>850</v>
      </c>
      <c r="FO19" s="375" t="s">
        <v>850</v>
      </c>
      <c r="FP19" s="376" t="s">
        <v>1120</v>
      </c>
      <c r="FQ19" s="377" t="s">
        <v>522</v>
      </c>
      <c r="FR19" s="377" t="s">
        <v>850</v>
      </c>
      <c r="FS19" s="377" t="s">
        <v>542</v>
      </c>
      <c r="FT19" s="144">
        <f t="shared" si="0"/>
        <v>0</v>
      </c>
      <c r="FU19" s="371" t="s">
        <v>888</v>
      </c>
    </row>
    <row r="20" spans="1:177" s="371" customFormat="1" hidden="1">
      <c r="A20" s="368" t="s">
        <v>897</v>
      </c>
      <c r="B20" s="369" t="s">
        <v>517</v>
      </c>
      <c r="C20" s="369" t="s">
        <v>527</v>
      </c>
      <c r="D20" s="369" t="s">
        <v>4</v>
      </c>
      <c r="E20" s="370" t="s">
        <v>541</v>
      </c>
      <c r="F20" s="369" t="s">
        <v>520</v>
      </c>
      <c r="G20" s="369"/>
      <c r="H20" s="372" t="s">
        <v>850</v>
      </c>
      <c r="I20" s="372" t="s">
        <v>850</v>
      </c>
      <c r="J20" s="372" t="s">
        <v>850</v>
      </c>
      <c r="K20" s="372" t="s">
        <v>850</v>
      </c>
      <c r="L20" s="372" t="s">
        <v>850</v>
      </c>
      <c r="M20" s="372" t="s">
        <v>850</v>
      </c>
      <c r="N20" s="372" t="s">
        <v>850</v>
      </c>
      <c r="O20" s="372" t="s">
        <v>850</v>
      </c>
      <c r="P20" s="372" t="s">
        <v>850</v>
      </c>
      <c r="Q20" s="372" t="s">
        <v>850</v>
      </c>
      <c r="R20" s="372" t="s">
        <v>850</v>
      </c>
      <c r="S20" s="372" t="s">
        <v>850</v>
      </c>
      <c r="T20" s="372" t="s">
        <v>850</v>
      </c>
      <c r="U20" s="372" t="s">
        <v>850</v>
      </c>
      <c r="V20" s="372" t="s">
        <v>850</v>
      </c>
      <c r="W20" s="372" t="s">
        <v>850</v>
      </c>
      <c r="X20" s="372" t="s">
        <v>850</v>
      </c>
      <c r="Y20" s="372" t="s">
        <v>850</v>
      </c>
      <c r="Z20" s="372" t="s">
        <v>850</v>
      </c>
      <c r="AA20" s="372" t="s">
        <v>850</v>
      </c>
      <c r="AB20" s="372" t="s">
        <v>850</v>
      </c>
      <c r="AC20" s="372" t="s">
        <v>850</v>
      </c>
      <c r="AD20" s="372" t="s">
        <v>850</v>
      </c>
      <c r="AE20" s="372" t="s">
        <v>850</v>
      </c>
      <c r="AF20" s="372" t="s">
        <v>850</v>
      </c>
      <c r="AG20" s="372" t="s">
        <v>850</v>
      </c>
      <c r="AH20" s="372" t="s">
        <v>850</v>
      </c>
      <c r="AI20" s="372" t="s">
        <v>850</v>
      </c>
      <c r="AJ20" s="372" t="s">
        <v>850</v>
      </c>
      <c r="AK20" s="372" t="s">
        <v>850</v>
      </c>
      <c r="AL20" s="372" t="s">
        <v>850</v>
      </c>
      <c r="AM20" s="372" t="s">
        <v>850</v>
      </c>
      <c r="AN20" s="372" t="s">
        <v>850</v>
      </c>
      <c r="AO20" s="372" t="s">
        <v>850</v>
      </c>
      <c r="AP20" s="372" t="s">
        <v>850</v>
      </c>
      <c r="AQ20" s="372" t="s">
        <v>850</v>
      </c>
      <c r="AR20" s="372" t="s">
        <v>850</v>
      </c>
      <c r="AS20" s="372" t="s">
        <v>850</v>
      </c>
      <c r="AT20" s="372" t="s">
        <v>850</v>
      </c>
      <c r="AU20" s="372" t="s">
        <v>850</v>
      </c>
      <c r="AV20" s="372" t="s">
        <v>850</v>
      </c>
      <c r="AW20" s="372" t="s">
        <v>850</v>
      </c>
      <c r="AX20" s="372" t="s">
        <v>850</v>
      </c>
      <c r="AY20" s="372" t="s">
        <v>850</v>
      </c>
      <c r="AZ20" s="372" t="s">
        <v>850</v>
      </c>
      <c r="BA20" s="372" t="s">
        <v>850</v>
      </c>
      <c r="BB20" s="372" t="s">
        <v>850</v>
      </c>
      <c r="BC20" s="372" t="s">
        <v>850</v>
      </c>
      <c r="BD20" s="372" t="s">
        <v>850</v>
      </c>
      <c r="BE20" s="372" t="s">
        <v>850</v>
      </c>
      <c r="BF20" s="372" t="s">
        <v>850</v>
      </c>
      <c r="BG20" s="372" t="s">
        <v>850</v>
      </c>
      <c r="BH20" s="372" t="s">
        <v>850</v>
      </c>
      <c r="BI20" s="372" t="s">
        <v>850</v>
      </c>
      <c r="BJ20" s="372" t="s">
        <v>850</v>
      </c>
      <c r="BK20" s="372" t="s">
        <v>850</v>
      </c>
      <c r="BL20" s="372" t="s">
        <v>850</v>
      </c>
      <c r="BM20" s="372" t="s">
        <v>850</v>
      </c>
      <c r="BN20" s="372" t="s">
        <v>850</v>
      </c>
      <c r="BO20" s="372" t="s">
        <v>850</v>
      </c>
      <c r="BP20" s="372" t="s">
        <v>850</v>
      </c>
      <c r="BQ20" s="372" t="s">
        <v>850</v>
      </c>
      <c r="BR20" s="372" t="s">
        <v>850</v>
      </c>
      <c r="BS20" s="372" t="s">
        <v>850</v>
      </c>
      <c r="BT20" s="372" t="s">
        <v>850</v>
      </c>
      <c r="BU20" s="372" t="s">
        <v>850</v>
      </c>
      <c r="BV20" s="372" t="s">
        <v>850</v>
      </c>
      <c r="BW20" s="372" t="s">
        <v>850</v>
      </c>
      <c r="BX20" s="372" t="s">
        <v>850</v>
      </c>
      <c r="BY20" s="372" t="s">
        <v>850</v>
      </c>
      <c r="BZ20" s="372" t="s">
        <v>850</v>
      </c>
      <c r="CA20" s="372" t="s">
        <v>850</v>
      </c>
      <c r="CB20" s="372" t="s">
        <v>850</v>
      </c>
      <c r="CC20" s="372" t="s">
        <v>850</v>
      </c>
      <c r="CD20" s="372" t="s">
        <v>850</v>
      </c>
      <c r="CE20" s="372" t="s">
        <v>850</v>
      </c>
      <c r="CG20" s="372" t="s">
        <v>850</v>
      </c>
      <c r="CH20" s="372" t="s">
        <v>850</v>
      </c>
      <c r="CI20" s="372" t="s">
        <v>850</v>
      </c>
      <c r="CJ20" s="372" t="s">
        <v>850</v>
      </c>
      <c r="CK20" s="372" t="s">
        <v>850</v>
      </c>
      <c r="CL20" s="372" t="s">
        <v>850</v>
      </c>
      <c r="CM20" s="372" t="s">
        <v>850</v>
      </c>
      <c r="CN20" s="372" t="s">
        <v>850</v>
      </c>
      <c r="CO20" s="372" t="s">
        <v>850</v>
      </c>
      <c r="CP20" s="372" t="s">
        <v>850</v>
      </c>
      <c r="CQ20" s="372" t="s">
        <v>850</v>
      </c>
      <c r="CR20" s="372" t="s">
        <v>850</v>
      </c>
      <c r="CS20" s="372" t="s">
        <v>850</v>
      </c>
      <c r="CT20" s="372" t="s">
        <v>850</v>
      </c>
      <c r="CU20" s="372" t="s">
        <v>850</v>
      </c>
      <c r="CV20" s="372" t="s">
        <v>850</v>
      </c>
      <c r="CW20" s="372" t="s">
        <v>850</v>
      </c>
      <c r="CX20" s="372" t="s">
        <v>850</v>
      </c>
      <c r="CY20" s="372" t="s">
        <v>850</v>
      </c>
      <c r="CZ20" s="372" t="s">
        <v>850</v>
      </c>
      <c r="DA20" s="372" t="s">
        <v>850</v>
      </c>
      <c r="DB20" s="372" t="s">
        <v>850</v>
      </c>
      <c r="DC20" s="372" t="s">
        <v>850</v>
      </c>
      <c r="DD20" s="372" t="s">
        <v>850</v>
      </c>
      <c r="DE20" s="372" t="s">
        <v>850</v>
      </c>
      <c r="DF20" s="372" t="s">
        <v>850</v>
      </c>
      <c r="DG20" s="373">
        <f>100-100</f>
        <v>0</v>
      </c>
      <c r="DH20" s="372"/>
      <c r="DI20" s="372" t="s">
        <v>850</v>
      </c>
      <c r="DJ20" s="372" t="s">
        <v>850</v>
      </c>
      <c r="DK20" s="372" t="s">
        <v>850</v>
      </c>
      <c r="DL20" s="372" t="s">
        <v>850</v>
      </c>
      <c r="DM20" s="372" t="s">
        <v>850</v>
      </c>
      <c r="DN20" s="372" t="s">
        <v>850</v>
      </c>
      <c r="DO20" s="372" t="s">
        <v>850</v>
      </c>
      <c r="DP20" s="372" t="s">
        <v>850</v>
      </c>
      <c r="DQ20" s="372" t="s">
        <v>850</v>
      </c>
      <c r="DR20" s="372" t="s">
        <v>850</v>
      </c>
      <c r="DS20" s="372"/>
      <c r="DT20" s="372" t="s">
        <v>850</v>
      </c>
      <c r="DU20" s="372" t="s">
        <v>850</v>
      </c>
      <c r="DV20" s="373">
        <f>50-50</f>
        <v>0</v>
      </c>
      <c r="DW20" s="372" t="s">
        <v>850</v>
      </c>
      <c r="DX20" s="372" t="s">
        <v>850</v>
      </c>
      <c r="DY20" s="372" t="s">
        <v>850</v>
      </c>
      <c r="DZ20" s="373">
        <f>150-150</f>
        <v>0</v>
      </c>
      <c r="EB20" s="373">
        <f>100-100</f>
        <v>0</v>
      </c>
      <c r="ED20" s="372" t="s">
        <v>850</v>
      </c>
      <c r="EE20" s="372" t="s">
        <v>850</v>
      </c>
      <c r="EF20" s="372" t="s">
        <v>850</v>
      </c>
      <c r="EG20" s="373">
        <f>20-20</f>
        <v>0</v>
      </c>
      <c r="EH20" s="372" t="s">
        <v>850</v>
      </c>
      <c r="EI20" s="373">
        <f>20-20</f>
        <v>0</v>
      </c>
      <c r="EJ20" s="372" t="s">
        <v>850</v>
      </c>
      <c r="EK20" s="373">
        <f>50-50</f>
        <v>0</v>
      </c>
      <c r="EL20" s="372" t="s">
        <v>850</v>
      </c>
      <c r="EM20" s="372" t="s">
        <v>850</v>
      </c>
      <c r="EN20" s="372" t="s">
        <v>850</v>
      </c>
      <c r="EO20" s="372" t="s">
        <v>850</v>
      </c>
      <c r="EP20" s="372" t="s">
        <v>850</v>
      </c>
      <c r="EQ20" s="372" t="s">
        <v>850</v>
      </c>
      <c r="ER20" s="372" t="s">
        <v>850</v>
      </c>
      <c r="ES20" s="373">
        <f>150-150</f>
        <v>0</v>
      </c>
      <c r="ET20" s="372" t="s">
        <v>850</v>
      </c>
      <c r="EU20" s="372" t="s">
        <v>850</v>
      </c>
      <c r="EV20" s="372" t="s">
        <v>850</v>
      </c>
      <c r="EW20" s="372" t="s">
        <v>850</v>
      </c>
      <c r="EX20" s="372" t="s">
        <v>850</v>
      </c>
      <c r="EY20" s="372" t="s">
        <v>850</v>
      </c>
      <c r="EZ20" s="372" t="s">
        <v>850</v>
      </c>
      <c r="FA20" s="372" t="s">
        <v>850</v>
      </c>
      <c r="FB20" s="372" t="s">
        <v>850</v>
      </c>
      <c r="FC20" s="372" t="s">
        <v>850</v>
      </c>
      <c r="FD20" s="372" t="s">
        <v>850</v>
      </c>
      <c r="FE20" s="372" t="s">
        <v>850</v>
      </c>
      <c r="FF20" s="372" t="s">
        <v>850</v>
      </c>
      <c r="FG20" s="372" t="s">
        <v>850</v>
      </c>
      <c r="FH20" s="372" t="s">
        <v>850</v>
      </c>
      <c r="FI20" s="372" t="s">
        <v>850</v>
      </c>
      <c r="FJ20" s="372" t="s">
        <v>850</v>
      </c>
      <c r="FK20" s="372" t="s">
        <v>850</v>
      </c>
      <c r="FL20" s="372" t="s">
        <v>850</v>
      </c>
      <c r="FM20" s="372" t="s">
        <v>850</v>
      </c>
      <c r="FN20" s="372" t="s">
        <v>850</v>
      </c>
      <c r="FO20" s="375" t="s">
        <v>850</v>
      </c>
      <c r="FP20" s="376" t="s">
        <v>1120</v>
      </c>
      <c r="FQ20" s="377" t="s">
        <v>522</v>
      </c>
      <c r="FR20" s="377" t="s">
        <v>850</v>
      </c>
      <c r="FS20" s="377" t="s">
        <v>542</v>
      </c>
      <c r="FT20" s="144">
        <f t="shared" si="0"/>
        <v>0</v>
      </c>
      <c r="FU20" s="371" t="s">
        <v>888</v>
      </c>
    </row>
    <row r="21" spans="1:177" s="371" customFormat="1" hidden="1">
      <c r="A21" s="368" t="s">
        <v>897</v>
      </c>
      <c r="B21" s="369" t="s">
        <v>517</v>
      </c>
      <c r="C21" s="369" t="s">
        <v>527</v>
      </c>
      <c r="D21" s="369" t="s">
        <v>3</v>
      </c>
      <c r="E21" s="370" t="s">
        <v>541</v>
      </c>
      <c r="F21" s="369" t="s">
        <v>520</v>
      </c>
      <c r="G21" s="369"/>
      <c r="H21" s="372"/>
      <c r="I21" s="372"/>
      <c r="J21" s="372"/>
      <c r="K21" s="372"/>
      <c r="L21" s="372"/>
      <c r="M21" s="372"/>
      <c r="N21" s="372"/>
      <c r="O21" s="372"/>
      <c r="P21" s="372"/>
      <c r="Q21" s="372"/>
      <c r="R21" s="372"/>
      <c r="S21" s="372"/>
      <c r="T21" s="372"/>
      <c r="U21" s="372"/>
      <c r="V21" s="372"/>
      <c r="W21" s="372"/>
      <c r="X21" s="372"/>
      <c r="Y21" s="372"/>
      <c r="Z21" s="372"/>
      <c r="AA21" s="372"/>
      <c r="AB21" s="372"/>
      <c r="AC21" s="372"/>
      <c r="AD21" s="372"/>
      <c r="AE21" s="372"/>
      <c r="AF21" s="372"/>
      <c r="AG21" s="372"/>
      <c r="AH21" s="372"/>
      <c r="AI21" s="372"/>
      <c r="AJ21" s="372"/>
      <c r="AK21" s="372"/>
      <c r="AL21" s="372"/>
      <c r="AM21" s="372"/>
      <c r="AN21" s="372"/>
      <c r="AO21" s="372"/>
      <c r="AP21" s="372"/>
      <c r="AQ21" s="372"/>
      <c r="AR21" s="372"/>
      <c r="AS21" s="372"/>
      <c r="AT21" s="372"/>
      <c r="AU21" s="372"/>
      <c r="AV21" s="372"/>
      <c r="AW21" s="372"/>
      <c r="AX21" s="372"/>
      <c r="AY21" s="372"/>
      <c r="AZ21" s="372"/>
      <c r="BA21" s="372"/>
      <c r="BB21" s="372"/>
      <c r="BC21" s="372"/>
      <c r="BD21" s="372"/>
      <c r="BE21" s="372"/>
      <c r="BF21" s="372"/>
      <c r="BG21" s="372"/>
      <c r="BH21" s="372"/>
      <c r="BI21" s="372"/>
      <c r="BJ21" s="372"/>
      <c r="BK21" s="372"/>
      <c r="BL21" s="372"/>
      <c r="BM21" s="372"/>
      <c r="BN21" s="372"/>
      <c r="BO21" s="372"/>
      <c r="BP21" s="372"/>
      <c r="BQ21" s="372"/>
      <c r="BR21" s="372"/>
      <c r="BS21" s="372"/>
      <c r="BT21" s="372"/>
      <c r="BU21" s="372"/>
      <c r="BV21" s="372"/>
      <c r="BW21" s="372"/>
      <c r="BX21" s="372"/>
      <c r="BY21" s="372"/>
      <c r="BZ21" s="372"/>
      <c r="CA21" s="372"/>
      <c r="CB21" s="372"/>
      <c r="CC21" s="372"/>
      <c r="CD21" s="372"/>
      <c r="CE21" s="372"/>
      <c r="CG21" s="372"/>
      <c r="CH21" s="372"/>
      <c r="CI21" s="372"/>
      <c r="CJ21" s="372"/>
      <c r="CK21" s="372"/>
      <c r="CL21" s="372"/>
      <c r="CM21" s="372"/>
      <c r="CN21" s="372"/>
      <c r="CO21" s="372"/>
      <c r="CP21" s="372"/>
      <c r="CQ21" s="372"/>
      <c r="CR21" s="372"/>
      <c r="CS21" s="372"/>
      <c r="CT21" s="372"/>
      <c r="CU21" s="372"/>
      <c r="CV21" s="372"/>
      <c r="CW21" s="372"/>
      <c r="CX21" s="372"/>
      <c r="CY21" s="372"/>
      <c r="CZ21" s="372"/>
      <c r="DA21" s="372"/>
      <c r="DB21" s="372"/>
      <c r="DC21" s="372"/>
      <c r="DD21" s="372"/>
      <c r="DE21" s="372"/>
      <c r="DF21" s="372"/>
      <c r="DG21" s="372"/>
      <c r="DH21" s="372"/>
      <c r="DI21" s="372"/>
      <c r="DJ21" s="372"/>
      <c r="DK21" s="372"/>
      <c r="DL21" s="372"/>
      <c r="DM21" s="372"/>
      <c r="DN21" s="372"/>
      <c r="DO21" s="372"/>
      <c r="DP21" s="372"/>
      <c r="DQ21" s="372"/>
      <c r="DR21" s="372"/>
      <c r="DS21" s="372"/>
      <c r="DT21" s="372"/>
      <c r="DU21" s="372"/>
      <c r="DV21" s="372"/>
      <c r="DW21" s="372"/>
      <c r="DX21" s="372"/>
      <c r="DY21" s="372"/>
      <c r="DZ21" s="372"/>
      <c r="EB21" s="372"/>
      <c r="ED21" s="372"/>
      <c r="EE21" s="372"/>
      <c r="EF21" s="372"/>
      <c r="EG21" s="372"/>
      <c r="EH21" s="372" t="s">
        <v>850</v>
      </c>
      <c r="EI21" s="372"/>
      <c r="EJ21" s="372"/>
      <c r="EK21" s="372"/>
      <c r="EL21" s="372"/>
      <c r="EM21" s="372"/>
      <c r="EN21" s="372"/>
      <c r="EO21" s="372"/>
      <c r="EP21" s="372"/>
      <c r="EQ21" s="372"/>
      <c r="ER21" s="372"/>
      <c r="ES21" s="372"/>
      <c r="ET21" s="372"/>
      <c r="EU21" s="372"/>
      <c r="EV21" s="372"/>
      <c r="EW21" s="372"/>
      <c r="EX21" s="372"/>
      <c r="EY21" s="372"/>
      <c r="EZ21" s="372"/>
      <c r="FA21" s="372"/>
      <c r="FB21" s="372"/>
      <c r="FC21" s="372"/>
      <c r="FD21" s="372"/>
      <c r="FE21" s="372"/>
      <c r="FF21" s="372"/>
      <c r="FG21" s="372"/>
      <c r="FH21" s="372"/>
      <c r="FI21" s="372"/>
      <c r="FJ21" s="372"/>
      <c r="FK21" s="372"/>
      <c r="FL21" s="372"/>
      <c r="FM21" s="372"/>
      <c r="FN21" s="372"/>
      <c r="FO21" s="375" t="s">
        <v>850</v>
      </c>
      <c r="FP21" s="376" t="s">
        <v>1120</v>
      </c>
      <c r="FQ21" s="377" t="s">
        <v>522</v>
      </c>
      <c r="FR21" s="377" t="s">
        <v>850</v>
      </c>
      <c r="FS21" s="377" t="s">
        <v>542</v>
      </c>
      <c r="FT21" s="144">
        <f t="shared" si="0"/>
        <v>0</v>
      </c>
      <c r="FU21" s="371" t="s">
        <v>888</v>
      </c>
    </row>
    <row r="22" spans="1:177" s="371" customFormat="1" hidden="1">
      <c r="A22" s="368" t="s">
        <v>526</v>
      </c>
      <c r="B22" s="369" t="s">
        <v>517</v>
      </c>
      <c r="C22" s="369" t="s">
        <v>544</v>
      </c>
      <c r="D22" s="369" t="s">
        <v>8</v>
      </c>
      <c r="E22" s="370" t="s">
        <v>545</v>
      </c>
      <c r="F22" s="369" t="s">
        <v>520</v>
      </c>
      <c r="G22" s="369"/>
      <c r="DH22" s="372"/>
      <c r="EH22" s="372" t="s">
        <v>850</v>
      </c>
      <c r="FO22" s="375" t="s">
        <v>850</v>
      </c>
      <c r="FP22" s="376" t="s">
        <v>1120</v>
      </c>
      <c r="FQ22" s="377" t="s">
        <v>522</v>
      </c>
      <c r="FR22" s="377" t="s">
        <v>850</v>
      </c>
      <c r="FS22" s="377" t="s">
        <v>546</v>
      </c>
      <c r="FT22" s="144">
        <f t="shared" si="0"/>
        <v>0</v>
      </c>
      <c r="FU22" s="371" t="s">
        <v>902</v>
      </c>
    </row>
    <row r="23" spans="1:177" s="371" customFormat="1" hidden="1">
      <c r="A23" s="368" t="s">
        <v>526</v>
      </c>
      <c r="B23" s="369" t="s">
        <v>517</v>
      </c>
      <c r="C23" s="369" t="s">
        <v>544</v>
      </c>
      <c r="D23" s="369" t="s">
        <v>4</v>
      </c>
      <c r="E23" s="370" t="s">
        <v>545</v>
      </c>
      <c r="F23" s="369" t="s">
        <v>520</v>
      </c>
      <c r="G23" s="369"/>
      <c r="H23" s="373">
        <f>50-50+50</f>
        <v>50</v>
      </c>
      <c r="I23" s="373">
        <f>100-100</f>
        <v>0</v>
      </c>
      <c r="J23" s="372" t="s">
        <v>850</v>
      </c>
      <c r="K23" s="373">
        <f>100-100</f>
        <v>0</v>
      </c>
      <c r="L23" s="373">
        <f>300-300</f>
        <v>0</v>
      </c>
      <c r="M23" s="372" t="s">
        <v>850</v>
      </c>
      <c r="N23" s="373">
        <f>40-40</f>
        <v>0</v>
      </c>
      <c r="O23" s="373">
        <f>80-80</f>
        <v>0</v>
      </c>
      <c r="P23" s="372" t="s">
        <v>850</v>
      </c>
      <c r="Q23" s="373">
        <f>40-40</f>
        <v>0</v>
      </c>
      <c r="R23" s="373">
        <f>50-50</f>
        <v>0</v>
      </c>
      <c r="S23" s="373">
        <f>100-100</f>
        <v>0</v>
      </c>
      <c r="T23" s="373">
        <f>200-200</f>
        <v>0</v>
      </c>
      <c r="U23" s="373">
        <f>150-150</f>
        <v>0</v>
      </c>
      <c r="V23" s="373">
        <f>200-200</f>
        <v>0</v>
      </c>
      <c r="W23" s="373">
        <f>300-300</f>
        <v>0</v>
      </c>
      <c r="X23" s="372" t="s">
        <v>850</v>
      </c>
      <c r="Y23" s="372" t="s">
        <v>850</v>
      </c>
      <c r="Z23" s="372" t="s">
        <v>850</v>
      </c>
      <c r="AA23" s="372" t="s">
        <v>850</v>
      </c>
      <c r="AB23" s="372" t="s">
        <v>850</v>
      </c>
      <c r="AC23" s="372" t="s">
        <v>850</v>
      </c>
      <c r="AD23" s="372" t="s">
        <v>850</v>
      </c>
      <c r="AE23" s="372" t="s">
        <v>850</v>
      </c>
      <c r="AF23" s="372" t="s">
        <v>850</v>
      </c>
      <c r="AG23" s="372" t="s">
        <v>850</v>
      </c>
      <c r="AH23" s="372" t="s">
        <v>850</v>
      </c>
      <c r="AI23" s="372" t="s">
        <v>850</v>
      </c>
      <c r="AJ23" s="372" t="s">
        <v>850</v>
      </c>
      <c r="AK23" s="372" t="s">
        <v>850</v>
      </c>
      <c r="AL23" s="372" t="s">
        <v>850</v>
      </c>
      <c r="AM23" s="372" t="s">
        <v>850</v>
      </c>
      <c r="AN23" s="372" t="s">
        <v>850</v>
      </c>
      <c r="AO23" s="372" t="s">
        <v>850</v>
      </c>
      <c r="AP23" s="372" t="s">
        <v>850</v>
      </c>
      <c r="AQ23" s="373">
        <f>36-36</f>
        <v>0</v>
      </c>
      <c r="AR23" s="373">
        <f>20-20</f>
        <v>0</v>
      </c>
      <c r="AS23" s="373">
        <f>50-50</f>
        <v>0</v>
      </c>
      <c r="AT23" s="373">
        <f>100-100</f>
        <v>0</v>
      </c>
      <c r="AU23" s="373">
        <f>200-200</f>
        <v>0</v>
      </c>
      <c r="AV23" s="373">
        <f>100-100</f>
        <v>0</v>
      </c>
      <c r="AW23" s="373">
        <f>200-200</f>
        <v>0</v>
      </c>
      <c r="AX23" s="373">
        <f>100-100</f>
        <v>0</v>
      </c>
      <c r="AY23" s="373">
        <f>300-300</f>
        <v>0</v>
      </c>
      <c r="AZ23" s="372" t="s">
        <v>850</v>
      </c>
      <c r="BA23" s="372" t="s">
        <v>850</v>
      </c>
      <c r="BB23" s="372" t="s">
        <v>850</v>
      </c>
      <c r="BC23" s="373">
        <f>40-40</f>
        <v>0</v>
      </c>
      <c r="BD23" s="373">
        <f>20-20</f>
        <v>0</v>
      </c>
      <c r="BE23" s="373">
        <f>40-40</f>
        <v>0</v>
      </c>
      <c r="BF23" s="373">
        <f>100-100</f>
        <v>0</v>
      </c>
      <c r="BG23" s="373">
        <f>200-200</f>
        <v>0</v>
      </c>
      <c r="BH23" s="373">
        <f>100-100</f>
        <v>0</v>
      </c>
      <c r="BI23" s="373">
        <f>200-200</f>
        <v>0</v>
      </c>
      <c r="BJ23" s="373">
        <f>200-200</f>
        <v>0</v>
      </c>
      <c r="BK23" s="372" t="s">
        <v>850</v>
      </c>
      <c r="BL23" s="372" t="s">
        <v>850</v>
      </c>
      <c r="BM23" s="372" t="s">
        <v>850</v>
      </c>
      <c r="BN23" s="372" t="s">
        <v>850</v>
      </c>
      <c r="BO23" s="373">
        <f>40-40</f>
        <v>0</v>
      </c>
      <c r="BP23" s="373">
        <f>30-30</f>
        <v>0</v>
      </c>
      <c r="BQ23" s="373">
        <f>100-100</f>
        <v>0</v>
      </c>
      <c r="BR23" s="373">
        <f>200-200</f>
        <v>0</v>
      </c>
      <c r="BS23" s="373">
        <f>200-200</f>
        <v>0</v>
      </c>
      <c r="BT23" s="372" t="s">
        <v>850</v>
      </c>
      <c r="BU23" s="373">
        <f>500-500</f>
        <v>0</v>
      </c>
      <c r="BV23" s="373">
        <f>400-400</f>
        <v>0</v>
      </c>
      <c r="BW23" s="373">
        <f>500-500</f>
        <v>0</v>
      </c>
      <c r="BX23" s="373">
        <f>200-200</f>
        <v>0</v>
      </c>
      <c r="BY23" s="373">
        <f>200-200</f>
        <v>0</v>
      </c>
      <c r="BZ23" s="373">
        <f>150-150</f>
        <v>0</v>
      </c>
      <c r="CA23" s="373">
        <f>200-200</f>
        <v>0</v>
      </c>
      <c r="CB23" s="373">
        <f>200-200</f>
        <v>0</v>
      </c>
      <c r="CC23" s="373">
        <f>200-200</f>
        <v>0</v>
      </c>
      <c r="CD23" s="373">
        <f>200-200</f>
        <v>0</v>
      </c>
      <c r="CE23" s="373">
        <f>200-200</f>
        <v>0</v>
      </c>
      <c r="CG23" s="373">
        <f>1000-1000</f>
        <v>0</v>
      </c>
      <c r="CH23" s="373">
        <f>300-300</f>
        <v>0</v>
      </c>
      <c r="CI23" s="373">
        <f>1000-1000</f>
        <v>0</v>
      </c>
      <c r="CJ23" s="373">
        <f>200-200</f>
        <v>0</v>
      </c>
      <c r="CK23" s="372" t="s">
        <v>850</v>
      </c>
      <c r="CL23" s="373">
        <f>100-100</f>
        <v>0</v>
      </c>
      <c r="CM23" s="373">
        <f>150-150</f>
        <v>0</v>
      </c>
      <c r="CN23" s="373">
        <f>250-250</f>
        <v>0</v>
      </c>
      <c r="CO23" s="373">
        <f>150-150</f>
        <v>0</v>
      </c>
      <c r="CP23" s="373">
        <f>500-500</f>
        <v>0</v>
      </c>
      <c r="CQ23" s="372" t="s">
        <v>850</v>
      </c>
      <c r="CR23" s="372" t="s">
        <v>850</v>
      </c>
      <c r="CS23" s="372" t="s">
        <v>850</v>
      </c>
      <c r="CT23" s="372" t="s">
        <v>850</v>
      </c>
      <c r="CU23" s="372" t="s">
        <v>850</v>
      </c>
      <c r="CV23" s="372" t="s">
        <v>850</v>
      </c>
      <c r="CW23" s="373">
        <f>100-100</f>
        <v>0</v>
      </c>
      <c r="CX23" s="373">
        <f>200-200</f>
        <v>0</v>
      </c>
      <c r="CY23" s="373">
        <f>100-100</f>
        <v>0</v>
      </c>
      <c r="CZ23" s="373">
        <f>500-500</f>
        <v>0</v>
      </c>
      <c r="DA23" s="373">
        <f>500-500</f>
        <v>0</v>
      </c>
      <c r="DB23" s="372" t="s">
        <v>850</v>
      </c>
      <c r="DC23" s="372" t="s">
        <v>850</v>
      </c>
      <c r="DD23" s="372" t="s">
        <v>850</v>
      </c>
      <c r="DE23" s="372" t="s">
        <v>850</v>
      </c>
      <c r="DF23" s="372" t="s">
        <v>850</v>
      </c>
      <c r="DG23" s="372" t="s">
        <v>850</v>
      </c>
      <c r="DH23" s="372"/>
      <c r="DI23" s="372" t="s">
        <v>850</v>
      </c>
      <c r="DJ23" s="372" t="s">
        <v>850</v>
      </c>
      <c r="DK23" s="372" t="s">
        <v>850</v>
      </c>
      <c r="DL23" s="372" t="s">
        <v>850</v>
      </c>
      <c r="DM23" s="372" t="s">
        <v>850</v>
      </c>
      <c r="DN23" s="372" t="s">
        <v>850</v>
      </c>
      <c r="DO23" s="373">
        <f>50-50</f>
        <v>0</v>
      </c>
      <c r="DP23" s="372" t="s">
        <v>850</v>
      </c>
      <c r="DQ23" s="372" t="s">
        <v>850</v>
      </c>
      <c r="DR23" s="372" t="s">
        <v>850</v>
      </c>
      <c r="DS23" s="372"/>
      <c r="DT23" s="373">
        <f>50-50</f>
        <v>0</v>
      </c>
      <c r="DU23" s="372" t="s">
        <v>850</v>
      </c>
      <c r="DV23" s="372" t="s">
        <v>850</v>
      </c>
      <c r="DW23" s="372" t="s">
        <v>850</v>
      </c>
      <c r="DX23" s="372" t="s">
        <v>850</v>
      </c>
      <c r="DY23" s="372" t="s">
        <v>850</v>
      </c>
      <c r="DZ23" s="372" t="s">
        <v>850</v>
      </c>
      <c r="EB23" s="373">
        <f>500-500</f>
        <v>0</v>
      </c>
      <c r="ED23" s="373">
        <f>100-100</f>
        <v>0</v>
      </c>
      <c r="EE23" s="372" t="s">
        <v>850</v>
      </c>
      <c r="EF23" s="372" t="s">
        <v>850</v>
      </c>
      <c r="EG23" s="372" t="s">
        <v>850</v>
      </c>
      <c r="EH23" s="372" t="s">
        <v>850</v>
      </c>
      <c r="EI23" s="372" t="s">
        <v>850</v>
      </c>
      <c r="EJ23" s="372" t="s">
        <v>850</v>
      </c>
      <c r="EK23" s="372" t="s">
        <v>850</v>
      </c>
      <c r="EL23" s="372" t="s">
        <v>850</v>
      </c>
      <c r="EM23" s="372" t="s">
        <v>850</v>
      </c>
      <c r="EN23" s="372" t="s">
        <v>850</v>
      </c>
      <c r="EO23" s="372" t="s">
        <v>850</v>
      </c>
      <c r="EP23" s="372" t="s">
        <v>850</v>
      </c>
      <c r="EQ23" s="372" t="s">
        <v>850</v>
      </c>
      <c r="ER23" s="372" t="s">
        <v>850</v>
      </c>
      <c r="ES23" s="372" t="s">
        <v>850</v>
      </c>
      <c r="ET23" s="372" t="s">
        <v>850</v>
      </c>
      <c r="EU23" s="372" t="s">
        <v>850</v>
      </c>
      <c r="EV23" s="372" t="s">
        <v>850</v>
      </c>
      <c r="EW23" s="372" t="s">
        <v>850</v>
      </c>
      <c r="EX23" s="372" t="s">
        <v>850</v>
      </c>
      <c r="EY23" s="372" t="s">
        <v>850</v>
      </c>
      <c r="EZ23" s="372" t="s">
        <v>850</v>
      </c>
      <c r="FA23" s="372" t="s">
        <v>850</v>
      </c>
      <c r="FB23" s="372" t="s">
        <v>850</v>
      </c>
      <c r="FC23" s="372" t="s">
        <v>850</v>
      </c>
      <c r="FD23" s="372" t="s">
        <v>850</v>
      </c>
      <c r="FE23" s="372" t="s">
        <v>850</v>
      </c>
      <c r="FF23" s="372" t="s">
        <v>850</v>
      </c>
      <c r="FG23" s="372" t="s">
        <v>850</v>
      </c>
      <c r="FH23" s="372" t="s">
        <v>850</v>
      </c>
      <c r="FI23" s="372" t="s">
        <v>850</v>
      </c>
      <c r="FJ23" s="372" t="s">
        <v>850</v>
      </c>
      <c r="FK23" s="372" t="s">
        <v>850</v>
      </c>
      <c r="FL23" s="372" t="s">
        <v>850</v>
      </c>
      <c r="FM23" s="372" t="s">
        <v>850</v>
      </c>
      <c r="FN23" s="372" t="s">
        <v>850</v>
      </c>
      <c r="FO23" s="375" t="s">
        <v>850</v>
      </c>
      <c r="FP23" s="376" t="s">
        <v>1120</v>
      </c>
      <c r="FQ23" s="377" t="s">
        <v>522</v>
      </c>
      <c r="FR23" s="377" t="s">
        <v>850</v>
      </c>
      <c r="FS23" s="377" t="s">
        <v>546</v>
      </c>
      <c r="FT23" s="144">
        <f t="shared" si="0"/>
        <v>50</v>
      </c>
      <c r="FU23" s="371" t="s">
        <v>902</v>
      </c>
    </row>
    <row r="24" spans="1:177" s="371" customFormat="1" hidden="1">
      <c r="A24" s="368" t="s">
        <v>526</v>
      </c>
      <c r="B24" s="369" t="s">
        <v>517</v>
      </c>
      <c r="C24" s="369" t="s">
        <v>544</v>
      </c>
      <c r="D24" s="369" t="s">
        <v>3</v>
      </c>
      <c r="E24" s="370" t="s">
        <v>545</v>
      </c>
      <c r="F24" s="369" t="s">
        <v>520</v>
      </c>
      <c r="G24" s="369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  <c r="AB24" s="372"/>
      <c r="AC24" s="372"/>
      <c r="AD24" s="372"/>
      <c r="AE24" s="372"/>
      <c r="AF24" s="372"/>
      <c r="AG24" s="372"/>
      <c r="AH24" s="372"/>
      <c r="AI24" s="372"/>
      <c r="AJ24" s="372"/>
      <c r="AK24" s="372"/>
      <c r="AL24" s="372"/>
      <c r="AM24" s="372"/>
      <c r="AN24" s="372"/>
      <c r="AO24" s="372"/>
      <c r="AP24" s="372"/>
      <c r="AQ24" s="372"/>
      <c r="AR24" s="372"/>
      <c r="AS24" s="372"/>
      <c r="AT24" s="372"/>
      <c r="AU24" s="372"/>
      <c r="AV24" s="372"/>
      <c r="AW24" s="372"/>
      <c r="AX24" s="372"/>
      <c r="AY24" s="372"/>
      <c r="AZ24" s="372"/>
      <c r="BA24" s="372"/>
      <c r="BB24" s="372"/>
      <c r="BC24" s="372"/>
      <c r="BD24" s="372"/>
      <c r="BE24" s="372"/>
      <c r="BF24" s="372"/>
      <c r="BG24" s="372"/>
      <c r="BH24" s="372"/>
      <c r="BI24" s="372"/>
      <c r="BJ24" s="372"/>
      <c r="BK24" s="372"/>
      <c r="BL24" s="372"/>
      <c r="BM24" s="372"/>
      <c r="BN24" s="372"/>
      <c r="BO24" s="372"/>
      <c r="BP24" s="372"/>
      <c r="BQ24" s="372"/>
      <c r="BR24" s="372"/>
      <c r="BS24" s="372"/>
      <c r="BT24" s="372"/>
      <c r="BU24" s="372"/>
      <c r="BV24" s="372"/>
      <c r="BW24" s="372"/>
      <c r="BX24" s="372"/>
      <c r="BY24" s="372"/>
      <c r="BZ24" s="372"/>
      <c r="CA24" s="372"/>
      <c r="CB24" s="372"/>
      <c r="CC24" s="372"/>
      <c r="CD24" s="372"/>
      <c r="CE24" s="372"/>
      <c r="CG24" s="372"/>
      <c r="CH24" s="372"/>
      <c r="CI24" s="372"/>
      <c r="CJ24" s="372"/>
      <c r="CK24" s="372"/>
      <c r="CL24" s="372"/>
      <c r="CM24" s="372"/>
      <c r="CN24" s="372"/>
      <c r="CO24" s="372"/>
      <c r="CP24" s="372"/>
      <c r="CQ24" s="372"/>
      <c r="CR24" s="372"/>
      <c r="CS24" s="372"/>
      <c r="CT24" s="372"/>
      <c r="CU24" s="372"/>
      <c r="CV24" s="372"/>
      <c r="CW24" s="372"/>
      <c r="CX24" s="372"/>
      <c r="CY24" s="372"/>
      <c r="CZ24" s="372"/>
      <c r="DA24" s="372"/>
      <c r="DB24" s="372"/>
      <c r="DC24" s="372"/>
      <c r="DD24" s="372"/>
      <c r="DE24" s="372"/>
      <c r="DF24" s="372"/>
      <c r="DG24" s="372"/>
      <c r="DH24" s="372"/>
      <c r="DI24" s="372"/>
      <c r="DJ24" s="372"/>
      <c r="DK24" s="372"/>
      <c r="DL24" s="372"/>
      <c r="DM24" s="372"/>
      <c r="DN24" s="372"/>
      <c r="DO24" s="372"/>
      <c r="DP24" s="372"/>
      <c r="DQ24" s="372"/>
      <c r="DR24" s="372"/>
      <c r="DS24" s="372"/>
      <c r="DT24" s="372"/>
      <c r="DU24" s="372"/>
      <c r="DV24" s="372"/>
      <c r="DW24" s="372"/>
      <c r="DX24" s="372"/>
      <c r="DY24" s="372"/>
      <c r="DZ24" s="372"/>
      <c r="EB24" s="372"/>
      <c r="ED24" s="372"/>
      <c r="EE24" s="372"/>
      <c r="EF24" s="372"/>
      <c r="EG24" s="372"/>
      <c r="EH24" s="372" t="s">
        <v>850</v>
      </c>
      <c r="EI24" s="372"/>
      <c r="EJ24" s="372"/>
      <c r="EK24" s="372"/>
      <c r="EL24" s="372"/>
      <c r="EM24" s="372"/>
      <c r="EN24" s="372"/>
      <c r="EO24" s="372"/>
      <c r="EP24" s="372"/>
      <c r="EQ24" s="372"/>
      <c r="ER24" s="372"/>
      <c r="ES24" s="372"/>
      <c r="ET24" s="372"/>
      <c r="EU24" s="372"/>
      <c r="EV24" s="372"/>
      <c r="EW24" s="372"/>
      <c r="EX24" s="372"/>
      <c r="EY24" s="372"/>
      <c r="EZ24" s="372"/>
      <c r="FA24" s="372"/>
      <c r="FB24" s="372"/>
      <c r="FC24" s="372"/>
      <c r="FD24" s="372"/>
      <c r="FE24" s="372"/>
      <c r="FF24" s="372"/>
      <c r="FG24" s="372"/>
      <c r="FH24" s="372"/>
      <c r="FI24" s="372"/>
      <c r="FJ24" s="372"/>
      <c r="FK24" s="372"/>
      <c r="FL24" s="372"/>
      <c r="FM24" s="372"/>
      <c r="FN24" s="372"/>
      <c r="FO24" s="375" t="s">
        <v>850</v>
      </c>
      <c r="FP24" s="376" t="s">
        <v>1120</v>
      </c>
      <c r="FQ24" s="377" t="s">
        <v>522</v>
      </c>
      <c r="FR24" s="377" t="s">
        <v>850</v>
      </c>
      <c r="FS24" s="377" t="s">
        <v>546</v>
      </c>
      <c r="FT24" s="144">
        <f t="shared" si="0"/>
        <v>0</v>
      </c>
      <c r="FU24" s="371" t="s">
        <v>902</v>
      </c>
    </row>
    <row r="25" spans="1:177" s="371" customFormat="1" hidden="1">
      <c r="A25" s="368" t="s">
        <v>526</v>
      </c>
      <c r="B25" s="369" t="s">
        <v>517</v>
      </c>
      <c r="C25" s="369" t="s">
        <v>548</v>
      </c>
      <c r="D25" s="369" t="s">
        <v>8</v>
      </c>
      <c r="E25" s="370" t="s">
        <v>552</v>
      </c>
      <c r="F25" s="369" t="s">
        <v>520</v>
      </c>
      <c r="G25" s="369"/>
      <c r="DH25" s="372"/>
      <c r="EH25" s="372" t="s">
        <v>850</v>
      </c>
      <c r="FO25" s="375" t="s">
        <v>850</v>
      </c>
      <c r="FP25" s="376" t="s">
        <v>1120</v>
      </c>
      <c r="FQ25" s="377" t="s">
        <v>522</v>
      </c>
      <c r="FR25" s="377" t="s">
        <v>850</v>
      </c>
      <c r="FS25" s="377" t="s">
        <v>553</v>
      </c>
      <c r="FT25" s="144">
        <f t="shared" si="0"/>
        <v>0</v>
      </c>
      <c r="FU25" s="371" t="s">
        <v>1056</v>
      </c>
    </row>
    <row r="26" spans="1:177" s="371" customFormat="1" hidden="1">
      <c r="A26" s="368" t="s">
        <v>526</v>
      </c>
      <c r="B26" s="369" t="s">
        <v>517</v>
      </c>
      <c r="C26" s="369" t="s">
        <v>548</v>
      </c>
      <c r="D26" s="369" t="s">
        <v>4</v>
      </c>
      <c r="E26" s="370" t="s">
        <v>552</v>
      </c>
      <c r="F26" s="369" t="s">
        <v>520</v>
      </c>
      <c r="G26" s="369"/>
      <c r="H26" s="372" t="s">
        <v>850</v>
      </c>
      <c r="I26" s="372" t="s">
        <v>850</v>
      </c>
      <c r="J26" s="372" t="s">
        <v>850</v>
      </c>
      <c r="K26" s="372" t="s">
        <v>850</v>
      </c>
      <c r="L26" s="372" t="s">
        <v>850</v>
      </c>
      <c r="M26" s="372" t="s">
        <v>850</v>
      </c>
      <c r="N26" s="372" t="s">
        <v>850</v>
      </c>
      <c r="O26" s="372" t="s">
        <v>850</v>
      </c>
      <c r="P26" s="372" t="s">
        <v>850</v>
      </c>
      <c r="Q26" s="372" t="s">
        <v>850</v>
      </c>
      <c r="R26" s="372" t="s">
        <v>850</v>
      </c>
      <c r="S26" s="372" t="s">
        <v>850</v>
      </c>
      <c r="T26" s="372" t="s">
        <v>850</v>
      </c>
      <c r="U26" s="372" t="s">
        <v>850</v>
      </c>
      <c r="V26" s="372" t="s">
        <v>850</v>
      </c>
      <c r="W26" s="372" t="s">
        <v>850</v>
      </c>
      <c r="X26" s="372" t="s">
        <v>850</v>
      </c>
      <c r="Y26" s="372" t="s">
        <v>850</v>
      </c>
      <c r="Z26" s="372" t="s">
        <v>850</v>
      </c>
      <c r="AA26" s="372" t="s">
        <v>850</v>
      </c>
      <c r="AB26" s="372" t="s">
        <v>850</v>
      </c>
      <c r="AC26" s="372" t="s">
        <v>850</v>
      </c>
      <c r="AD26" s="372" t="s">
        <v>850</v>
      </c>
      <c r="AE26" s="372" t="s">
        <v>850</v>
      </c>
      <c r="AF26" s="372" t="s">
        <v>850</v>
      </c>
      <c r="AG26" s="372" t="s">
        <v>850</v>
      </c>
      <c r="AH26" s="372" t="s">
        <v>850</v>
      </c>
      <c r="AI26" s="372" t="s">
        <v>850</v>
      </c>
      <c r="AJ26" s="372" t="s">
        <v>850</v>
      </c>
      <c r="AK26" s="372" t="s">
        <v>850</v>
      </c>
      <c r="AL26" s="372" t="s">
        <v>850</v>
      </c>
      <c r="AM26" s="372" t="s">
        <v>850</v>
      </c>
      <c r="AN26" s="372" t="s">
        <v>850</v>
      </c>
      <c r="AO26" s="372" t="s">
        <v>850</v>
      </c>
      <c r="AP26" s="372" t="s">
        <v>850</v>
      </c>
      <c r="AQ26" s="372" t="s">
        <v>850</v>
      </c>
      <c r="AR26" s="372" t="s">
        <v>850</v>
      </c>
      <c r="AS26" s="372" t="s">
        <v>850</v>
      </c>
      <c r="AT26" s="372" t="s">
        <v>850</v>
      </c>
      <c r="AU26" s="372" t="s">
        <v>850</v>
      </c>
      <c r="AV26" s="372" t="s">
        <v>850</v>
      </c>
      <c r="AW26" s="372" t="s">
        <v>850</v>
      </c>
      <c r="AX26" s="372" t="s">
        <v>850</v>
      </c>
      <c r="AY26" s="372" t="s">
        <v>850</v>
      </c>
      <c r="AZ26" s="372" t="s">
        <v>850</v>
      </c>
      <c r="BA26" s="372" t="s">
        <v>850</v>
      </c>
      <c r="BB26" s="372" t="s">
        <v>850</v>
      </c>
      <c r="BC26" s="372" t="s">
        <v>850</v>
      </c>
      <c r="BD26" s="372" t="s">
        <v>850</v>
      </c>
      <c r="BE26" s="372" t="s">
        <v>850</v>
      </c>
      <c r="BF26" s="372" t="s">
        <v>850</v>
      </c>
      <c r="BG26" s="372" t="s">
        <v>850</v>
      </c>
      <c r="BH26" s="372" t="s">
        <v>850</v>
      </c>
      <c r="BI26" s="372" t="s">
        <v>850</v>
      </c>
      <c r="BJ26" s="372" t="s">
        <v>850</v>
      </c>
      <c r="BK26" s="372" t="s">
        <v>850</v>
      </c>
      <c r="BL26" s="372" t="s">
        <v>850</v>
      </c>
      <c r="BM26" s="372" t="s">
        <v>850</v>
      </c>
      <c r="BN26" s="372" t="s">
        <v>850</v>
      </c>
      <c r="BO26" s="372" t="s">
        <v>850</v>
      </c>
      <c r="BP26" s="372" t="s">
        <v>850</v>
      </c>
      <c r="BQ26" s="372" t="s">
        <v>850</v>
      </c>
      <c r="BR26" s="372" t="s">
        <v>850</v>
      </c>
      <c r="BS26" s="372" t="s">
        <v>850</v>
      </c>
      <c r="BT26" s="372" t="s">
        <v>850</v>
      </c>
      <c r="BU26" s="372" t="s">
        <v>850</v>
      </c>
      <c r="BV26" s="372" t="s">
        <v>850</v>
      </c>
      <c r="BW26" s="372" t="s">
        <v>850</v>
      </c>
      <c r="BX26" s="372" t="s">
        <v>850</v>
      </c>
      <c r="BY26" s="372" t="s">
        <v>850</v>
      </c>
      <c r="BZ26" s="372" t="s">
        <v>850</v>
      </c>
      <c r="CA26" s="372" t="s">
        <v>850</v>
      </c>
      <c r="CB26" s="372" t="s">
        <v>850</v>
      </c>
      <c r="CC26" s="372" t="s">
        <v>850</v>
      </c>
      <c r="CD26" s="372" t="s">
        <v>850</v>
      </c>
      <c r="CE26" s="372" t="s">
        <v>850</v>
      </c>
      <c r="CG26" s="372" t="s">
        <v>850</v>
      </c>
      <c r="CH26" s="372" t="s">
        <v>850</v>
      </c>
      <c r="CI26" s="372" t="s">
        <v>850</v>
      </c>
      <c r="CJ26" s="372" t="s">
        <v>850</v>
      </c>
      <c r="CK26" s="372" t="s">
        <v>850</v>
      </c>
      <c r="CL26" s="372" t="s">
        <v>850</v>
      </c>
      <c r="CM26" s="372" t="s">
        <v>850</v>
      </c>
      <c r="CN26" s="372" t="s">
        <v>850</v>
      </c>
      <c r="CO26" s="372" t="s">
        <v>850</v>
      </c>
      <c r="CP26" s="372" t="s">
        <v>850</v>
      </c>
      <c r="CQ26" s="372" t="s">
        <v>850</v>
      </c>
      <c r="CR26" s="372" t="s">
        <v>850</v>
      </c>
      <c r="CS26" s="372" t="s">
        <v>850</v>
      </c>
      <c r="CT26" s="372" t="s">
        <v>850</v>
      </c>
      <c r="CU26" s="372" t="s">
        <v>850</v>
      </c>
      <c r="CV26" s="372" t="s">
        <v>850</v>
      </c>
      <c r="CW26" s="372" t="s">
        <v>850</v>
      </c>
      <c r="CX26" s="372" t="s">
        <v>850</v>
      </c>
      <c r="CY26" s="372" t="s">
        <v>850</v>
      </c>
      <c r="CZ26" s="372" t="s">
        <v>850</v>
      </c>
      <c r="DA26" s="372" t="s">
        <v>850</v>
      </c>
      <c r="DB26" s="372" t="s">
        <v>850</v>
      </c>
      <c r="DC26" s="372" t="s">
        <v>850</v>
      </c>
      <c r="DD26" s="372" t="s">
        <v>850</v>
      </c>
      <c r="DE26" s="372" t="s">
        <v>850</v>
      </c>
      <c r="DF26" s="372" t="s">
        <v>850</v>
      </c>
      <c r="DG26" s="372" t="s">
        <v>850</v>
      </c>
      <c r="DH26" s="372"/>
      <c r="DI26" s="372" t="s">
        <v>850</v>
      </c>
      <c r="DJ26" s="372" t="s">
        <v>850</v>
      </c>
      <c r="DK26" s="378">
        <f>160-160+100</f>
        <v>100</v>
      </c>
      <c r="DL26" s="372" t="s">
        <v>850</v>
      </c>
      <c r="DM26" s="372" t="s">
        <v>850</v>
      </c>
      <c r="DN26" s="372" t="s">
        <v>850</v>
      </c>
      <c r="DO26" s="373">
        <f>160-160</f>
        <v>0</v>
      </c>
      <c r="DP26" s="372" t="s">
        <v>850</v>
      </c>
      <c r="DQ26" s="372" t="s">
        <v>850</v>
      </c>
      <c r="DR26" s="372" t="s">
        <v>850</v>
      </c>
      <c r="DS26" s="372"/>
      <c r="DT26" s="372" t="s">
        <v>850</v>
      </c>
      <c r="DU26" s="372" t="s">
        <v>850</v>
      </c>
      <c r="DV26" s="372" t="s">
        <v>850</v>
      </c>
      <c r="DW26" s="372" t="s">
        <v>850</v>
      </c>
      <c r="DX26" s="372" t="s">
        <v>850</v>
      </c>
      <c r="DY26" s="372" t="s">
        <v>850</v>
      </c>
      <c r="DZ26" s="372" t="s">
        <v>850</v>
      </c>
      <c r="EB26" s="378">
        <f>160-160+160</f>
        <v>160</v>
      </c>
      <c r="ED26" s="372" t="s">
        <v>850</v>
      </c>
      <c r="EE26" s="372" t="s">
        <v>850</v>
      </c>
      <c r="EF26" s="372" t="s">
        <v>850</v>
      </c>
      <c r="EG26" s="372" t="s">
        <v>850</v>
      </c>
      <c r="EH26" s="372" t="s">
        <v>850</v>
      </c>
      <c r="EI26" s="372" t="s">
        <v>850</v>
      </c>
      <c r="EJ26" s="372" t="s">
        <v>850</v>
      </c>
      <c r="EK26" s="372" t="s">
        <v>850</v>
      </c>
      <c r="EL26" s="372" t="s">
        <v>850</v>
      </c>
      <c r="EM26" s="372" t="s">
        <v>850</v>
      </c>
      <c r="EN26" s="372" t="s">
        <v>850</v>
      </c>
      <c r="EO26" s="372" t="s">
        <v>850</v>
      </c>
      <c r="EP26" s="372" t="s">
        <v>850</v>
      </c>
      <c r="EQ26" s="372" t="s">
        <v>850</v>
      </c>
      <c r="ER26" s="372" t="s">
        <v>850</v>
      </c>
      <c r="ES26" s="372" t="s">
        <v>850</v>
      </c>
      <c r="ET26" s="372" t="s">
        <v>850</v>
      </c>
      <c r="EU26" s="372" t="s">
        <v>850</v>
      </c>
      <c r="EV26" s="372" t="s">
        <v>850</v>
      </c>
      <c r="EW26" s="372" t="s">
        <v>850</v>
      </c>
      <c r="EX26" s="372" t="s">
        <v>850</v>
      </c>
      <c r="EY26" s="372" t="s">
        <v>850</v>
      </c>
      <c r="EZ26" s="372" t="s">
        <v>850</v>
      </c>
      <c r="FA26" s="372" t="s">
        <v>850</v>
      </c>
      <c r="FB26" s="372" t="s">
        <v>850</v>
      </c>
      <c r="FC26" s="372" t="s">
        <v>850</v>
      </c>
      <c r="FD26" s="372" t="s">
        <v>850</v>
      </c>
      <c r="FE26" s="372" t="s">
        <v>850</v>
      </c>
      <c r="FF26" s="372" t="s">
        <v>850</v>
      </c>
      <c r="FG26" s="372" t="s">
        <v>850</v>
      </c>
      <c r="FH26" s="372" t="s">
        <v>850</v>
      </c>
      <c r="FI26" s="372" t="s">
        <v>850</v>
      </c>
      <c r="FJ26" s="372" t="s">
        <v>850</v>
      </c>
      <c r="FK26" s="372" t="s">
        <v>850</v>
      </c>
      <c r="FL26" s="372" t="s">
        <v>850</v>
      </c>
      <c r="FM26" s="372" t="s">
        <v>850</v>
      </c>
      <c r="FN26" s="372" t="s">
        <v>850</v>
      </c>
      <c r="FO26" s="375" t="s">
        <v>850</v>
      </c>
      <c r="FP26" s="376" t="s">
        <v>1120</v>
      </c>
      <c r="FQ26" s="377" t="s">
        <v>522</v>
      </c>
      <c r="FR26" s="377" t="s">
        <v>850</v>
      </c>
      <c r="FS26" s="377" t="s">
        <v>553</v>
      </c>
      <c r="FT26" s="144">
        <f t="shared" si="0"/>
        <v>260</v>
      </c>
      <c r="FU26" s="371" t="s">
        <v>1056</v>
      </c>
    </row>
    <row r="27" spans="1:177" s="371" customFormat="1" hidden="1">
      <c r="A27" s="368" t="s">
        <v>526</v>
      </c>
      <c r="B27" s="369" t="s">
        <v>517</v>
      </c>
      <c r="C27" s="369" t="s">
        <v>548</v>
      </c>
      <c r="D27" s="369" t="s">
        <v>3</v>
      </c>
      <c r="E27" s="370" t="s">
        <v>552</v>
      </c>
      <c r="F27" s="369" t="s">
        <v>520</v>
      </c>
      <c r="G27" s="369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  <c r="AB27" s="372"/>
      <c r="AC27" s="372"/>
      <c r="AD27" s="372"/>
      <c r="AE27" s="372"/>
      <c r="AF27" s="372"/>
      <c r="AG27" s="372"/>
      <c r="AH27" s="372"/>
      <c r="AI27" s="372"/>
      <c r="AJ27" s="372"/>
      <c r="AK27" s="372"/>
      <c r="AL27" s="372"/>
      <c r="AM27" s="372"/>
      <c r="AN27" s="372"/>
      <c r="AO27" s="372"/>
      <c r="AP27" s="372"/>
      <c r="AQ27" s="372"/>
      <c r="AR27" s="372"/>
      <c r="AS27" s="372"/>
      <c r="AT27" s="372"/>
      <c r="AU27" s="372"/>
      <c r="AV27" s="372"/>
      <c r="AW27" s="372"/>
      <c r="AX27" s="372"/>
      <c r="AY27" s="372"/>
      <c r="AZ27" s="372"/>
      <c r="BA27" s="372"/>
      <c r="BB27" s="372"/>
      <c r="BC27" s="372"/>
      <c r="BD27" s="372"/>
      <c r="BE27" s="372"/>
      <c r="BF27" s="372"/>
      <c r="BG27" s="372"/>
      <c r="BH27" s="372"/>
      <c r="BI27" s="372"/>
      <c r="BJ27" s="372"/>
      <c r="BK27" s="372"/>
      <c r="BL27" s="372"/>
      <c r="BM27" s="372"/>
      <c r="BN27" s="372"/>
      <c r="BO27" s="372"/>
      <c r="BP27" s="372"/>
      <c r="BQ27" s="372"/>
      <c r="BR27" s="372"/>
      <c r="BS27" s="372"/>
      <c r="BT27" s="372"/>
      <c r="BU27" s="372"/>
      <c r="BV27" s="372"/>
      <c r="BW27" s="372"/>
      <c r="BX27" s="372"/>
      <c r="BY27" s="372"/>
      <c r="BZ27" s="372"/>
      <c r="CA27" s="372"/>
      <c r="CB27" s="372"/>
      <c r="CC27" s="372"/>
      <c r="CD27" s="372"/>
      <c r="CE27" s="372"/>
      <c r="CG27" s="372"/>
      <c r="CH27" s="372"/>
      <c r="CI27" s="372"/>
      <c r="CJ27" s="372"/>
      <c r="CK27" s="372"/>
      <c r="CL27" s="372"/>
      <c r="CM27" s="372"/>
      <c r="CN27" s="372"/>
      <c r="CO27" s="372"/>
      <c r="CP27" s="372"/>
      <c r="CQ27" s="372"/>
      <c r="CR27" s="372"/>
      <c r="CS27" s="372"/>
      <c r="CT27" s="372"/>
      <c r="CU27" s="372"/>
      <c r="CV27" s="372"/>
      <c r="CW27" s="372"/>
      <c r="CX27" s="372"/>
      <c r="CY27" s="372"/>
      <c r="CZ27" s="372"/>
      <c r="DA27" s="372"/>
      <c r="DB27" s="372"/>
      <c r="DC27" s="372"/>
      <c r="DD27" s="372"/>
      <c r="DE27" s="372"/>
      <c r="DF27" s="372"/>
      <c r="DG27" s="372"/>
      <c r="DH27" s="372"/>
      <c r="DI27" s="372"/>
      <c r="DJ27" s="372"/>
      <c r="DK27" s="372"/>
      <c r="DL27" s="372"/>
      <c r="DM27" s="372"/>
      <c r="DN27" s="372"/>
      <c r="DO27" s="372"/>
      <c r="DP27" s="372"/>
      <c r="DQ27" s="372"/>
      <c r="DR27" s="372"/>
      <c r="DS27" s="372"/>
      <c r="DT27" s="372"/>
      <c r="DU27" s="372"/>
      <c r="DV27" s="372"/>
      <c r="DW27" s="372"/>
      <c r="DX27" s="372"/>
      <c r="DY27" s="372"/>
      <c r="DZ27" s="372"/>
      <c r="EB27" s="372"/>
      <c r="ED27" s="372"/>
      <c r="EE27" s="372"/>
      <c r="EF27" s="372"/>
      <c r="EG27" s="372"/>
      <c r="EH27" s="372" t="s">
        <v>850</v>
      </c>
      <c r="EI27" s="372"/>
      <c r="EJ27" s="372"/>
      <c r="EK27" s="372"/>
      <c r="EL27" s="372"/>
      <c r="EM27" s="372"/>
      <c r="EN27" s="372"/>
      <c r="EO27" s="372"/>
      <c r="EP27" s="372"/>
      <c r="EQ27" s="372"/>
      <c r="ER27" s="372"/>
      <c r="ES27" s="372"/>
      <c r="ET27" s="372"/>
      <c r="EU27" s="372"/>
      <c r="EV27" s="372"/>
      <c r="EW27" s="372"/>
      <c r="EX27" s="372"/>
      <c r="EY27" s="372"/>
      <c r="EZ27" s="372"/>
      <c r="FA27" s="372"/>
      <c r="FB27" s="372"/>
      <c r="FC27" s="372"/>
      <c r="FD27" s="372"/>
      <c r="FE27" s="372"/>
      <c r="FF27" s="372"/>
      <c r="FG27" s="372"/>
      <c r="FH27" s="372"/>
      <c r="FI27" s="372"/>
      <c r="FJ27" s="372"/>
      <c r="FK27" s="372"/>
      <c r="FL27" s="372"/>
      <c r="FM27" s="372"/>
      <c r="FN27" s="372"/>
      <c r="FO27" s="375" t="s">
        <v>850</v>
      </c>
      <c r="FP27" s="376" t="s">
        <v>1120</v>
      </c>
      <c r="FQ27" s="377" t="s">
        <v>522</v>
      </c>
      <c r="FR27" s="377" t="s">
        <v>850</v>
      </c>
      <c r="FS27" s="377" t="s">
        <v>553</v>
      </c>
      <c r="FT27" s="144">
        <f t="shared" si="0"/>
        <v>0</v>
      </c>
      <c r="FU27" s="371" t="s">
        <v>1056</v>
      </c>
    </row>
    <row r="28" spans="1:177" s="371" customFormat="1">
      <c r="A28" s="368" t="s">
        <v>903</v>
      </c>
      <c r="B28" s="369" t="s">
        <v>517</v>
      </c>
      <c r="C28" s="369" t="s">
        <v>555</v>
      </c>
      <c r="D28" s="369" t="s">
        <v>8</v>
      </c>
      <c r="E28" s="370" t="s">
        <v>556</v>
      </c>
      <c r="F28" s="369" t="s">
        <v>520</v>
      </c>
      <c r="G28" s="369" t="s">
        <v>1121</v>
      </c>
      <c r="CU28" s="418">
        <v>10</v>
      </c>
      <c r="DA28" s="418">
        <v>10</v>
      </c>
      <c r="DH28" s="372"/>
      <c r="EB28" s="418">
        <v>20</v>
      </c>
      <c r="EH28" s="372"/>
      <c r="FO28" s="375" t="s">
        <v>850</v>
      </c>
      <c r="FP28" s="376" t="s">
        <v>1120</v>
      </c>
      <c r="FQ28" s="377" t="s">
        <v>522</v>
      </c>
      <c r="FR28" s="377" t="s">
        <v>850</v>
      </c>
      <c r="FS28" s="377" t="s">
        <v>559</v>
      </c>
      <c r="FT28" s="144">
        <f t="shared" si="0"/>
        <v>40</v>
      </c>
      <c r="FU28" s="371" t="s">
        <v>905</v>
      </c>
    </row>
    <row r="29" spans="1:177" s="371" customFormat="1">
      <c r="A29" s="368" t="s">
        <v>903</v>
      </c>
      <c r="B29" s="369" t="s">
        <v>517</v>
      </c>
      <c r="C29" s="369" t="s">
        <v>555</v>
      </c>
      <c r="D29" s="369" t="s">
        <v>4</v>
      </c>
      <c r="E29" s="370" t="s">
        <v>556</v>
      </c>
      <c r="F29" s="369" t="s">
        <v>520</v>
      </c>
      <c r="G29" s="369" t="s">
        <v>1121</v>
      </c>
      <c r="H29" s="372"/>
      <c r="I29" s="372"/>
      <c r="J29" s="373">
        <f>15-15</f>
        <v>0</v>
      </c>
      <c r="K29" s="373">
        <f>15-15</f>
        <v>0</v>
      </c>
      <c r="L29" s="372"/>
      <c r="M29" s="372" t="s">
        <v>850</v>
      </c>
      <c r="N29" s="373">
        <f>5-5</f>
        <v>0</v>
      </c>
      <c r="O29" s="373">
        <f>20-20+5</f>
        <v>5</v>
      </c>
      <c r="P29" s="372"/>
      <c r="Q29" s="373">
        <f>30-30</f>
        <v>0</v>
      </c>
      <c r="R29" s="373">
        <f>50-50</f>
        <v>0</v>
      </c>
      <c r="S29" s="372"/>
      <c r="T29" s="373">
        <f>20-20</f>
        <v>0</v>
      </c>
      <c r="U29" s="373">
        <f>50-50</f>
        <v>0</v>
      </c>
      <c r="V29" s="373">
        <f>50-50+5</f>
        <v>5</v>
      </c>
      <c r="W29" s="373">
        <f>50-50</f>
        <v>0</v>
      </c>
      <c r="X29" s="372"/>
      <c r="Y29" s="372" t="s">
        <v>850</v>
      </c>
      <c r="Z29" s="372" t="s">
        <v>850</v>
      </c>
      <c r="AA29" s="372" t="s">
        <v>850</v>
      </c>
      <c r="AB29" s="372" t="s">
        <v>850</v>
      </c>
      <c r="AC29" s="372" t="s">
        <v>850</v>
      </c>
      <c r="AD29" s="372" t="s">
        <v>850</v>
      </c>
      <c r="AE29" s="372" t="s">
        <v>850</v>
      </c>
      <c r="AF29" s="372" t="s">
        <v>850</v>
      </c>
      <c r="AG29" s="372" t="s">
        <v>850</v>
      </c>
      <c r="AH29" s="372" t="s">
        <v>850</v>
      </c>
      <c r="AI29" s="372" t="s">
        <v>850</v>
      </c>
      <c r="AJ29" s="372" t="s">
        <v>850</v>
      </c>
      <c r="AK29" s="372" t="s">
        <v>850</v>
      </c>
      <c r="AL29" s="372" t="s">
        <v>850</v>
      </c>
      <c r="AM29" s="372" t="s">
        <v>850</v>
      </c>
      <c r="AN29" s="372"/>
      <c r="AO29" s="372" t="s">
        <v>850</v>
      </c>
      <c r="AP29" s="372" t="s">
        <v>850</v>
      </c>
      <c r="AQ29" s="372" t="s">
        <v>850</v>
      </c>
      <c r="AR29" s="372"/>
      <c r="AS29" s="372"/>
      <c r="AT29" s="373">
        <f>20-20</f>
        <v>0</v>
      </c>
      <c r="AU29" s="373">
        <f>20-20+2</f>
        <v>2</v>
      </c>
      <c r="AV29" s="373">
        <f>5-5+3</f>
        <v>3</v>
      </c>
      <c r="AW29" s="373">
        <f>20-20</f>
        <v>0</v>
      </c>
      <c r="AX29" s="372"/>
      <c r="AY29" s="372"/>
      <c r="AZ29" s="372" t="s">
        <v>850</v>
      </c>
      <c r="BA29" s="372" t="s">
        <v>850</v>
      </c>
      <c r="BB29" s="372" t="s">
        <v>850</v>
      </c>
      <c r="BC29" s="372"/>
      <c r="BD29" s="372"/>
      <c r="BE29" s="372" t="s">
        <v>850</v>
      </c>
      <c r="BF29" s="373">
        <f>20-20</f>
        <v>0</v>
      </c>
      <c r="BG29" s="373">
        <f>20-20+5</f>
        <v>5</v>
      </c>
      <c r="BH29" s="372" t="s">
        <v>850</v>
      </c>
      <c r="BI29" s="373">
        <f>20-20</f>
        <v>0</v>
      </c>
      <c r="BJ29" s="372"/>
      <c r="BK29" s="372"/>
      <c r="BL29" s="372" t="s">
        <v>850</v>
      </c>
      <c r="BM29" s="372" t="s">
        <v>850</v>
      </c>
      <c r="BN29" s="372" t="s">
        <v>850</v>
      </c>
      <c r="BO29" s="373">
        <f>10-10</f>
        <v>0</v>
      </c>
      <c r="BP29" s="372"/>
      <c r="BQ29" s="373">
        <f>10-10</f>
        <v>0</v>
      </c>
      <c r="BR29" s="373">
        <f>30-30</f>
        <v>0</v>
      </c>
      <c r="BS29" s="373">
        <f>30-30</f>
        <v>0</v>
      </c>
      <c r="BT29" s="372"/>
      <c r="BU29" s="373">
        <f>20-20+10</f>
        <v>10</v>
      </c>
      <c r="BV29" s="373">
        <f>20-20+5</f>
        <v>5</v>
      </c>
      <c r="BW29" s="373">
        <f>20-20</f>
        <v>0</v>
      </c>
      <c r="BX29" s="373">
        <f>10-10</f>
        <v>0</v>
      </c>
      <c r="BY29" s="373">
        <f>10-10+5</f>
        <v>5</v>
      </c>
      <c r="BZ29" s="372"/>
      <c r="CA29" s="373">
        <f>30-30+5</f>
        <v>5</v>
      </c>
      <c r="CB29" s="373">
        <f>10-10+5</f>
        <v>5</v>
      </c>
      <c r="CC29" s="373">
        <f>20-20</f>
        <v>0</v>
      </c>
      <c r="CD29" s="372" t="s">
        <v>850</v>
      </c>
      <c r="CE29" s="373">
        <f>20-20+10</f>
        <v>10</v>
      </c>
      <c r="CG29" s="373">
        <f>50-50+20</f>
        <v>20</v>
      </c>
      <c r="CH29" s="373">
        <f>40-40+10</f>
        <v>10</v>
      </c>
      <c r="CI29" s="373">
        <f>40-40</f>
        <v>0</v>
      </c>
      <c r="CJ29" s="373">
        <f>30-30</f>
        <v>0</v>
      </c>
      <c r="CK29" s="373">
        <f>40-40</f>
        <v>0</v>
      </c>
      <c r="CL29" s="373">
        <f>30-30+10</f>
        <v>10</v>
      </c>
      <c r="CM29" s="373">
        <f>50-50+10</f>
        <v>10</v>
      </c>
      <c r="CN29" s="373">
        <f>100-100+20</f>
        <v>20</v>
      </c>
      <c r="CO29" s="373">
        <f>50-50+5</f>
        <v>5</v>
      </c>
      <c r="CP29" s="373">
        <f>100-100+10</f>
        <v>10</v>
      </c>
      <c r="CQ29" s="372" t="s">
        <v>850</v>
      </c>
      <c r="CR29" s="373">
        <f>100-100</f>
        <v>0</v>
      </c>
      <c r="CS29" s="373">
        <f>30-30</f>
        <v>0</v>
      </c>
      <c r="CT29" s="372" t="s">
        <v>850</v>
      </c>
      <c r="CU29" s="373">
        <f>30-30</f>
        <v>0</v>
      </c>
      <c r="CV29" s="372" t="s">
        <v>850</v>
      </c>
      <c r="CW29" s="373">
        <f>20-20+5</f>
        <v>5</v>
      </c>
      <c r="CX29" s="373">
        <f>140-140+5</f>
        <v>5</v>
      </c>
      <c r="CY29" s="373">
        <f>100-100</f>
        <v>0</v>
      </c>
      <c r="CZ29" s="373">
        <f>100-100</f>
        <v>0</v>
      </c>
      <c r="DA29" s="373">
        <f>50-50</f>
        <v>0</v>
      </c>
      <c r="DB29" s="372" t="s">
        <v>850</v>
      </c>
      <c r="DC29" s="372" t="s">
        <v>850</v>
      </c>
      <c r="DD29" s="372" t="s">
        <v>850</v>
      </c>
      <c r="DE29" s="373">
        <f>50-50</f>
        <v>0</v>
      </c>
      <c r="DF29" s="372" t="s">
        <v>850</v>
      </c>
      <c r="DG29" s="372"/>
      <c r="DH29" s="372"/>
      <c r="DI29" s="372" t="s">
        <v>850</v>
      </c>
      <c r="DJ29" s="372" t="s">
        <v>850</v>
      </c>
      <c r="DK29" s="372"/>
      <c r="DL29" s="372" t="s">
        <v>850</v>
      </c>
      <c r="DM29" s="372" t="s">
        <v>850</v>
      </c>
      <c r="DN29" s="372" t="s">
        <v>850</v>
      </c>
      <c r="DO29" s="373">
        <f>60-60</f>
        <v>0</v>
      </c>
      <c r="DP29" s="372" t="s">
        <v>850</v>
      </c>
      <c r="DQ29" s="373">
        <f>60-60</f>
        <v>0</v>
      </c>
      <c r="DR29" s="372"/>
      <c r="DS29" s="372"/>
      <c r="DT29" s="372" t="s">
        <v>850</v>
      </c>
      <c r="DU29" s="372" t="s">
        <v>850</v>
      </c>
      <c r="DV29" s="373">
        <f>60-60</f>
        <v>0</v>
      </c>
      <c r="DW29" s="373">
        <f>60-60</f>
        <v>0</v>
      </c>
      <c r="DX29" s="373">
        <f>60-60</f>
        <v>0</v>
      </c>
      <c r="DY29" s="372" t="s">
        <v>850</v>
      </c>
      <c r="DZ29" s="373">
        <f>20-20+20</f>
        <v>20</v>
      </c>
      <c r="EB29" s="373">
        <f>20-20</f>
        <v>0</v>
      </c>
      <c r="ED29" s="373">
        <f>20-20</f>
        <v>0</v>
      </c>
      <c r="EE29" s="373">
        <f>20-20</f>
        <v>0</v>
      </c>
      <c r="EF29" s="373">
        <f>20-20</f>
        <v>0</v>
      </c>
      <c r="EG29" s="373">
        <f>20-20</f>
        <v>0</v>
      </c>
      <c r="EH29" s="372"/>
      <c r="EI29" s="373">
        <f>20-20</f>
        <v>0</v>
      </c>
      <c r="EJ29" s="372" t="s">
        <v>850</v>
      </c>
      <c r="EK29" s="372"/>
      <c r="EL29" s="372"/>
      <c r="EM29" s="372" t="s">
        <v>850</v>
      </c>
      <c r="EN29" s="372" t="s">
        <v>850</v>
      </c>
      <c r="EO29" s="372" t="s">
        <v>850</v>
      </c>
      <c r="EP29" s="372" t="s">
        <v>850</v>
      </c>
      <c r="EQ29" s="372" t="s">
        <v>850</v>
      </c>
      <c r="ER29" s="372"/>
      <c r="ES29" s="372" t="s">
        <v>850</v>
      </c>
      <c r="ET29" s="372" t="s">
        <v>850</v>
      </c>
      <c r="EU29" s="372"/>
      <c r="EV29" s="372"/>
      <c r="EW29" s="372" t="s">
        <v>850</v>
      </c>
      <c r="EX29" s="372" t="s">
        <v>850</v>
      </c>
      <c r="EY29" s="372" t="s">
        <v>850</v>
      </c>
      <c r="EZ29" s="372" t="s">
        <v>850</v>
      </c>
      <c r="FA29" s="372" t="s">
        <v>850</v>
      </c>
      <c r="FB29" s="372" t="s">
        <v>850</v>
      </c>
      <c r="FC29" s="372" t="s">
        <v>850</v>
      </c>
      <c r="FD29" s="372" t="s">
        <v>850</v>
      </c>
      <c r="FE29" s="372" t="s">
        <v>850</v>
      </c>
      <c r="FF29" s="372" t="s">
        <v>850</v>
      </c>
      <c r="FG29" s="372" t="s">
        <v>850</v>
      </c>
      <c r="FH29" s="372" t="s">
        <v>850</v>
      </c>
      <c r="FI29" s="372" t="s">
        <v>850</v>
      </c>
      <c r="FJ29" s="372" t="s">
        <v>850</v>
      </c>
      <c r="FK29" s="372" t="s">
        <v>850</v>
      </c>
      <c r="FL29" s="372" t="s">
        <v>850</v>
      </c>
      <c r="FM29" s="372" t="s">
        <v>850</v>
      </c>
      <c r="FN29" s="372" t="s">
        <v>850</v>
      </c>
      <c r="FO29" s="375" t="s">
        <v>850</v>
      </c>
      <c r="FP29" s="376" t="s">
        <v>1120</v>
      </c>
      <c r="FQ29" s="377" t="s">
        <v>522</v>
      </c>
      <c r="FR29" s="377" t="s">
        <v>850</v>
      </c>
      <c r="FS29" s="377" t="s">
        <v>559</v>
      </c>
      <c r="FT29" s="144">
        <f t="shared" si="0"/>
        <v>175</v>
      </c>
      <c r="FU29" s="371" t="s">
        <v>905</v>
      </c>
    </row>
    <row r="30" spans="1:177" s="371" customFormat="1">
      <c r="A30" s="368" t="s">
        <v>903</v>
      </c>
      <c r="B30" s="369" t="s">
        <v>517</v>
      </c>
      <c r="C30" s="369" t="s">
        <v>555</v>
      </c>
      <c r="D30" s="369" t="s">
        <v>3</v>
      </c>
      <c r="E30" s="370" t="s">
        <v>556</v>
      </c>
      <c r="F30" s="369" t="s">
        <v>520</v>
      </c>
      <c r="G30" s="369"/>
      <c r="H30" s="372"/>
      <c r="I30" s="372"/>
      <c r="J30" s="372"/>
      <c r="K30" s="372"/>
      <c r="L30" s="372"/>
      <c r="M30" s="372"/>
      <c r="N30" s="372"/>
      <c r="O30" s="372"/>
      <c r="P30" s="372"/>
      <c r="Q30" s="372"/>
      <c r="R30" s="372"/>
      <c r="S30" s="372"/>
      <c r="T30" s="372"/>
      <c r="U30" s="372"/>
      <c r="V30" s="372"/>
      <c r="W30" s="372"/>
      <c r="X30" s="372"/>
      <c r="Y30" s="372"/>
      <c r="Z30" s="372"/>
      <c r="AA30" s="372"/>
      <c r="AB30" s="372"/>
      <c r="AC30" s="372"/>
      <c r="AD30" s="372"/>
      <c r="AE30" s="372"/>
      <c r="AF30" s="372"/>
      <c r="AG30" s="372"/>
      <c r="AH30" s="372"/>
      <c r="AI30" s="372"/>
      <c r="AJ30" s="372"/>
      <c r="AK30" s="372"/>
      <c r="AL30" s="372"/>
      <c r="AM30" s="372"/>
      <c r="AN30" s="372"/>
      <c r="AO30" s="372"/>
      <c r="AP30" s="372"/>
      <c r="AQ30" s="372"/>
      <c r="AR30" s="372"/>
      <c r="AS30" s="372"/>
      <c r="AT30" s="372"/>
      <c r="AU30" s="372"/>
      <c r="AV30" s="372"/>
      <c r="AW30" s="372"/>
      <c r="AX30" s="372"/>
      <c r="AY30" s="372"/>
      <c r="AZ30" s="372"/>
      <c r="BA30" s="372"/>
      <c r="BB30" s="372"/>
      <c r="BC30" s="372"/>
      <c r="BD30" s="372"/>
      <c r="BE30" s="372"/>
      <c r="BF30" s="372"/>
      <c r="BG30" s="372"/>
      <c r="BH30" s="372"/>
      <c r="BI30" s="372"/>
      <c r="BJ30" s="372"/>
      <c r="BK30" s="372"/>
      <c r="BL30" s="372"/>
      <c r="BM30" s="372"/>
      <c r="BN30" s="372"/>
      <c r="BO30" s="372"/>
      <c r="BP30" s="372"/>
      <c r="BQ30" s="372"/>
      <c r="BR30" s="372"/>
      <c r="BS30" s="372"/>
      <c r="BT30" s="372"/>
      <c r="BU30" s="372"/>
      <c r="BV30" s="372"/>
      <c r="BW30" s="372"/>
      <c r="BX30" s="372"/>
      <c r="BY30" s="372"/>
      <c r="BZ30" s="372"/>
      <c r="CA30" s="372"/>
      <c r="CB30" s="372"/>
      <c r="CC30" s="372"/>
      <c r="CD30" s="372"/>
      <c r="CE30" s="372"/>
      <c r="CG30" s="372"/>
      <c r="CH30" s="372"/>
      <c r="CI30" s="372"/>
      <c r="CJ30" s="372"/>
      <c r="CK30" s="372"/>
      <c r="CL30" s="372"/>
      <c r="CM30" s="372"/>
      <c r="CN30" s="372"/>
      <c r="CO30" s="372"/>
      <c r="CP30" s="372"/>
      <c r="CQ30" s="372"/>
      <c r="CR30" s="372"/>
      <c r="CS30" s="372"/>
      <c r="CT30" s="372"/>
      <c r="CU30" s="372"/>
      <c r="CV30" s="372"/>
      <c r="CW30" s="372"/>
      <c r="CX30" s="372"/>
      <c r="CY30" s="372"/>
      <c r="CZ30" s="372"/>
      <c r="DA30" s="372"/>
      <c r="DB30" s="372"/>
      <c r="DC30" s="372"/>
      <c r="DD30" s="372"/>
      <c r="DE30" s="372"/>
      <c r="DF30" s="372"/>
      <c r="DG30" s="372"/>
      <c r="DH30" s="372"/>
      <c r="DI30" s="372"/>
      <c r="DJ30" s="372"/>
      <c r="DK30" s="372"/>
      <c r="DL30" s="372"/>
      <c r="DM30" s="372"/>
      <c r="DN30" s="372"/>
      <c r="DO30" s="372"/>
      <c r="DP30" s="372"/>
      <c r="DQ30" s="372"/>
      <c r="DR30" s="372"/>
      <c r="DS30" s="372"/>
      <c r="DT30" s="372"/>
      <c r="DU30" s="372"/>
      <c r="DV30" s="372"/>
      <c r="DW30" s="372"/>
      <c r="DX30" s="372"/>
      <c r="DY30" s="372"/>
      <c r="DZ30" s="372"/>
      <c r="EB30" s="372"/>
      <c r="ED30" s="372"/>
      <c r="EE30" s="372"/>
      <c r="EF30" s="372"/>
      <c r="EG30" s="372"/>
      <c r="EH30" s="372"/>
      <c r="EI30" s="372"/>
      <c r="EJ30" s="372"/>
      <c r="EK30" s="372"/>
      <c r="EL30" s="372"/>
      <c r="EM30" s="372"/>
      <c r="EN30" s="372"/>
      <c r="EO30" s="372"/>
      <c r="EP30" s="372"/>
      <c r="EQ30" s="372"/>
      <c r="ER30" s="372"/>
      <c r="ES30" s="372"/>
      <c r="ET30" s="372"/>
      <c r="EU30" s="372"/>
      <c r="EV30" s="372"/>
      <c r="EW30" s="372"/>
      <c r="EX30" s="372"/>
      <c r="EY30" s="372"/>
      <c r="EZ30" s="372"/>
      <c r="FA30" s="372"/>
      <c r="FB30" s="372"/>
      <c r="FC30" s="372"/>
      <c r="FD30" s="372"/>
      <c r="FE30" s="372"/>
      <c r="FF30" s="372"/>
      <c r="FG30" s="372"/>
      <c r="FH30" s="372"/>
      <c r="FI30" s="372"/>
      <c r="FJ30" s="372"/>
      <c r="FK30" s="372"/>
      <c r="FL30" s="372"/>
      <c r="FM30" s="372"/>
      <c r="FN30" s="372"/>
      <c r="FO30" s="375" t="s">
        <v>850</v>
      </c>
      <c r="FP30" s="376" t="s">
        <v>1120</v>
      </c>
      <c r="FQ30" s="377" t="s">
        <v>522</v>
      </c>
      <c r="FR30" s="377" t="s">
        <v>850</v>
      </c>
      <c r="FS30" s="377" t="s">
        <v>559</v>
      </c>
      <c r="FT30" s="144">
        <f t="shared" si="0"/>
        <v>0</v>
      </c>
      <c r="FU30" s="371" t="s">
        <v>905</v>
      </c>
    </row>
    <row r="31" spans="1:177" s="371" customFormat="1">
      <c r="A31" s="368" t="s">
        <v>526</v>
      </c>
      <c r="B31" s="369" t="s">
        <v>517</v>
      </c>
      <c r="C31" s="369" t="s">
        <v>555</v>
      </c>
      <c r="D31" s="369" t="s">
        <v>8</v>
      </c>
      <c r="E31" s="370" t="s">
        <v>561</v>
      </c>
      <c r="F31" s="369" t="s">
        <v>520</v>
      </c>
      <c r="G31" s="369"/>
      <c r="CU31" s="371">
        <v>10</v>
      </c>
      <c r="DG31" s="418">
        <v>40</v>
      </c>
      <c r="DH31" s="372"/>
      <c r="EB31" s="416">
        <v>40</v>
      </c>
      <c r="EH31" s="372"/>
      <c r="ER31" s="418">
        <v>100</v>
      </c>
      <c r="FO31" s="375" t="s">
        <v>850</v>
      </c>
      <c r="FP31" s="376" t="s">
        <v>1120</v>
      </c>
      <c r="FQ31" s="377" t="s">
        <v>522</v>
      </c>
      <c r="FR31" s="377" t="s">
        <v>850</v>
      </c>
      <c r="FS31" s="377" t="s">
        <v>562</v>
      </c>
      <c r="FT31" s="144">
        <f t="shared" si="0"/>
        <v>190</v>
      </c>
      <c r="FU31" s="371" t="s">
        <v>906</v>
      </c>
    </row>
    <row r="32" spans="1:177" s="371" customFormat="1">
      <c r="A32" s="368" t="s">
        <v>526</v>
      </c>
      <c r="B32" s="369" t="s">
        <v>517</v>
      </c>
      <c r="C32" s="369" t="s">
        <v>555</v>
      </c>
      <c r="D32" s="369" t="s">
        <v>4</v>
      </c>
      <c r="E32" s="370" t="s">
        <v>561</v>
      </c>
      <c r="F32" s="369" t="s">
        <v>520</v>
      </c>
      <c r="G32" s="369"/>
      <c r="H32" s="372"/>
      <c r="I32" s="372"/>
      <c r="J32" s="372" t="s">
        <v>850</v>
      </c>
      <c r="K32" s="372"/>
      <c r="L32" s="373">
        <f>5-5</f>
        <v>0</v>
      </c>
      <c r="M32" s="372" t="s">
        <v>850</v>
      </c>
      <c r="N32" s="372" t="s">
        <v>850</v>
      </c>
      <c r="O32" s="372"/>
      <c r="P32" s="372"/>
      <c r="Q32" s="372"/>
      <c r="R32" s="373">
        <f>5-5</f>
        <v>0</v>
      </c>
      <c r="S32" s="372"/>
      <c r="T32" s="372" t="s">
        <v>850</v>
      </c>
      <c r="U32" s="372"/>
      <c r="V32" s="373">
        <f>20-20</f>
        <v>0</v>
      </c>
      <c r="W32" s="373">
        <f>20-20</f>
        <v>0</v>
      </c>
      <c r="X32" s="372"/>
      <c r="Y32" s="372" t="s">
        <v>850</v>
      </c>
      <c r="Z32" s="373">
        <f>40-40</f>
        <v>0</v>
      </c>
      <c r="AA32" s="372" t="s">
        <v>850</v>
      </c>
      <c r="AB32" s="372" t="s">
        <v>850</v>
      </c>
      <c r="AC32" s="372" t="s">
        <v>850</v>
      </c>
      <c r="AD32" s="372" t="s">
        <v>850</v>
      </c>
      <c r="AE32" s="372" t="s">
        <v>850</v>
      </c>
      <c r="AF32" s="372" t="s">
        <v>850</v>
      </c>
      <c r="AG32" s="372" t="s">
        <v>850</v>
      </c>
      <c r="AH32" s="372" t="s">
        <v>850</v>
      </c>
      <c r="AI32" s="372" t="s">
        <v>850</v>
      </c>
      <c r="AJ32" s="372" t="s">
        <v>850</v>
      </c>
      <c r="AK32" s="372" t="s">
        <v>850</v>
      </c>
      <c r="AL32" s="372" t="s">
        <v>850</v>
      </c>
      <c r="AM32" s="372" t="s">
        <v>850</v>
      </c>
      <c r="AN32" s="372"/>
      <c r="AO32" s="372" t="s">
        <v>850</v>
      </c>
      <c r="AP32" s="372" t="s">
        <v>850</v>
      </c>
      <c r="AQ32" s="372" t="s">
        <v>850</v>
      </c>
      <c r="AR32" s="372"/>
      <c r="AS32" s="372"/>
      <c r="AT32" s="373">
        <f>10-10</f>
        <v>0</v>
      </c>
      <c r="AU32" s="373">
        <f>20-20+1</f>
        <v>1</v>
      </c>
      <c r="AV32" s="373">
        <f>10-10+2</f>
        <v>2</v>
      </c>
      <c r="AW32" s="373">
        <f>10-10</f>
        <v>0</v>
      </c>
      <c r="AX32" s="373">
        <f>10-10+1</f>
        <v>1</v>
      </c>
      <c r="AY32" s="372"/>
      <c r="AZ32" s="372" t="s">
        <v>850</v>
      </c>
      <c r="BA32" s="372" t="s">
        <v>850</v>
      </c>
      <c r="BB32" s="372" t="s">
        <v>850</v>
      </c>
      <c r="BC32" s="372"/>
      <c r="BD32" s="372"/>
      <c r="BE32" s="372" t="s">
        <v>850</v>
      </c>
      <c r="BF32" s="373">
        <f>10-10</f>
        <v>0</v>
      </c>
      <c r="BG32" s="373">
        <f>20-20+2</f>
        <v>2</v>
      </c>
      <c r="BH32" s="373">
        <f>20-20</f>
        <v>0</v>
      </c>
      <c r="BI32" s="373">
        <f>20-20</f>
        <v>0</v>
      </c>
      <c r="BJ32" s="373">
        <f>10-10+5</f>
        <v>5</v>
      </c>
      <c r="BK32" s="372"/>
      <c r="BL32" s="372" t="s">
        <v>850</v>
      </c>
      <c r="BM32" s="372" t="s">
        <v>850</v>
      </c>
      <c r="BN32" s="372" t="s">
        <v>850</v>
      </c>
      <c r="BO32" s="372" t="s">
        <v>850</v>
      </c>
      <c r="BP32" s="372"/>
      <c r="BQ32" s="372" t="s">
        <v>850</v>
      </c>
      <c r="BR32" s="372" t="s">
        <v>850</v>
      </c>
      <c r="BS32" s="372" t="s">
        <v>850</v>
      </c>
      <c r="BT32" s="372"/>
      <c r="BU32" s="373">
        <f>20-20+10</f>
        <v>10</v>
      </c>
      <c r="BV32" s="373">
        <f>10-10+1</f>
        <v>1</v>
      </c>
      <c r="BW32" s="373">
        <f>10-10</f>
        <v>0</v>
      </c>
      <c r="BX32" s="372" t="s">
        <v>850</v>
      </c>
      <c r="BY32" s="372"/>
      <c r="BZ32" s="372"/>
      <c r="CA32" s="373">
        <f>20-20+3</f>
        <v>3</v>
      </c>
      <c r="CB32" s="373">
        <f>10-10+5</f>
        <v>5</v>
      </c>
      <c r="CC32" s="373">
        <f>20-20</f>
        <v>0</v>
      </c>
      <c r="CD32" s="372" t="s">
        <v>850</v>
      </c>
      <c r="CE32" s="372"/>
      <c r="CG32" s="373">
        <f>10-10+10</f>
        <v>10</v>
      </c>
      <c r="CH32" s="373">
        <f>10-10+5</f>
        <v>5</v>
      </c>
      <c r="CI32" s="373">
        <f>10-10</f>
        <v>0</v>
      </c>
      <c r="CJ32" s="373">
        <f>10-10</f>
        <v>0</v>
      </c>
      <c r="CK32" s="372" t="s">
        <v>850</v>
      </c>
      <c r="CL32" s="372"/>
      <c r="CM32" s="372"/>
      <c r="CN32" s="373">
        <f>30-30+10</f>
        <v>10</v>
      </c>
      <c r="CO32" s="373">
        <f>10-10+5</f>
        <v>5</v>
      </c>
      <c r="CP32" s="373">
        <f>30-30+5</f>
        <v>5</v>
      </c>
      <c r="CQ32" s="372" t="s">
        <v>850</v>
      </c>
      <c r="CR32" s="373">
        <f>10-10</f>
        <v>0</v>
      </c>
      <c r="CS32" s="372" t="s">
        <v>850</v>
      </c>
      <c r="CT32" s="373">
        <f>10-10</f>
        <v>0</v>
      </c>
      <c r="CU32" s="373">
        <f>20-20</f>
        <v>0</v>
      </c>
      <c r="CV32" s="372" t="s">
        <v>850</v>
      </c>
      <c r="CW32" s="372"/>
      <c r="CX32" s="373">
        <f>30-30+5</f>
        <v>5</v>
      </c>
      <c r="CY32" s="373">
        <f>10-10</f>
        <v>0</v>
      </c>
      <c r="CZ32" s="373">
        <f>20-20</f>
        <v>0</v>
      </c>
      <c r="DA32" s="373">
        <f>20-20</f>
        <v>0</v>
      </c>
      <c r="DB32" s="372" t="s">
        <v>850</v>
      </c>
      <c r="DC32" s="372" t="s">
        <v>850</v>
      </c>
      <c r="DD32" s="372" t="s">
        <v>850</v>
      </c>
      <c r="DE32" s="373">
        <f>20-20</f>
        <v>0</v>
      </c>
      <c r="DF32" s="372" t="s">
        <v>850</v>
      </c>
      <c r="DG32" s="373">
        <f>40-40</f>
        <v>0</v>
      </c>
      <c r="DH32" s="372"/>
      <c r="DI32" s="372" t="s">
        <v>850</v>
      </c>
      <c r="DJ32" s="372" t="s">
        <v>850</v>
      </c>
      <c r="DK32" s="372"/>
      <c r="DL32" s="372" t="s">
        <v>850</v>
      </c>
      <c r="DM32" s="373">
        <f>40-40</f>
        <v>0</v>
      </c>
      <c r="DN32" s="372" t="s">
        <v>850</v>
      </c>
      <c r="DO32" s="373">
        <f>100-100</f>
        <v>0</v>
      </c>
      <c r="DP32" s="372" t="s">
        <v>850</v>
      </c>
      <c r="DQ32" s="373">
        <f>100-100</f>
        <v>0</v>
      </c>
      <c r="DR32" s="372"/>
      <c r="DS32" s="372"/>
      <c r="DT32" s="373">
        <f>30-30</f>
        <v>0</v>
      </c>
      <c r="DU32" s="373">
        <f>30-30</f>
        <v>0</v>
      </c>
      <c r="DV32" s="373">
        <f>30-30</f>
        <v>0</v>
      </c>
      <c r="DW32" s="373">
        <f>100-100</f>
        <v>0</v>
      </c>
      <c r="DX32" s="373">
        <f>100-100</f>
        <v>0</v>
      </c>
      <c r="DY32" s="372" t="s">
        <v>850</v>
      </c>
      <c r="DZ32" s="372"/>
      <c r="EB32" s="373">
        <f>100-100</f>
        <v>0</v>
      </c>
      <c r="ED32" s="373">
        <f>50-50</f>
        <v>0</v>
      </c>
      <c r="EE32" s="372" t="s">
        <v>850</v>
      </c>
      <c r="EF32" s="373">
        <f>50-50</f>
        <v>0</v>
      </c>
      <c r="EG32" s="373">
        <f>50-50</f>
        <v>0</v>
      </c>
      <c r="EH32" s="372"/>
      <c r="EI32" s="373">
        <f>100-100</f>
        <v>0</v>
      </c>
      <c r="EJ32" s="372" t="s">
        <v>850</v>
      </c>
      <c r="EK32" s="373">
        <f>100-100+10</f>
        <v>10</v>
      </c>
      <c r="EL32" s="373">
        <f>50-50+10</f>
        <v>10</v>
      </c>
      <c r="EM32" s="372" t="s">
        <v>850</v>
      </c>
      <c r="EN32" s="372" t="s">
        <v>850</v>
      </c>
      <c r="EO32" s="373">
        <f>50-50</f>
        <v>0</v>
      </c>
      <c r="EP32" s="372" t="s">
        <v>850</v>
      </c>
      <c r="EQ32" s="373">
        <f>100-100</f>
        <v>0</v>
      </c>
      <c r="ER32" s="373">
        <f>200-200</f>
        <v>0</v>
      </c>
      <c r="ES32" s="373">
        <f>100-100</f>
        <v>0</v>
      </c>
      <c r="ET32" s="372" t="s">
        <v>850</v>
      </c>
      <c r="EU32" s="372"/>
      <c r="EV32" s="372"/>
      <c r="EW32" s="372" t="s">
        <v>850</v>
      </c>
      <c r="EX32" s="372" t="s">
        <v>850</v>
      </c>
      <c r="EY32" s="372" t="s">
        <v>850</v>
      </c>
      <c r="EZ32" s="372" t="s">
        <v>850</v>
      </c>
      <c r="FA32" s="372" t="s">
        <v>850</v>
      </c>
      <c r="FB32" s="372" t="s">
        <v>850</v>
      </c>
      <c r="FC32" s="372" t="s">
        <v>850</v>
      </c>
      <c r="FD32" s="372" t="s">
        <v>850</v>
      </c>
      <c r="FE32" s="372" t="s">
        <v>850</v>
      </c>
      <c r="FF32" s="372" t="s">
        <v>850</v>
      </c>
      <c r="FG32" s="372" t="s">
        <v>850</v>
      </c>
      <c r="FH32" s="372" t="s">
        <v>850</v>
      </c>
      <c r="FI32" s="372" t="s">
        <v>850</v>
      </c>
      <c r="FJ32" s="372" t="s">
        <v>850</v>
      </c>
      <c r="FK32" s="372" t="s">
        <v>850</v>
      </c>
      <c r="FL32" s="372" t="s">
        <v>850</v>
      </c>
      <c r="FM32" s="372" t="s">
        <v>850</v>
      </c>
      <c r="FN32" s="372" t="s">
        <v>850</v>
      </c>
      <c r="FO32" s="375" t="s">
        <v>850</v>
      </c>
      <c r="FP32" s="376" t="s">
        <v>1120</v>
      </c>
      <c r="FQ32" s="377" t="s">
        <v>522</v>
      </c>
      <c r="FR32" s="377" t="s">
        <v>850</v>
      </c>
      <c r="FS32" s="377" t="s">
        <v>562</v>
      </c>
      <c r="FT32" s="144">
        <f t="shared" si="0"/>
        <v>90</v>
      </c>
      <c r="FU32" s="371" t="s">
        <v>906</v>
      </c>
    </row>
    <row r="33" spans="1:177" s="371" customFormat="1">
      <c r="A33" s="368" t="s">
        <v>526</v>
      </c>
      <c r="B33" s="369" t="s">
        <v>517</v>
      </c>
      <c r="C33" s="369" t="s">
        <v>555</v>
      </c>
      <c r="D33" s="369" t="s">
        <v>3</v>
      </c>
      <c r="E33" s="370" t="s">
        <v>561</v>
      </c>
      <c r="F33" s="369" t="s">
        <v>520</v>
      </c>
      <c r="G33" s="369"/>
      <c r="H33" s="372"/>
      <c r="I33" s="372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2"/>
      <c r="AK33" s="372"/>
      <c r="AL33" s="372"/>
      <c r="AM33" s="372"/>
      <c r="AN33" s="372"/>
      <c r="AO33" s="372"/>
      <c r="AP33" s="372"/>
      <c r="AQ33" s="372"/>
      <c r="AR33" s="372"/>
      <c r="AS33" s="372"/>
      <c r="AT33" s="372"/>
      <c r="AU33" s="372"/>
      <c r="AV33" s="372"/>
      <c r="AW33" s="372"/>
      <c r="AX33" s="372"/>
      <c r="AY33" s="372"/>
      <c r="AZ33" s="372"/>
      <c r="BA33" s="372"/>
      <c r="BB33" s="372"/>
      <c r="BC33" s="372"/>
      <c r="BD33" s="372"/>
      <c r="BE33" s="372"/>
      <c r="BF33" s="372"/>
      <c r="BG33" s="372"/>
      <c r="BH33" s="372"/>
      <c r="BI33" s="372"/>
      <c r="BJ33" s="372"/>
      <c r="BK33" s="372"/>
      <c r="BL33" s="372"/>
      <c r="BM33" s="372"/>
      <c r="BN33" s="372"/>
      <c r="BO33" s="372"/>
      <c r="BP33" s="372"/>
      <c r="BQ33" s="372"/>
      <c r="BR33" s="372"/>
      <c r="BS33" s="372"/>
      <c r="BT33" s="372"/>
      <c r="BU33" s="372"/>
      <c r="BV33" s="372"/>
      <c r="BW33" s="372"/>
      <c r="BX33" s="372"/>
      <c r="BY33" s="372"/>
      <c r="BZ33" s="372"/>
      <c r="CA33" s="372"/>
      <c r="CB33" s="372"/>
      <c r="CC33" s="372"/>
      <c r="CD33" s="372"/>
      <c r="CE33" s="372"/>
      <c r="CG33" s="372"/>
      <c r="CH33" s="372"/>
      <c r="CI33" s="372"/>
      <c r="CJ33" s="372"/>
      <c r="CK33" s="372"/>
      <c r="CL33" s="372"/>
      <c r="CM33" s="372"/>
      <c r="CN33" s="372"/>
      <c r="CO33" s="372"/>
      <c r="CP33" s="372"/>
      <c r="CQ33" s="372"/>
      <c r="CR33" s="372"/>
      <c r="CS33" s="372"/>
      <c r="CT33" s="372"/>
      <c r="CU33" s="372"/>
      <c r="CV33" s="372"/>
      <c r="CW33" s="372"/>
      <c r="CX33" s="372"/>
      <c r="CY33" s="372"/>
      <c r="CZ33" s="372"/>
      <c r="DA33" s="372"/>
      <c r="DB33" s="372"/>
      <c r="DC33" s="372"/>
      <c r="DD33" s="372"/>
      <c r="DE33" s="372"/>
      <c r="DF33" s="372"/>
      <c r="DG33" s="372"/>
      <c r="DH33" s="372"/>
      <c r="DI33" s="372"/>
      <c r="DJ33" s="372"/>
      <c r="DK33" s="372"/>
      <c r="DL33" s="372"/>
      <c r="DM33" s="372"/>
      <c r="DN33" s="372"/>
      <c r="DO33" s="372"/>
      <c r="DP33" s="372"/>
      <c r="DQ33" s="372"/>
      <c r="DR33" s="372"/>
      <c r="DS33" s="372"/>
      <c r="DT33" s="372"/>
      <c r="DU33" s="372"/>
      <c r="DV33" s="372"/>
      <c r="DW33" s="372"/>
      <c r="DX33" s="372"/>
      <c r="DY33" s="372"/>
      <c r="DZ33" s="372"/>
      <c r="EB33" s="372"/>
      <c r="ED33" s="372"/>
      <c r="EE33" s="372"/>
      <c r="EF33" s="372"/>
      <c r="EG33" s="372"/>
      <c r="EH33" s="372"/>
      <c r="EI33" s="372"/>
      <c r="EJ33" s="372"/>
      <c r="EK33" s="372"/>
      <c r="EL33" s="372"/>
      <c r="EM33" s="372"/>
      <c r="EN33" s="372"/>
      <c r="EO33" s="372"/>
      <c r="EP33" s="372"/>
      <c r="EQ33" s="372"/>
      <c r="ER33" s="372"/>
      <c r="ES33" s="372"/>
      <c r="ET33" s="372"/>
      <c r="EU33" s="372"/>
      <c r="EV33" s="372"/>
      <c r="EW33" s="372"/>
      <c r="EX33" s="372"/>
      <c r="EY33" s="372"/>
      <c r="EZ33" s="372"/>
      <c r="FA33" s="372"/>
      <c r="FB33" s="372"/>
      <c r="FC33" s="372"/>
      <c r="FD33" s="372"/>
      <c r="FE33" s="372"/>
      <c r="FF33" s="372"/>
      <c r="FG33" s="372"/>
      <c r="FH33" s="372"/>
      <c r="FI33" s="372"/>
      <c r="FJ33" s="372"/>
      <c r="FK33" s="372"/>
      <c r="FL33" s="372"/>
      <c r="FM33" s="372"/>
      <c r="FN33" s="372"/>
      <c r="FO33" s="375" t="s">
        <v>850</v>
      </c>
      <c r="FP33" s="376" t="s">
        <v>1120</v>
      </c>
      <c r="FQ33" s="377" t="s">
        <v>522</v>
      </c>
      <c r="FR33" s="377" t="s">
        <v>850</v>
      </c>
      <c r="FS33" s="377" t="s">
        <v>562</v>
      </c>
      <c r="FT33" s="144">
        <f t="shared" si="0"/>
        <v>0</v>
      </c>
      <c r="FU33" s="371" t="s">
        <v>906</v>
      </c>
    </row>
    <row r="34" spans="1:177" s="371" customFormat="1">
      <c r="A34" s="368" t="s">
        <v>540</v>
      </c>
      <c r="B34" s="369" t="s">
        <v>517</v>
      </c>
      <c r="C34" s="369" t="s">
        <v>555</v>
      </c>
      <c r="D34" s="369" t="s">
        <v>8</v>
      </c>
      <c r="E34" s="370" t="s">
        <v>909</v>
      </c>
      <c r="F34" s="369" t="s">
        <v>520</v>
      </c>
      <c r="G34" s="369"/>
      <c r="DH34" s="372"/>
      <c r="EB34" s="416">
        <v>300</v>
      </c>
      <c r="EH34" s="372"/>
      <c r="FO34" s="375" t="s">
        <v>850</v>
      </c>
      <c r="FP34" s="376" t="s">
        <v>1120</v>
      </c>
      <c r="FQ34" s="377" t="s">
        <v>522</v>
      </c>
      <c r="FR34" s="377" t="s">
        <v>850</v>
      </c>
      <c r="FS34" s="377" t="s">
        <v>908</v>
      </c>
      <c r="FT34" s="144">
        <f t="shared" si="0"/>
        <v>300</v>
      </c>
      <c r="FU34" s="371" t="s">
        <v>906</v>
      </c>
    </row>
    <row r="35" spans="1:177" s="371" customFormat="1">
      <c r="A35" s="368" t="s">
        <v>540</v>
      </c>
      <c r="B35" s="369" t="s">
        <v>517</v>
      </c>
      <c r="C35" s="369" t="s">
        <v>555</v>
      </c>
      <c r="D35" s="369" t="s">
        <v>4</v>
      </c>
      <c r="E35" s="370" t="s">
        <v>909</v>
      </c>
      <c r="F35" s="369" t="s">
        <v>520</v>
      </c>
      <c r="G35" s="369"/>
      <c r="H35" s="372"/>
      <c r="I35" s="372"/>
      <c r="J35" s="372" t="s">
        <v>850</v>
      </c>
      <c r="K35" s="372"/>
      <c r="L35" s="372"/>
      <c r="M35" s="372" t="s">
        <v>850</v>
      </c>
      <c r="N35" s="372" t="s">
        <v>850</v>
      </c>
      <c r="O35" s="372"/>
      <c r="P35" s="372"/>
      <c r="Q35" s="372"/>
      <c r="R35" s="372"/>
      <c r="S35" s="372"/>
      <c r="T35" s="372" t="s">
        <v>850</v>
      </c>
      <c r="U35" s="372"/>
      <c r="V35" s="372"/>
      <c r="W35" s="372" t="s">
        <v>850</v>
      </c>
      <c r="X35" s="372"/>
      <c r="Y35" s="372" t="s">
        <v>850</v>
      </c>
      <c r="Z35" s="372" t="s">
        <v>850</v>
      </c>
      <c r="AA35" s="372" t="s">
        <v>850</v>
      </c>
      <c r="AB35" s="372" t="s">
        <v>850</v>
      </c>
      <c r="AC35" s="372" t="s">
        <v>850</v>
      </c>
      <c r="AD35" s="372" t="s">
        <v>850</v>
      </c>
      <c r="AE35" s="372" t="s">
        <v>850</v>
      </c>
      <c r="AF35" s="372" t="s">
        <v>850</v>
      </c>
      <c r="AG35" s="372" t="s">
        <v>850</v>
      </c>
      <c r="AH35" s="372" t="s">
        <v>850</v>
      </c>
      <c r="AI35" s="372" t="s">
        <v>850</v>
      </c>
      <c r="AJ35" s="372" t="s">
        <v>850</v>
      </c>
      <c r="AK35" s="372" t="s">
        <v>850</v>
      </c>
      <c r="AL35" s="372" t="s">
        <v>850</v>
      </c>
      <c r="AM35" s="372" t="s">
        <v>850</v>
      </c>
      <c r="AN35" s="372"/>
      <c r="AO35" s="372" t="s">
        <v>850</v>
      </c>
      <c r="AP35" s="372" t="s">
        <v>850</v>
      </c>
      <c r="AQ35" s="372" t="s">
        <v>850</v>
      </c>
      <c r="AR35" s="372"/>
      <c r="AS35" s="372"/>
      <c r="AT35" s="372" t="s">
        <v>850</v>
      </c>
      <c r="AU35" s="372"/>
      <c r="AV35" s="372"/>
      <c r="AW35" s="372" t="s">
        <v>850</v>
      </c>
      <c r="AX35" s="372"/>
      <c r="AY35" s="372"/>
      <c r="AZ35" s="372" t="s">
        <v>850</v>
      </c>
      <c r="BA35" s="372" t="s">
        <v>850</v>
      </c>
      <c r="BB35" s="372" t="s">
        <v>850</v>
      </c>
      <c r="BC35" s="372"/>
      <c r="BD35" s="372"/>
      <c r="BE35" s="372" t="s">
        <v>850</v>
      </c>
      <c r="BF35" s="372" t="s">
        <v>850</v>
      </c>
      <c r="BG35" s="372"/>
      <c r="BH35" s="372" t="s">
        <v>850</v>
      </c>
      <c r="BI35" s="372" t="s">
        <v>850</v>
      </c>
      <c r="BJ35" s="372"/>
      <c r="BK35" s="372"/>
      <c r="BL35" s="372" t="s">
        <v>850</v>
      </c>
      <c r="BM35" s="372" t="s">
        <v>850</v>
      </c>
      <c r="BN35" s="372" t="s">
        <v>850</v>
      </c>
      <c r="BO35" s="372" t="s">
        <v>850</v>
      </c>
      <c r="BP35" s="372"/>
      <c r="BQ35" s="372" t="s">
        <v>850</v>
      </c>
      <c r="BR35" s="372" t="s">
        <v>850</v>
      </c>
      <c r="BS35" s="372" t="s">
        <v>850</v>
      </c>
      <c r="BT35" s="372"/>
      <c r="BU35" s="372"/>
      <c r="BV35" s="372"/>
      <c r="BW35" s="372" t="s">
        <v>850</v>
      </c>
      <c r="BX35" s="372" t="s">
        <v>850</v>
      </c>
      <c r="BY35" s="372"/>
      <c r="BZ35" s="372"/>
      <c r="CA35" s="372"/>
      <c r="CB35" s="372" t="s">
        <v>850</v>
      </c>
      <c r="CC35" s="372" t="s">
        <v>850</v>
      </c>
      <c r="CD35" s="372" t="s">
        <v>850</v>
      </c>
      <c r="CE35" s="372"/>
      <c r="CG35" s="372"/>
      <c r="CH35" s="372"/>
      <c r="CI35" s="372" t="s">
        <v>850</v>
      </c>
      <c r="CJ35" s="372" t="s">
        <v>850</v>
      </c>
      <c r="CK35" s="372" t="s">
        <v>850</v>
      </c>
      <c r="CL35" s="372"/>
      <c r="CM35" s="372"/>
      <c r="CN35" s="372"/>
      <c r="CO35" s="372"/>
      <c r="CP35" s="372"/>
      <c r="CQ35" s="372" t="s">
        <v>850</v>
      </c>
      <c r="CR35" s="372" t="s">
        <v>850</v>
      </c>
      <c r="CS35" s="372" t="s">
        <v>850</v>
      </c>
      <c r="CT35" s="372" t="s">
        <v>850</v>
      </c>
      <c r="CU35" s="372"/>
      <c r="CV35" s="372"/>
      <c r="CW35" s="372"/>
      <c r="CX35" s="372"/>
      <c r="CY35" s="372"/>
      <c r="CZ35" s="372" t="s">
        <v>850</v>
      </c>
      <c r="DA35" s="372"/>
      <c r="DB35" s="372" t="s">
        <v>850</v>
      </c>
      <c r="DC35" s="372" t="s">
        <v>850</v>
      </c>
      <c r="DD35" s="372" t="s">
        <v>850</v>
      </c>
      <c r="DE35" s="372" t="s">
        <v>850</v>
      </c>
      <c r="DF35" s="372" t="s">
        <v>850</v>
      </c>
      <c r="DG35" s="372"/>
      <c r="DH35" s="372"/>
      <c r="DI35" s="372" t="s">
        <v>850</v>
      </c>
      <c r="DJ35" s="372" t="s">
        <v>850</v>
      </c>
      <c r="DK35" s="373">
        <f>50-50+20</f>
        <v>20</v>
      </c>
      <c r="DL35" s="373">
        <f>50-50</f>
        <v>0</v>
      </c>
      <c r="DM35" s="372" t="s">
        <v>850</v>
      </c>
      <c r="DN35" s="372" t="s">
        <v>850</v>
      </c>
      <c r="DO35" s="372" t="s">
        <v>850</v>
      </c>
      <c r="DP35" s="373">
        <f>50-50</f>
        <v>0</v>
      </c>
      <c r="DQ35" s="372"/>
      <c r="DR35" s="372"/>
      <c r="DS35" s="372"/>
      <c r="DT35" s="372" t="s">
        <v>850</v>
      </c>
      <c r="DU35" s="372" t="s">
        <v>850</v>
      </c>
      <c r="DV35" s="373">
        <f>100-100</f>
        <v>0</v>
      </c>
      <c r="DW35" s="373">
        <f>100-100</f>
        <v>0</v>
      </c>
      <c r="DX35" s="373">
        <f>50-50</f>
        <v>0</v>
      </c>
      <c r="DY35" s="373">
        <f>50-50</f>
        <v>0</v>
      </c>
      <c r="DZ35" s="373">
        <f>100-100+40</f>
        <v>40</v>
      </c>
      <c r="EB35" s="373">
        <f>100-100</f>
        <v>0</v>
      </c>
      <c r="ED35" s="373">
        <f>100-100</f>
        <v>0</v>
      </c>
      <c r="EE35" s="373">
        <f>50-50</f>
        <v>0</v>
      </c>
      <c r="EF35" s="373">
        <f>100-100</f>
        <v>0</v>
      </c>
      <c r="EG35" s="373">
        <f>200-200</f>
        <v>0</v>
      </c>
      <c r="EH35" s="372"/>
      <c r="EI35" s="373">
        <f>200-200</f>
        <v>0</v>
      </c>
      <c r="EJ35" s="373">
        <f>200-200</f>
        <v>0</v>
      </c>
      <c r="EK35" s="373">
        <f>200-200+10</f>
        <v>10</v>
      </c>
      <c r="EL35" s="373">
        <f>200-200+20</f>
        <v>20</v>
      </c>
      <c r="EM35" s="372" t="s">
        <v>850</v>
      </c>
      <c r="EN35" s="372" t="s">
        <v>850</v>
      </c>
      <c r="EO35" s="373">
        <f>200-200</f>
        <v>0</v>
      </c>
      <c r="EP35" s="372" t="s">
        <v>850</v>
      </c>
      <c r="EQ35" s="372" t="s">
        <v>850</v>
      </c>
      <c r="ER35" s="372"/>
      <c r="ES35" s="372" t="s">
        <v>850</v>
      </c>
      <c r="ET35" s="372" t="s">
        <v>850</v>
      </c>
      <c r="EU35" s="372"/>
      <c r="EV35" s="372"/>
      <c r="EW35" s="372" t="s">
        <v>850</v>
      </c>
      <c r="EX35" s="372" t="s">
        <v>850</v>
      </c>
      <c r="EY35" s="372" t="s">
        <v>850</v>
      </c>
      <c r="EZ35" s="372" t="s">
        <v>850</v>
      </c>
      <c r="FA35" s="372" t="s">
        <v>850</v>
      </c>
      <c r="FB35" s="372" t="s">
        <v>850</v>
      </c>
      <c r="FC35" s="372" t="s">
        <v>850</v>
      </c>
      <c r="FD35" s="372" t="s">
        <v>850</v>
      </c>
      <c r="FE35" s="372" t="s">
        <v>850</v>
      </c>
      <c r="FF35" s="372" t="s">
        <v>850</v>
      </c>
      <c r="FG35" s="372" t="s">
        <v>850</v>
      </c>
      <c r="FH35" s="372" t="s">
        <v>850</v>
      </c>
      <c r="FI35" s="372" t="s">
        <v>850</v>
      </c>
      <c r="FJ35" s="372" t="s">
        <v>850</v>
      </c>
      <c r="FK35" s="372" t="s">
        <v>850</v>
      </c>
      <c r="FL35" s="372" t="s">
        <v>850</v>
      </c>
      <c r="FM35" s="372" t="s">
        <v>850</v>
      </c>
      <c r="FN35" s="372" t="s">
        <v>850</v>
      </c>
      <c r="FO35" s="375" t="s">
        <v>850</v>
      </c>
      <c r="FP35" s="376" t="s">
        <v>1120</v>
      </c>
      <c r="FQ35" s="377" t="s">
        <v>522</v>
      </c>
      <c r="FR35" s="377" t="s">
        <v>850</v>
      </c>
      <c r="FS35" s="377" t="s">
        <v>908</v>
      </c>
      <c r="FT35" s="144">
        <f t="shared" si="0"/>
        <v>90</v>
      </c>
      <c r="FU35" s="371" t="s">
        <v>906</v>
      </c>
    </row>
    <row r="36" spans="1:177" s="371" customFormat="1">
      <c r="A36" s="368" t="s">
        <v>540</v>
      </c>
      <c r="B36" s="369" t="s">
        <v>517</v>
      </c>
      <c r="C36" s="369" t="s">
        <v>555</v>
      </c>
      <c r="D36" s="369" t="s">
        <v>3</v>
      </c>
      <c r="E36" s="370" t="s">
        <v>909</v>
      </c>
      <c r="F36" s="369" t="s">
        <v>520</v>
      </c>
      <c r="G36" s="369"/>
      <c r="H36" s="372"/>
      <c r="I36" s="372"/>
      <c r="J36" s="372"/>
      <c r="K36" s="372"/>
      <c r="L36" s="372"/>
      <c r="M36" s="372"/>
      <c r="N36" s="372"/>
      <c r="O36" s="372"/>
      <c r="P36" s="372"/>
      <c r="Q36" s="372"/>
      <c r="R36" s="372"/>
      <c r="S36" s="372"/>
      <c r="T36" s="372"/>
      <c r="U36" s="372"/>
      <c r="V36" s="372"/>
      <c r="W36" s="372"/>
      <c r="X36" s="372"/>
      <c r="Y36" s="372"/>
      <c r="Z36" s="372"/>
      <c r="AA36" s="372"/>
      <c r="AB36" s="372"/>
      <c r="AC36" s="372"/>
      <c r="AD36" s="372"/>
      <c r="AE36" s="372"/>
      <c r="AF36" s="372"/>
      <c r="AG36" s="372"/>
      <c r="AH36" s="372"/>
      <c r="AI36" s="372"/>
      <c r="AJ36" s="372"/>
      <c r="AK36" s="372"/>
      <c r="AL36" s="372"/>
      <c r="AM36" s="372"/>
      <c r="AN36" s="372"/>
      <c r="AO36" s="372"/>
      <c r="AP36" s="372"/>
      <c r="AQ36" s="372"/>
      <c r="AR36" s="372"/>
      <c r="AS36" s="372"/>
      <c r="AT36" s="372"/>
      <c r="AU36" s="372"/>
      <c r="AV36" s="372"/>
      <c r="AW36" s="372"/>
      <c r="AX36" s="372"/>
      <c r="AY36" s="372"/>
      <c r="AZ36" s="372"/>
      <c r="BA36" s="372"/>
      <c r="BB36" s="372"/>
      <c r="BC36" s="372"/>
      <c r="BD36" s="372"/>
      <c r="BE36" s="372"/>
      <c r="BF36" s="372"/>
      <c r="BG36" s="372"/>
      <c r="BH36" s="372"/>
      <c r="BI36" s="372"/>
      <c r="BJ36" s="372"/>
      <c r="BK36" s="372"/>
      <c r="BL36" s="372"/>
      <c r="BM36" s="372"/>
      <c r="BN36" s="372"/>
      <c r="BO36" s="372"/>
      <c r="BP36" s="372"/>
      <c r="BQ36" s="372"/>
      <c r="BR36" s="372"/>
      <c r="BS36" s="372"/>
      <c r="BT36" s="372"/>
      <c r="BU36" s="372"/>
      <c r="BV36" s="372"/>
      <c r="BW36" s="372"/>
      <c r="BX36" s="372"/>
      <c r="BY36" s="372"/>
      <c r="BZ36" s="372"/>
      <c r="CA36" s="372"/>
      <c r="CB36" s="372"/>
      <c r="CC36" s="372"/>
      <c r="CD36" s="372"/>
      <c r="CE36" s="372"/>
      <c r="CG36" s="372"/>
      <c r="CH36" s="372"/>
      <c r="CI36" s="372"/>
      <c r="CJ36" s="372"/>
      <c r="CK36" s="372"/>
      <c r="CL36" s="372"/>
      <c r="CM36" s="372"/>
      <c r="CN36" s="372"/>
      <c r="CO36" s="372"/>
      <c r="CP36" s="372"/>
      <c r="CQ36" s="372"/>
      <c r="CR36" s="372"/>
      <c r="CS36" s="372"/>
      <c r="CT36" s="372"/>
      <c r="CU36" s="372"/>
      <c r="CV36" s="372"/>
      <c r="CW36" s="372"/>
      <c r="CX36" s="372"/>
      <c r="CY36" s="372"/>
      <c r="CZ36" s="372"/>
      <c r="DA36" s="372"/>
      <c r="DB36" s="372"/>
      <c r="DC36" s="372"/>
      <c r="DD36" s="372"/>
      <c r="DE36" s="372"/>
      <c r="DF36" s="372"/>
      <c r="DG36" s="372"/>
      <c r="DH36" s="372"/>
      <c r="DI36" s="372"/>
      <c r="DJ36" s="372"/>
      <c r="DK36" s="372"/>
      <c r="DL36" s="372"/>
      <c r="DM36" s="372"/>
      <c r="DN36" s="372"/>
      <c r="DO36" s="372"/>
      <c r="DP36" s="372"/>
      <c r="DQ36" s="372"/>
      <c r="DR36" s="372"/>
      <c r="DS36" s="372"/>
      <c r="DT36" s="372"/>
      <c r="DU36" s="372"/>
      <c r="DV36" s="372"/>
      <c r="DW36" s="372"/>
      <c r="DX36" s="372"/>
      <c r="DY36" s="372"/>
      <c r="DZ36" s="372"/>
      <c r="EB36" s="372"/>
      <c r="ED36" s="372"/>
      <c r="EE36" s="372"/>
      <c r="EF36" s="372"/>
      <c r="EG36" s="372"/>
      <c r="EH36" s="372"/>
      <c r="EI36" s="372"/>
      <c r="EJ36" s="372"/>
      <c r="EK36" s="372"/>
      <c r="EL36" s="372"/>
      <c r="EM36" s="372"/>
      <c r="EN36" s="372"/>
      <c r="EO36" s="372"/>
      <c r="EP36" s="372"/>
      <c r="EQ36" s="372"/>
      <c r="ER36" s="372"/>
      <c r="ES36" s="372"/>
      <c r="ET36" s="372"/>
      <c r="EU36" s="372"/>
      <c r="EV36" s="372"/>
      <c r="EW36" s="372"/>
      <c r="EX36" s="372"/>
      <c r="EY36" s="372"/>
      <c r="EZ36" s="372"/>
      <c r="FA36" s="372"/>
      <c r="FB36" s="372"/>
      <c r="FC36" s="372"/>
      <c r="FD36" s="372"/>
      <c r="FE36" s="372"/>
      <c r="FF36" s="372"/>
      <c r="FG36" s="372"/>
      <c r="FH36" s="372"/>
      <c r="FI36" s="372"/>
      <c r="FJ36" s="372"/>
      <c r="FK36" s="372"/>
      <c r="FL36" s="372"/>
      <c r="FM36" s="372"/>
      <c r="FN36" s="372"/>
      <c r="FO36" s="375" t="s">
        <v>850</v>
      </c>
      <c r="FP36" s="376" t="s">
        <v>1120</v>
      </c>
      <c r="FQ36" s="377" t="s">
        <v>522</v>
      </c>
      <c r="FR36" s="377" t="s">
        <v>850</v>
      </c>
      <c r="FS36" s="377" t="s">
        <v>908</v>
      </c>
      <c r="FT36" s="144">
        <f t="shared" si="0"/>
        <v>0</v>
      </c>
      <c r="FU36" s="371" t="s">
        <v>906</v>
      </c>
    </row>
    <row r="37" spans="1:177" s="371" customFormat="1">
      <c r="A37" s="368" t="s">
        <v>526</v>
      </c>
      <c r="B37" s="369" t="s">
        <v>517</v>
      </c>
      <c r="C37" s="369" t="s">
        <v>555</v>
      </c>
      <c r="D37" s="369" t="s">
        <v>8</v>
      </c>
      <c r="E37" s="370" t="s">
        <v>806</v>
      </c>
      <c r="F37" s="369" t="s">
        <v>520</v>
      </c>
      <c r="G37" s="369"/>
      <c r="DH37" s="372"/>
      <c r="EH37" s="372"/>
      <c r="FO37" s="375" t="s">
        <v>850</v>
      </c>
      <c r="FP37" s="376" t="s">
        <v>1120</v>
      </c>
      <c r="FQ37" s="377" t="s">
        <v>522</v>
      </c>
      <c r="FR37" s="377" t="s">
        <v>850</v>
      </c>
      <c r="FS37" s="377" t="s">
        <v>910</v>
      </c>
      <c r="FT37" s="144">
        <f t="shared" si="0"/>
        <v>0</v>
      </c>
      <c r="FU37" s="371" t="s">
        <v>911</v>
      </c>
    </row>
    <row r="38" spans="1:177" s="371" customFormat="1">
      <c r="A38" s="368" t="s">
        <v>526</v>
      </c>
      <c r="B38" s="369" t="s">
        <v>517</v>
      </c>
      <c r="C38" s="369" t="s">
        <v>555</v>
      </c>
      <c r="D38" s="369" t="s">
        <v>4</v>
      </c>
      <c r="E38" s="370" t="s">
        <v>806</v>
      </c>
      <c r="F38" s="369" t="s">
        <v>520</v>
      </c>
      <c r="G38" s="369"/>
      <c r="H38" s="372"/>
      <c r="I38" s="372"/>
      <c r="J38" s="372" t="s">
        <v>850</v>
      </c>
      <c r="K38" s="372"/>
      <c r="L38" s="372"/>
      <c r="M38" s="372" t="s">
        <v>850</v>
      </c>
      <c r="N38" s="372" t="s">
        <v>850</v>
      </c>
      <c r="O38" s="372"/>
      <c r="P38" s="372"/>
      <c r="Q38" s="372"/>
      <c r="R38" s="372"/>
      <c r="S38" s="372"/>
      <c r="T38" s="372" t="s">
        <v>850</v>
      </c>
      <c r="U38" s="372"/>
      <c r="V38" s="372"/>
      <c r="W38" s="372" t="s">
        <v>850</v>
      </c>
      <c r="X38" s="372"/>
      <c r="Y38" s="372" t="s">
        <v>850</v>
      </c>
      <c r="Z38" s="372" t="s">
        <v>850</v>
      </c>
      <c r="AA38" s="372" t="s">
        <v>850</v>
      </c>
      <c r="AB38" s="372" t="s">
        <v>850</v>
      </c>
      <c r="AC38" s="372" t="s">
        <v>850</v>
      </c>
      <c r="AD38" s="372" t="s">
        <v>850</v>
      </c>
      <c r="AE38" s="372" t="s">
        <v>850</v>
      </c>
      <c r="AF38" s="372" t="s">
        <v>850</v>
      </c>
      <c r="AG38" s="372" t="s">
        <v>850</v>
      </c>
      <c r="AH38" s="372" t="s">
        <v>850</v>
      </c>
      <c r="AI38" s="372" t="s">
        <v>850</v>
      </c>
      <c r="AJ38" s="372" t="s">
        <v>850</v>
      </c>
      <c r="AK38" s="372" t="s">
        <v>850</v>
      </c>
      <c r="AL38" s="372" t="s">
        <v>850</v>
      </c>
      <c r="AM38" s="372" t="s">
        <v>850</v>
      </c>
      <c r="AN38" s="372"/>
      <c r="AO38" s="372" t="s">
        <v>850</v>
      </c>
      <c r="AP38" s="372" t="s">
        <v>850</v>
      </c>
      <c r="AQ38" s="372" t="s">
        <v>850</v>
      </c>
      <c r="AR38" s="372"/>
      <c r="AS38" s="372"/>
      <c r="AT38" s="372" t="s">
        <v>850</v>
      </c>
      <c r="AU38" s="372"/>
      <c r="AV38" s="372"/>
      <c r="AW38" s="372" t="s">
        <v>850</v>
      </c>
      <c r="AX38" s="372"/>
      <c r="AY38" s="373">
        <f>50-50+50</f>
        <v>50</v>
      </c>
      <c r="AZ38" s="372" t="s">
        <v>850</v>
      </c>
      <c r="BA38" s="372" t="s">
        <v>850</v>
      </c>
      <c r="BB38" s="372" t="s">
        <v>850</v>
      </c>
      <c r="BC38" s="372"/>
      <c r="BD38" s="372"/>
      <c r="BE38" s="372" t="s">
        <v>850</v>
      </c>
      <c r="BF38" s="372" t="s">
        <v>850</v>
      </c>
      <c r="BG38" s="372"/>
      <c r="BH38" s="372" t="s">
        <v>850</v>
      </c>
      <c r="BI38" s="372" t="s">
        <v>850</v>
      </c>
      <c r="BJ38" s="372"/>
      <c r="BK38" s="372"/>
      <c r="BL38" s="372" t="s">
        <v>850</v>
      </c>
      <c r="BM38" s="372" t="s">
        <v>850</v>
      </c>
      <c r="BN38" s="372" t="s">
        <v>850</v>
      </c>
      <c r="BO38" s="372" t="s">
        <v>850</v>
      </c>
      <c r="BP38" s="372"/>
      <c r="BQ38" s="372" t="s">
        <v>850</v>
      </c>
      <c r="BR38" s="372" t="s">
        <v>850</v>
      </c>
      <c r="BS38" s="372" t="s">
        <v>850</v>
      </c>
      <c r="BT38" s="372"/>
      <c r="BU38" s="372"/>
      <c r="BV38" s="372"/>
      <c r="BW38" s="372" t="s">
        <v>850</v>
      </c>
      <c r="BX38" s="372" t="s">
        <v>850</v>
      </c>
      <c r="BY38" s="372"/>
      <c r="BZ38" s="372"/>
      <c r="CA38" s="372"/>
      <c r="CB38" s="372" t="s">
        <v>850</v>
      </c>
      <c r="CC38" s="372" t="s">
        <v>850</v>
      </c>
      <c r="CD38" s="372" t="s">
        <v>850</v>
      </c>
      <c r="CE38" s="372"/>
      <c r="CG38" s="372"/>
      <c r="CH38" s="372"/>
      <c r="CI38" s="372" t="s">
        <v>850</v>
      </c>
      <c r="CJ38" s="372" t="s">
        <v>850</v>
      </c>
      <c r="CK38" s="372" t="s">
        <v>850</v>
      </c>
      <c r="CL38" s="372"/>
      <c r="CM38" s="372"/>
      <c r="CN38" s="372"/>
      <c r="CO38" s="372"/>
      <c r="CP38" s="372"/>
      <c r="CQ38" s="372" t="s">
        <v>850</v>
      </c>
      <c r="CR38" s="372" t="s">
        <v>850</v>
      </c>
      <c r="CS38" s="372" t="s">
        <v>850</v>
      </c>
      <c r="CT38" s="372" t="s">
        <v>850</v>
      </c>
      <c r="CU38" s="372"/>
      <c r="CV38" s="372"/>
      <c r="CW38" s="372"/>
      <c r="CX38" s="372"/>
      <c r="CY38" s="372"/>
      <c r="CZ38" s="372" t="s">
        <v>850</v>
      </c>
      <c r="DA38" s="372"/>
      <c r="DB38" s="372" t="s">
        <v>850</v>
      </c>
      <c r="DC38" s="372" t="s">
        <v>850</v>
      </c>
      <c r="DD38" s="372" t="s">
        <v>850</v>
      </c>
      <c r="DE38" s="372" t="s">
        <v>850</v>
      </c>
      <c r="DF38" s="372" t="s">
        <v>850</v>
      </c>
      <c r="DG38" s="372"/>
      <c r="DH38" s="372"/>
      <c r="DI38" s="372" t="s">
        <v>850</v>
      </c>
      <c r="DJ38" s="372" t="s">
        <v>850</v>
      </c>
      <c r="DK38" s="372"/>
      <c r="DL38" s="372" t="s">
        <v>850</v>
      </c>
      <c r="DM38" s="372" t="s">
        <v>850</v>
      </c>
      <c r="DN38" s="372" t="s">
        <v>850</v>
      </c>
      <c r="DO38" s="372" t="s">
        <v>850</v>
      </c>
      <c r="DP38" s="372" t="s">
        <v>850</v>
      </c>
      <c r="DQ38" s="372"/>
      <c r="DR38" s="372"/>
      <c r="DS38" s="372"/>
      <c r="DT38" s="372" t="s">
        <v>850</v>
      </c>
      <c r="DU38" s="372" t="s">
        <v>850</v>
      </c>
      <c r="DV38" s="372" t="s">
        <v>850</v>
      </c>
      <c r="DW38" s="372" t="s">
        <v>850</v>
      </c>
      <c r="DX38" s="372" t="s">
        <v>850</v>
      </c>
      <c r="DY38" s="372" t="s">
        <v>850</v>
      </c>
      <c r="DZ38" s="372"/>
      <c r="EB38" s="372"/>
      <c r="ED38" s="372" t="s">
        <v>850</v>
      </c>
      <c r="EE38" s="372" t="s">
        <v>850</v>
      </c>
      <c r="EF38" s="372" t="s">
        <v>850</v>
      </c>
      <c r="EG38" s="372" t="s">
        <v>850</v>
      </c>
      <c r="EH38" s="372"/>
      <c r="EI38" s="372" t="s">
        <v>850</v>
      </c>
      <c r="EJ38" s="372" t="s">
        <v>850</v>
      </c>
      <c r="EK38" s="372"/>
      <c r="EL38" s="372"/>
      <c r="EM38" s="372" t="s">
        <v>850</v>
      </c>
      <c r="EN38" s="372" t="s">
        <v>850</v>
      </c>
      <c r="EO38" s="372" t="s">
        <v>850</v>
      </c>
      <c r="EP38" s="372" t="s">
        <v>850</v>
      </c>
      <c r="EQ38" s="372" t="s">
        <v>850</v>
      </c>
      <c r="ER38" s="372"/>
      <c r="ES38" s="372" t="s">
        <v>850</v>
      </c>
      <c r="ET38" s="372" t="s">
        <v>850</v>
      </c>
      <c r="EU38" s="372"/>
      <c r="EV38" s="372"/>
      <c r="EW38" s="372" t="s">
        <v>850</v>
      </c>
      <c r="EX38" s="372" t="s">
        <v>850</v>
      </c>
      <c r="EY38" s="372" t="s">
        <v>850</v>
      </c>
      <c r="EZ38" s="372" t="s">
        <v>850</v>
      </c>
      <c r="FA38" s="372" t="s">
        <v>850</v>
      </c>
      <c r="FB38" s="372" t="s">
        <v>850</v>
      </c>
      <c r="FC38" s="372" t="s">
        <v>850</v>
      </c>
      <c r="FD38" s="372" t="s">
        <v>850</v>
      </c>
      <c r="FE38" s="372" t="s">
        <v>850</v>
      </c>
      <c r="FF38" s="372" t="s">
        <v>850</v>
      </c>
      <c r="FG38" s="372" t="s">
        <v>850</v>
      </c>
      <c r="FH38" s="372" t="s">
        <v>850</v>
      </c>
      <c r="FI38" s="372" t="s">
        <v>850</v>
      </c>
      <c r="FJ38" s="372" t="s">
        <v>850</v>
      </c>
      <c r="FK38" s="372" t="s">
        <v>850</v>
      </c>
      <c r="FL38" s="372" t="s">
        <v>850</v>
      </c>
      <c r="FM38" s="372" t="s">
        <v>850</v>
      </c>
      <c r="FN38" s="372" t="s">
        <v>850</v>
      </c>
      <c r="FO38" s="375" t="s">
        <v>850</v>
      </c>
      <c r="FP38" s="376" t="s">
        <v>1120</v>
      </c>
      <c r="FQ38" s="377" t="s">
        <v>522</v>
      </c>
      <c r="FR38" s="377" t="s">
        <v>850</v>
      </c>
      <c r="FS38" s="377" t="s">
        <v>910</v>
      </c>
      <c r="FT38" s="144">
        <f t="shared" si="0"/>
        <v>50</v>
      </c>
      <c r="FU38" s="371" t="s">
        <v>911</v>
      </c>
    </row>
    <row r="39" spans="1:177" s="371" customFormat="1">
      <c r="A39" s="368" t="s">
        <v>526</v>
      </c>
      <c r="B39" s="369" t="s">
        <v>517</v>
      </c>
      <c r="C39" s="369" t="s">
        <v>555</v>
      </c>
      <c r="D39" s="369" t="s">
        <v>3</v>
      </c>
      <c r="E39" s="370" t="s">
        <v>806</v>
      </c>
      <c r="F39" s="369" t="s">
        <v>520</v>
      </c>
      <c r="G39" s="369"/>
      <c r="H39" s="372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372"/>
      <c r="Y39" s="372"/>
      <c r="Z39" s="372"/>
      <c r="AA39" s="372"/>
      <c r="AB39" s="372"/>
      <c r="AC39" s="372"/>
      <c r="AD39" s="372"/>
      <c r="AE39" s="372"/>
      <c r="AF39" s="372"/>
      <c r="AG39" s="372"/>
      <c r="AH39" s="372"/>
      <c r="AI39" s="372"/>
      <c r="AJ39" s="372"/>
      <c r="AK39" s="372"/>
      <c r="AL39" s="372"/>
      <c r="AM39" s="372"/>
      <c r="AN39" s="372"/>
      <c r="AO39" s="372"/>
      <c r="AP39" s="372"/>
      <c r="AQ39" s="372"/>
      <c r="AR39" s="372"/>
      <c r="AS39" s="372"/>
      <c r="AT39" s="372"/>
      <c r="AU39" s="372"/>
      <c r="AV39" s="372"/>
      <c r="AW39" s="372"/>
      <c r="AX39" s="372"/>
      <c r="AY39" s="372"/>
      <c r="AZ39" s="372"/>
      <c r="BA39" s="372"/>
      <c r="BB39" s="372"/>
      <c r="BC39" s="372"/>
      <c r="BD39" s="372"/>
      <c r="BE39" s="372"/>
      <c r="BF39" s="372"/>
      <c r="BG39" s="372"/>
      <c r="BH39" s="372"/>
      <c r="BI39" s="372"/>
      <c r="BJ39" s="372"/>
      <c r="BK39" s="372"/>
      <c r="BL39" s="372"/>
      <c r="BM39" s="372"/>
      <c r="BN39" s="372"/>
      <c r="BO39" s="372"/>
      <c r="BP39" s="372"/>
      <c r="BQ39" s="372"/>
      <c r="BR39" s="372"/>
      <c r="BS39" s="372"/>
      <c r="BT39" s="372"/>
      <c r="BU39" s="372"/>
      <c r="BV39" s="372"/>
      <c r="BW39" s="372"/>
      <c r="BX39" s="372"/>
      <c r="BY39" s="372"/>
      <c r="BZ39" s="372"/>
      <c r="CA39" s="372"/>
      <c r="CB39" s="372"/>
      <c r="CC39" s="372"/>
      <c r="CD39" s="372"/>
      <c r="CE39" s="372"/>
      <c r="CG39" s="372"/>
      <c r="CH39" s="372"/>
      <c r="CI39" s="372"/>
      <c r="CJ39" s="372"/>
      <c r="CK39" s="372"/>
      <c r="CL39" s="372"/>
      <c r="CM39" s="372"/>
      <c r="CN39" s="372"/>
      <c r="CO39" s="372"/>
      <c r="CP39" s="372"/>
      <c r="CQ39" s="372"/>
      <c r="CR39" s="372"/>
      <c r="CS39" s="372"/>
      <c r="CT39" s="372"/>
      <c r="CU39" s="372"/>
      <c r="CV39" s="372"/>
      <c r="CW39" s="372"/>
      <c r="CX39" s="372"/>
      <c r="CY39" s="372"/>
      <c r="CZ39" s="372"/>
      <c r="DA39" s="372"/>
      <c r="DB39" s="372"/>
      <c r="DC39" s="372"/>
      <c r="DD39" s="372"/>
      <c r="DE39" s="372"/>
      <c r="DF39" s="372"/>
      <c r="DG39" s="372"/>
      <c r="DH39" s="372"/>
      <c r="DI39" s="372"/>
      <c r="DJ39" s="372"/>
      <c r="DK39" s="372"/>
      <c r="DL39" s="372"/>
      <c r="DM39" s="372"/>
      <c r="DN39" s="372"/>
      <c r="DO39" s="372"/>
      <c r="DP39" s="372"/>
      <c r="DQ39" s="372"/>
      <c r="DR39" s="372"/>
      <c r="DS39" s="372"/>
      <c r="DT39" s="372"/>
      <c r="DU39" s="372"/>
      <c r="DV39" s="372"/>
      <c r="DW39" s="372"/>
      <c r="DX39" s="372"/>
      <c r="DY39" s="372"/>
      <c r="DZ39" s="372"/>
      <c r="EB39" s="372"/>
      <c r="ED39" s="372"/>
      <c r="EE39" s="372"/>
      <c r="EF39" s="372"/>
      <c r="EG39" s="372"/>
      <c r="EH39" s="372"/>
      <c r="EI39" s="372"/>
      <c r="EJ39" s="372"/>
      <c r="EK39" s="372"/>
      <c r="EL39" s="372"/>
      <c r="EM39" s="372"/>
      <c r="EN39" s="372"/>
      <c r="EO39" s="372"/>
      <c r="EP39" s="372"/>
      <c r="EQ39" s="372"/>
      <c r="ER39" s="372"/>
      <c r="ES39" s="372"/>
      <c r="ET39" s="372"/>
      <c r="EU39" s="372"/>
      <c r="EV39" s="372"/>
      <c r="EW39" s="372"/>
      <c r="EX39" s="372"/>
      <c r="EY39" s="372"/>
      <c r="EZ39" s="372"/>
      <c r="FA39" s="372"/>
      <c r="FB39" s="372"/>
      <c r="FC39" s="372"/>
      <c r="FD39" s="372"/>
      <c r="FE39" s="372"/>
      <c r="FF39" s="372"/>
      <c r="FG39" s="372"/>
      <c r="FH39" s="372"/>
      <c r="FI39" s="372"/>
      <c r="FJ39" s="372"/>
      <c r="FK39" s="372"/>
      <c r="FL39" s="372"/>
      <c r="FM39" s="372"/>
      <c r="FN39" s="372"/>
      <c r="FO39" s="375" t="s">
        <v>850</v>
      </c>
      <c r="FP39" s="376" t="s">
        <v>1120</v>
      </c>
      <c r="FQ39" s="377" t="s">
        <v>522</v>
      </c>
      <c r="FR39" s="377" t="s">
        <v>850</v>
      </c>
      <c r="FS39" s="377" t="s">
        <v>910</v>
      </c>
      <c r="FT39" s="144">
        <f t="shared" ref="FT39:FT70" si="1">SUM(H39:FN39)</f>
        <v>0</v>
      </c>
      <c r="FU39" s="371" t="s">
        <v>911</v>
      </c>
    </row>
    <row r="40" spans="1:177" s="371" customFormat="1" hidden="1">
      <c r="A40" s="368" t="s">
        <v>526</v>
      </c>
      <c r="B40" s="369" t="s">
        <v>517</v>
      </c>
      <c r="C40" s="369" t="s">
        <v>555</v>
      </c>
      <c r="D40" s="369" t="s">
        <v>8</v>
      </c>
      <c r="E40" s="370" t="s">
        <v>569</v>
      </c>
      <c r="F40" s="369" t="s">
        <v>520</v>
      </c>
      <c r="G40" s="369" t="s">
        <v>1122</v>
      </c>
      <c r="DH40" s="372"/>
      <c r="EH40" s="372" t="s">
        <v>850</v>
      </c>
      <c r="FO40" s="375" t="s">
        <v>850</v>
      </c>
      <c r="FP40" s="376" t="s">
        <v>1120</v>
      </c>
      <c r="FQ40" s="377" t="s">
        <v>522</v>
      </c>
      <c r="FR40" s="377" t="s">
        <v>571</v>
      </c>
      <c r="FS40" s="377" t="s">
        <v>572</v>
      </c>
      <c r="FT40" s="144">
        <f t="shared" si="1"/>
        <v>0</v>
      </c>
      <c r="FU40" s="371" t="s">
        <v>913</v>
      </c>
    </row>
    <row r="41" spans="1:177" s="371" customFormat="1" hidden="1">
      <c r="A41" s="368" t="s">
        <v>526</v>
      </c>
      <c r="B41" s="369" t="s">
        <v>517</v>
      </c>
      <c r="C41" s="369" t="s">
        <v>555</v>
      </c>
      <c r="D41" s="369" t="s">
        <v>4</v>
      </c>
      <c r="E41" s="370" t="s">
        <v>569</v>
      </c>
      <c r="F41" s="369" t="s">
        <v>520</v>
      </c>
      <c r="G41" s="369" t="s">
        <v>1122</v>
      </c>
      <c r="H41" s="372" t="s">
        <v>850</v>
      </c>
      <c r="I41" s="372" t="s">
        <v>850</v>
      </c>
      <c r="J41" s="372" t="s">
        <v>850</v>
      </c>
      <c r="K41" s="372" t="s">
        <v>850</v>
      </c>
      <c r="L41" s="372" t="s">
        <v>850</v>
      </c>
      <c r="M41" s="372" t="s">
        <v>850</v>
      </c>
      <c r="N41" s="372" t="s">
        <v>850</v>
      </c>
      <c r="O41" s="372" t="s">
        <v>850</v>
      </c>
      <c r="P41" s="372" t="s">
        <v>850</v>
      </c>
      <c r="Q41" s="372" t="s">
        <v>850</v>
      </c>
      <c r="R41" s="372" t="s">
        <v>850</v>
      </c>
      <c r="S41" s="372" t="s">
        <v>850</v>
      </c>
      <c r="T41" s="372" t="s">
        <v>850</v>
      </c>
      <c r="U41" s="372" t="s">
        <v>850</v>
      </c>
      <c r="V41" s="372" t="s">
        <v>850</v>
      </c>
      <c r="W41" s="372" t="s">
        <v>850</v>
      </c>
      <c r="X41" s="372" t="s">
        <v>850</v>
      </c>
      <c r="Y41" s="372" t="s">
        <v>850</v>
      </c>
      <c r="Z41" s="372" t="s">
        <v>850</v>
      </c>
      <c r="AA41" s="372" t="s">
        <v>850</v>
      </c>
      <c r="AB41" s="372" t="s">
        <v>850</v>
      </c>
      <c r="AC41" s="372" t="s">
        <v>850</v>
      </c>
      <c r="AD41" s="372" t="s">
        <v>850</v>
      </c>
      <c r="AE41" s="372" t="s">
        <v>850</v>
      </c>
      <c r="AF41" s="372" t="s">
        <v>850</v>
      </c>
      <c r="AG41" s="372" t="s">
        <v>850</v>
      </c>
      <c r="AH41" s="372" t="s">
        <v>850</v>
      </c>
      <c r="AI41" s="372" t="s">
        <v>850</v>
      </c>
      <c r="AJ41" s="372" t="s">
        <v>850</v>
      </c>
      <c r="AK41" s="372" t="s">
        <v>850</v>
      </c>
      <c r="AL41" s="372" t="s">
        <v>850</v>
      </c>
      <c r="AM41" s="372" t="s">
        <v>850</v>
      </c>
      <c r="AN41" s="372" t="s">
        <v>850</v>
      </c>
      <c r="AO41" s="372" t="s">
        <v>850</v>
      </c>
      <c r="AP41" s="372" t="s">
        <v>850</v>
      </c>
      <c r="AQ41" s="372" t="s">
        <v>850</v>
      </c>
      <c r="AR41" s="372" t="s">
        <v>850</v>
      </c>
      <c r="AS41" s="372" t="s">
        <v>850</v>
      </c>
      <c r="AT41" s="372" t="s">
        <v>850</v>
      </c>
      <c r="AU41" s="372" t="s">
        <v>850</v>
      </c>
      <c r="AV41" s="372" t="s">
        <v>850</v>
      </c>
      <c r="AW41" s="372" t="s">
        <v>850</v>
      </c>
      <c r="AX41" s="372" t="s">
        <v>850</v>
      </c>
      <c r="AY41" s="372" t="s">
        <v>850</v>
      </c>
      <c r="AZ41" s="372" t="s">
        <v>850</v>
      </c>
      <c r="BA41" s="372" t="s">
        <v>850</v>
      </c>
      <c r="BB41" s="372" t="s">
        <v>850</v>
      </c>
      <c r="BC41" s="372" t="s">
        <v>850</v>
      </c>
      <c r="BD41" s="372" t="s">
        <v>850</v>
      </c>
      <c r="BE41" s="372" t="s">
        <v>850</v>
      </c>
      <c r="BF41" s="372" t="s">
        <v>850</v>
      </c>
      <c r="BG41" s="372" t="s">
        <v>850</v>
      </c>
      <c r="BH41" s="372" t="s">
        <v>850</v>
      </c>
      <c r="BI41" s="372" t="s">
        <v>850</v>
      </c>
      <c r="BJ41" s="372" t="s">
        <v>850</v>
      </c>
      <c r="BK41" s="372" t="s">
        <v>850</v>
      </c>
      <c r="BL41" s="372" t="s">
        <v>850</v>
      </c>
      <c r="BM41" s="372" t="s">
        <v>850</v>
      </c>
      <c r="BN41" s="372" t="s">
        <v>850</v>
      </c>
      <c r="BO41" s="372" t="s">
        <v>850</v>
      </c>
      <c r="BP41" s="372" t="s">
        <v>850</v>
      </c>
      <c r="BQ41" s="372" t="s">
        <v>850</v>
      </c>
      <c r="BR41" s="372" t="s">
        <v>850</v>
      </c>
      <c r="BS41" s="372"/>
      <c r="BT41" s="372" t="s">
        <v>850</v>
      </c>
      <c r="BU41" s="373">
        <f>100-100</f>
        <v>0</v>
      </c>
      <c r="BV41" s="372" t="s">
        <v>850</v>
      </c>
      <c r="BW41" s="373">
        <f>100-100</f>
        <v>0</v>
      </c>
      <c r="BX41" s="372" t="s">
        <v>850</v>
      </c>
      <c r="BY41" s="372" t="s">
        <v>850</v>
      </c>
      <c r="BZ41" s="372" t="s">
        <v>850</v>
      </c>
      <c r="CA41" s="373">
        <f>100-100</f>
        <v>0</v>
      </c>
      <c r="CB41" s="372" t="s">
        <v>850</v>
      </c>
      <c r="CC41" s="373">
        <f>100-100</f>
        <v>0</v>
      </c>
      <c r="CD41" s="373">
        <f>100-100</f>
        <v>0</v>
      </c>
      <c r="CE41" s="372" t="s">
        <v>850</v>
      </c>
      <c r="CG41" s="373">
        <f>200-200</f>
        <v>0</v>
      </c>
      <c r="CH41" s="372" t="s">
        <v>850</v>
      </c>
      <c r="CI41" s="373">
        <f>200-200</f>
        <v>0</v>
      </c>
      <c r="CJ41" s="373">
        <f>200-200</f>
        <v>0</v>
      </c>
      <c r="CK41" s="372" t="s">
        <v>850</v>
      </c>
      <c r="CL41" s="372" t="s">
        <v>850</v>
      </c>
      <c r="CM41" s="373">
        <f>200-200</f>
        <v>0</v>
      </c>
      <c r="CN41" s="373">
        <f>200-200</f>
        <v>0</v>
      </c>
      <c r="CO41" s="373">
        <f>200-200</f>
        <v>0</v>
      </c>
      <c r="CP41" s="373">
        <f>200-200</f>
        <v>0</v>
      </c>
      <c r="CQ41" s="372" t="s">
        <v>850</v>
      </c>
      <c r="CR41" s="372" t="s">
        <v>850</v>
      </c>
      <c r="CS41" s="373">
        <f>200-200</f>
        <v>0</v>
      </c>
      <c r="CT41" s="373">
        <f>200-200</f>
        <v>0</v>
      </c>
      <c r="CU41" s="373">
        <f>200-200</f>
        <v>0</v>
      </c>
      <c r="CV41" s="372" t="s">
        <v>850</v>
      </c>
      <c r="CW41" s="372" t="s">
        <v>850</v>
      </c>
      <c r="CX41" s="373">
        <f>200-200</f>
        <v>0</v>
      </c>
      <c r="CY41" s="372" t="s">
        <v>850</v>
      </c>
      <c r="CZ41" s="373">
        <f>200-200</f>
        <v>0</v>
      </c>
      <c r="DA41" s="373">
        <f>200-200</f>
        <v>0</v>
      </c>
      <c r="DB41" s="372" t="s">
        <v>850</v>
      </c>
      <c r="DC41" s="372" t="s">
        <v>850</v>
      </c>
      <c r="DD41" s="372" t="s">
        <v>850</v>
      </c>
      <c r="DE41" s="372" t="s">
        <v>850</v>
      </c>
      <c r="DF41" s="372" t="s">
        <v>850</v>
      </c>
      <c r="DG41" s="372" t="s">
        <v>850</v>
      </c>
      <c r="DH41" s="372"/>
      <c r="DI41" s="372" t="s">
        <v>850</v>
      </c>
      <c r="DJ41" s="372" t="s">
        <v>850</v>
      </c>
      <c r="DK41" s="372" t="s">
        <v>850</v>
      </c>
      <c r="DL41" s="372" t="s">
        <v>850</v>
      </c>
      <c r="DM41" s="372" t="s">
        <v>850</v>
      </c>
      <c r="DN41" s="372" t="s">
        <v>850</v>
      </c>
      <c r="DO41" s="373">
        <f>200-200</f>
        <v>0</v>
      </c>
      <c r="DP41" s="372" t="s">
        <v>850</v>
      </c>
      <c r="DQ41" s="372" t="s">
        <v>850</v>
      </c>
      <c r="DR41" s="372" t="s">
        <v>850</v>
      </c>
      <c r="DS41" s="372"/>
      <c r="DT41" s="372" t="s">
        <v>850</v>
      </c>
      <c r="DU41" s="372" t="s">
        <v>850</v>
      </c>
      <c r="DV41" s="373">
        <f>200-200</f>
        <v>0</v>
      </c>
      <c r="DW41" s="372" t="s">
        <v>850</v>
      </c>
      <c r="DX41" s="372" t="s">
        <v>850</v>
      </c>
      <c r="DY41" s="372" t="s">
        <v>850</v>
      </c>
      <c r="DZ41" s="373">
        <f>200-200</f>
        <v>0</v>
      </c>
      <c r="EB41" s="373">
        <f>200-200</f>
        <v>0</v>
      </c>
      <c r="ED41" s="372" t="s">
        <v>850</v>
      </c>
      <c r="EE41" s="372" t="s">
        <v>850</v>
      </c>
      <c r="EF41" s="372" t="s">
        <v>850</v>
      </c>
      <c r="EG41" s="372" t="s">
        <v>850</v>
      </c>
      <c r="EH41" s="372" t="s">
        <v>850</v>
      </c>
      <c r="EI41" s="372" t="s">
        <v>850</v>
      </c>
      <c r="EJ41" s="372" t="s">
        <v>850</v>
      </c>
      <c r="EK41" s="373">
        <f>200-200</f>
        <v>0</v>
      </c>
      <c r="EL41" s="372" t="s">
        <v>850</v>
      </c>
      <c r="EM41" s="372" t="s">
        <v>850</v>
      </c>
      <c r="EN41" s="372" t="s">
        <v>850</v>
      </c>
      <c r="EO41" s="372" t="s">
        <v>850</v>
      </c>
      <c r="EP41" s="372" t="s">
        <v>850</v>
      </c>
      <c r="EQ41" s="372" t="s">
        <v>850</v>
      </c>
      <c r="ER41" s="372" t="s">
        <v>850</v>
      </c>
      <c r="ES41" s="372" t="s">
        <v>850</v>
      </c>
      <c r="ET41" s="372" t="s">
        <v>850</v>
      </c>
      <c r="EU41" s="372" t="s">
        <v>850</v>
      </c>
      <c r="EV41" s="372" t="s">
        <v>850</v>
      </c>
      <c r="EW41" s="372" t="s">
        <v>850</v>
      </c>
      <c r="EX41" s="372" t="s">
        <v>850</v>
      </c>
      <c r="EY41" s="372" t="s">
        <v>850</v>
      </c>
      <c r="EZ41" s="372" t="s">
        <v>850</v>
      </c>
      <c r="FA41" s="372" t="s">
        <v>850</v>
      </c>
      <c r="FB41" s="372" t="s">
        <v>850</v>
      </c>
      <c r="FC41" s="372" t="s">
        <v>850</v>
      </c>
      <c r="FD41" s="372" t="s">
        <v>850</v>
      </c>
      <c r="FE41" s="372" t="s">
        <v>850</v>
      </c>
      <c r="FF41" s="372" t="s">
        <v>850</v>
      </c>
      <c r="FG41" s="372" t="s">
        <v>850</v>
      </c>
      <c r="FH41" s="372" t="s">
        <v>850</v>
      </c>
      <c r="FI41" s="372" t="s">
        <v>850</v>
      </c>
      <c r="FJ41" s="372" t="s">
        <v>850</v>
      </c>
      <c r="FK41" s="372" t="s">
        <v>850</v>
      </c>
      <c r="FL41" s="372" t="s">
        <v>850</v>
      </c>
      <c r="FM41" s="372" t="s">
        <v>850</v>
      </c>
      <c r="FN41" s="372" t="s">
        <v>850</v>
      </c>
      <c r="FO41" s="375" t="s">
        <v>850</v>
      </c>
      <c r="FP41" s="376" t="s">
        <v>1120</v>
      </c>
      <c r="FQ41" s="377" t="s">
        <v>522</v>
      </c>
      <c r="FR41" s="377" t="s">
        <v>571</v>
      </c>
      <c r="FS41" s="377" t="s">
        <v>572</v>
      </c>
      <c r="FT41" s="144">
        <f t="shared" si="1"/>
        <v>0</v>
      </c>
      <c r="FU41" s="371" t="s">
        <v>913</v>
      </c>
    </row>
    <row r="42" spans="1:177" s="371" customFormat="1" hidden="1">
      <c r="A42" s="368" t="s">
        <v>526</v>
      </c>
      <c r="B42" s="369" t="s">
        <v>517</v>
      </c>
      <c r="C42" s="369" t="s">
        <v>555</v>
      </c>
      <c r="D42" s="369" t="s">
        <v>3</v>
      </c>
      <c r="E42" s="370" t="s">
        <v>569</v>
      </c>
      <c r="F42" s="369" t="s">
        <v>520</v>
      </c>
      <c r="G42" s="369" t="s">
        <v>1123</v>
      </c>
      <c r="H42" s="372"/>
      <c r="I42" s="372"/>
      <c r="J42" s="372"/>
      <c r="K42" s="372"/>
      <c r="L42" s="372"/>
      <c r="M42" s="372"/>
      <c r="N42" s="372"/>
      <c r="O42" s="372"/>
      <c r="P42" s="372"/>
      <c r="Q42" s="372"/>
      <c r="R42" s="372"/>
      <c r="S42" s="372"/>
      <c r="T42" s="372"/>
      <c r="U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2"/>
      <c r="AQ42" s="372"/>
      <c r="AR42" s="372"/>
      <c r="AS42" s="372"/>
      <c r="AT42" s="372"/>
      <c r="AU42" s="372"/>
      <c r="AV42" s="372"/>
      <c r="AW42" s="372"/>
      <c r="AX42" s="372"/>
      <c r="AY42" s="372"/>
      <c r="AZ42" s="372"/>
      <c r="BA42" s="372"/>
      <c r="BB42" s="372"/>
      <c r="BC42" s="372"/>
      <c r="BD42" s="372"/>
      <c r="BE42" s="372"/>
      <c r="BF42" s="372"/>
      <c r="BG42" s="372"/>
      <c r="BH42" s="372"/>
      <c r="BI42" s="372"/>
      <c r="BJ42" s="372"/>
      <c r="BK42" s="372"/>
      <c r="BL42" s="372"/>
      <c r="BM42" s="372"/>
      <c r="BN42" s="372"/>
      <c r="BO42" s="372"/>
      <c r="BP42" s="372"/>
      <c r="BQ42" s="372"/>
      <c r="BR42" s="372"/>
      <c r="BS42" s="372"/>
      <c r="BT42" s="372"/>
      <c r="BU42" s="372"/>
      <c r="BV42" s="372"/>
      <c r="BW42" s="372"/>
      <c r="BX42" s="372"/>
      <c r="BY42" s="372"/>
      <c r="BZ42" s="372"/>
      <c r="CA42" s="372"/>
      <c r="CB42" s="372"/>
      <c r="CC42" s="372"/>
      <c r="CD42" s="372"/>
      <c r="CE42" s="372"/>
      <c r="CG42" s="372"/>
      <c r="CH42" s="372"/>
      <c r="CI42" s="372"/>
      <c r="CJ42" s="372"/>
      <c r="CK42" s="372"/>
      <c r="CL42" s="372"/>
      <c r="CM42" s="372"/>
      <c r="CN42" s="372"/>
      <c r="CO42" s="372"/>
      <c r="CP42" s="372"/>
      <c r="CQ42" s="372"/>
      <c r="CR42" s="372"/>
      <c r="CS42" s="372"/>
      <c r="CT42" s="372"/>
      <c r="CU42" s="372"/>
      <c r="CV42" s="372"/>
      <c r="CW42" s="372"/>
      <c r="CX42" s="372"/>
      <c r="CY42" s="372"/>
      <c r="CZ42" s="372"/>
      <c r="DA42" s="372"/>
      <c r="DB42" s="372"/>
      <c r="DC42" s="372"/>
      <c r="DD42" s="372"/>
      <c r="DE42" s="372"/>
      <c r="DF42" s="372"/>
      <c r="DG42" s="372"/>
      <c r="DH42" s="372"/>
      <c r="DI42" s="372"/>
      <c r="DJ42" s="372"/>
      <c r="DK42" s="372"/>
      <c r="DL42" s="372"/>
      <c r="DM42" s="372"/>
      <c r="DN42" s="372"/>
      <c r="DO42" s="372"/>
      <c r="DP42" s="372"/>
      <c r="DQ42" s="372"/>
      <c r="DR42" s="372"/>
      <c r="DS42" s="372"/>
      <c r="DT42" s="372"/>
      <c r="DU42" s="372"/>
      <c r="DV42" s="372"/>
      <c r="DW42" s="372"/>
      <c r="DX42" s="372"/>
      <c r="DY42" s="372"/>
      <c r="DZ42" s="372"/>
      <c r="EB42" s="372"/>
      <c r="ED42" s="372"/>
      <c r="EE42" s="372"/>
      <c r="EF42" s="372"/>
      <c r="EG42" s="372"/>
      <c r="EH42" s="372" t="s">
        <v>850</v>
      </c>
      <c r="EI42" s="372"/>
      <c r="EJ42" s="372"/>
      <c r="EK42" s="372"/>
      <c r="EL42" s="372"/>
      <c r="EM42" s="372"/>
      <c r="EN42" s="372"/>
      <c r="EO42" s="372"/>
      <c r="EP42" s="372"/>
      <c r="EQ42" s="372"/>
      <c r="ER42" s="372"/>
      <c r="ES42" s="372"/>
      <c r="ET42" s="372"/>
      <c r="EU42" s="372"/>
      <c r="EV42" s="372"/>
      <c r="EW42" s="372"/>
      <c r="EX42" s="372"/>
      <c r="EY42" s="372"/>
      <c r="EZ42" s="372"/>
      <c r="FA42" s="372"/>
      <c r="FB42" s="372"/>
      <c r="FC42" s="372"/>
      <c r="FD42" s="372"/>
      <c r="FE42" s="372"/>
      <c r="FF42" s="372"/>
      <c r="FG42" s="372"/>
      <c r="FH42" s="372"/>
      <c r="FI42" s="372"/>
      <c r="FJ42" s="372"/>
      <c r="FK42" s="372"/>
      <c r="FL42" s="372"/>
      <c r="FM42" s="372"/>
      <c r="FN42" s="372"/>
      <c r="FO42" s="375" t="s">
        <v>850</v>
      </c>
      <c r="FP42" s="376" t="s">
        <v>1120</v>
      </c>
      <c r="FQ42" s="377" t="s">
        <v>522</v>
      </c>
      <c r="FR42" s="377" t="s">
        <v>571</v>
      </c>
      <c r="FS42" s="377" t="s">
        <v>572</v>
      </c>
      <c r="FT42" s="144">
        <f t="shared" si="1"/>
        <v>0</v>
      </c>
      <c r="FU42" s="371" t="s">
        <v>913</v>
      </c>
    </row>
    <row r="43" spans="1:177" s="371" customFormat="1" hidden="1">
      <c r="A43" s="368" t="s">
        <v>540</v>
      </c>
      <c r="B43" s="369" t="s">
        <v>517</v>
      </c>
      <c r="C43" s="369" t="s">
        <v>555</v>
      </c>
      <c r="D43" s="369" t="s">
        <v>8</v>
      </c>
      <c r="E43" s="370" t="s">
        <v>574</v>
      </c>
      <c r="F43" s="369" t="s">
        <v>520</v>
      </c>
      <c r="G43" s="369" t="s">
        <v>1124</v>
      </c>
      <c r="BS43" s="372"/>
      <c r="DH43" s="372"/>
      <c r="EH43" s="372" t="s">
        <v>850</v>
      </c>
      <c r="FO43" s="375" t="s">
        <v>850</v>
      </c>
      <c r="FP43" s="376" t="s">
        <v>1120</v>
      </c>
      <c r="FQ43" s="377" t="s">
        <v>522</v>
      </c>
      <c r="FR43" s="377" t="s">
        <v>850</v>
      </c>
      <c r="FS43" s="377" t="s">
        <v>981</v>
      </c>
      <c r="FT43" s="144">
        <f t="shared" si="1"/>
        <v>0</v>
      </c>
      <c r="FU43" s="371" t="s">
        <v>905</v>
      </c>
    </row>
    <row r="44" spans="1:177" s="371" customFormat="1" hidden="1">
      <c r="A44" s="368" t="s">
        <v>540</v>
      </c>
      <c r="B44" s="369" t="s">
        <v>517</v>
      </c>
      <c r="C44" s="369" t="s">
        <v>555</v>
      </c>
      <c r="D44" s="369" t="s">
        <v>4</v>
      </c>
      <c r="E44" s="370" t="s">
        <v>574</v>
      </c>
      <c r="F44" s="369" t="s">
        <v>520</v>
      </c>
      <c r="G44" s="369" t="s">
        <v>1124</v>
      </c>
      <c r="H44" s="372" t="s">
        <v>850</v>
      </c>
      <c r="I44" s="372" t="s">
        <v>850</v>
      </c>
      <c r="J44" s="372" t="s">
        <v>850</v>
      </c>
      <c r="K44" s="372" t="s">
        <v>850</v>
      </c>
      <c r="L44" s="372" t="s">
        <v>850</v>
      </c>
      <c r="M44" s="372" t="s">
        <v>850</v>
      </c>
      <c r="N44" s="372" t="s">
        <v>850</v>
      </c>
      <c r="O44" s="372" t="s">
        <v>850</v>
      </c>
      <c r="P44" s="372" t="s">
        <v>850</v>
      </c>
      <c r="Q44" s="372" t="s">
        <v>850</v>
      </c>
      <c r="R44" s="372" t="s">
        <v>850</v>
      </c>
      <c r="S44" s="372" t="s">
        <v>850</v>
      </c>
      <c r="T44" s="372" t="s">
        <v>850</v>
      </c>
      <c r="U44" s="372" t="s">
        <v>850</v>
      </c>
      <c r="V44" s="372" t="s">
        <v>850</v>
      </c>
      <c r="W44" s="372" t="s">
        <v>850</v>
      </c>
      <c r="X44" s="372" t="s">
        <v>850</v>
      </c>
      <c r="Y44" s="372" t="s">
        <v>850</v>
      </c>
      <c r="Z44" s="372" t="s">
        <v>850</v>
      </c>
      <c r="AA44" s="372" t="s">
        <v>850</v>
      </c>
      <c r="AB44" s="372" t="s">
        <v>850</v>
      </c>
      <c r="AC44" s="372" t="s">
        <v>850</v>
      </c>
      <c r="AD44" s="372" t="s">
        <v>850</v>
      </c>
      <c r="AE44" s="372" t="s">
        <v>850</v>
      </c>
      <c r="AF44" s="372" t="s">
        <v>850</v>
      </c>
      <c r="AG44" s="372" t="s">
        <v>850</v>
      </c>
      <c r="AH44" s="372" t="s">
        <v>850</v>
      </c>
      <c r="AI44" s="372" t="s">
        <v>850</v>
      </c>
      <c r="AJ44" s="372" t="s">
        <v>850</v>
      </c>
      <c r="AK44" s="372" t="s">
        <v>850</v>
      </c>
      <c r="AL44" s="372" t="s">
        <v>850</v>
      </c>
      <c r="AM44" s="372" t="s">
        <v>850</v>
      </c>
      <c r="AN44" s="372" t="s">
        <v>850</v>
      </c>
      <c r="AO44" s="372" t="s">
        <v>850</v>
      </c>
      <c r="AP44" s="372" t="s">
        <v>850</v>
      </c>
      <c r="AQ44" s="372" t="s">
        <v>850</v>
      </c>
      <c r="AR44" s="372" t="s">
        <v>850</v>
      </c>
      <c r="AS44" s="372" t="s">
        <v>850</v>
      </c>
      <c r="AT44" s="372" t="s">
        <v>850</v>
      </c>
      <c r="AU44" s="372" t="s">
        <v>850</v>
      </c>
      <c r="AV44" s="372" t="s">
        <v>850</v>
      </c>
      <c r="AW44" s="372" t="s">
        <v>850</v>
      </c>
      <c r="AX44" s="372" t="s">
        <v>850</v>
      </c>
      <c r="AY44" s="372" t="s">
        <v>850</v>
      </c>
      <c r="AZ44" s="372" t="s">
        <v>850</v>
      </c>
      <c r="BA44" s="372" t="s">
        <v>850</v>
      </c>
      <c r="BB44" s="372" t="s">
        <v>850</v>
      </c>
      <c r="BC44" s="372" t="s">
        <v>850</v>
      </c>
      <c r="BD44" s="372" t="s">
        <v>850</v>
      </c>
      <c r="BE44" s="372" t="s">
        <v>850</v>
      </c>
      <c r="BF44" s="372" t="s">
        <v>850</v>
      </c>
      <c r="BG44" s="372" t="s">
        <v>850</v>
      </c>
      <c r="BH44" s="372" t="s">
        <v>850</v>
      </c>
      <c r="BI44" s="372" t="s">
        <v>850</v>
      </c>
      <c r="BJ44" s="372" t="s">
        <v>850</v>
      </c>
      <c r="BK44" s="372" t="s">
        <v>850</v>
      </c>
      <c r="BL44" s="372" t="s">
        <v>850</v>
      </c>
      <c r="BM44" s="372" t="s">
        <v>850</v>
      </c>
      <c r="BN44" s="372" t="s">
        <v>850</v>
      </c>
      <c r="BO44" s="372" t="s">
        <v>850</v>
      </c>
      <c r="BP44" s="372" t="s">
        <v>850</v>
      </c>
      <c r="BQ44" s="372" t="s">
        <v>850</v>
      </c>
      <c r="BR44" s="372" t="s">
        <v>850</v>
      </c>
      <c r="BS44" s="372"/>
      <c r="BT44" s="372" t="s">
        <v>850</v>
      </c>
      <c r="BU44" s="372" t="s">
        <v>850</v>
      </c>
      <c r="BV44" s="372" t="s">
        <v>850</v>
      </c>
      <c r="BW44" s="372" t="s">
        <v>850</v>
      </c>
      <c r="BX44" s="373">
        <f>10-10</f>
        <v>0</v>
      </c>
      <c r="BY44" s="372" t="s">
        <v>850</v>
      </c>
      <c r="BZ44" s="372" t="s">
        <v>850</v>
      </c>
      <c r="CA44" s="373">
        <f>20-20</f>
        <v>0</v>
      </c>
      <c r="CB44" s="372" t="s">
        <v>850</v>
      </c>
      <c r="CC44" s="372" t="s">
        <v>850</v>
      </c>
      <c r="CD44" s="372" t="s">
        <v>850</v>
      </c>
      <c r="CE44" s="372" t="s">
        <v>850</v>
      </c>
      <c r="CG44" s="372" t="s">
        <v>850</v>
      </c>
      <c r="CH44" s="372" t="s">
        <v>850</v>
      </c>
      <c r="CI44" s="372" t="s">
        <v>850</v>
      </c>
      <c r="CJ44" s="372" t="s">
        <v>850</v>
      </c>
      <c r="CK44" s="372" t="s">
        <v>850</v>
      </c>
      <c r="CL44" s="372" t="s">
        <v>850</v>
      </c>
      <c r="CM44" s="373">
        <f>20-20</f>
        <v>0</v>
      </c>
      <c r="CN44" s="372" t="s">
        <v>850</v>
      </c>
      <c r="CO44" s="373">
        <f>30-30</f>
        <v>0</v>
      </c>
      <c r="CP44" s="372" t="s">
        <v>850</v>
      </c>
      <c r="CQ44" s="372" t="s">
        <v>850</v>
      </c>
      <c r="CR44" s="372" t="s">
        <v>850</v>
      </c>
      <c r="CS44" s="372" t="s">
        <v>850</v>
      </c>
      <c r="CT44" s="372" t="s">
        <v>850</v>
      </c>
      <c r="CU44" s="372" t="s">
        <v>850</v>
      </c>
      <c r="CV44" s="372" t="s">
        <v>850</v>
      </c>
      <c r="CW44" s="373">
        <f>20-20</f>
        <v>0</v>
      </c>
      <c r="CX44" s="372" t="s">
        <v>850</v>
      </c>
      <c r="CY44" s="372" t="s">
        <v>850</v>
      </c>
      <c r="CZ44" s="372" t="s">
        <v>850</v>
      </c>
      <c r="DA44" s="372" t="s">
        <v>850</v>
      </c>
      <c r="DB44" s="372" t="s">
        <v>850</v>
      </c>
      <c r="DC44" s="372" t="s">
        <v>850</v>
      </c>
      <c r="DD44" s="372" t="s">
        <v>850</v>
      </c>
      <c r="DE44" s="372" t="s">
        <v>850</v>
      </c>
      <c r="DF44" s="372" t="s">
        <v>850</v>
      </c>
      <c r="DG44" s="372" t="s">
        <v>850</v>
      </c>
      <c r="DH44" s="372"/>
      <c r="DI44" s="372" t="s">
        <v>850</v>
      </c>
      <c r="DJ44" s="372" t="s">
        <v>850</v>
      </c>
      <c r="DK44" s="372" t="s">
        <v>850</v>
      </c>
      <c r="DL44" s="372" t="s">
        <v>850</v>
      </c>
      <c r="DM44" s="372" t="s">
        <v>850</v>
      </c>
      <c r="DN44" s="372" t="s">
        <v>850</v>
      </c>
      <c r="DO44" s="372" t="s">
        <v>850</v>
      </c>
      <c r="DP44" s="372" t="s">
        <v>850</v>
      </c>
      <c r="DQ44" s="372" t="s">
        <v>850</v>
      </c>
      <c r="DR44" s="372" t="s">
        <v>850</v>
      </c>
      <c r="DS44" s="372"/>
      <c r="DT44" s="372" t="s">
        <v>850</v>
      </c>
      <c r="DU44" s="372" t="s">
        <v>850</v>
      </c>
      <c r="DV44" s="372" t="s">
        <v>850</v>
      </c>
      <c r="DW44" s="373">
        <f>60-60</f>
        <v>0</v>
      </c>
      <c r="DX44" s="372" t="s">
        <v>850</v>
      </c>
      <c r="DY44" s="372" t="s">
        <v>850</v>
      </c>
      <c r="DZ44" s="372" t="s">
        <v>850</v>
      </c>
      <c r="EB44" s="372" t="s">
        <v>850</v>
      </c>
      <c r="ED44" s="372" t="s">
        <v>850</v>
      </c>
      <c r="EE44" s="372" t="s">
        <v>850</v>
      </c>
      <c r="EF44" s="372" t="s">
        <v>850</v>
      </c>
      <c r="EG44" s="372" t="s">
        <v>850</v>
      </c>
      <c r="EH44" s="372" t="s">
        <v>850</v>
      </c>
      <c r="EI44" s="372" t="s">
        <v>850</v>
      </c>
      <c r="EJ44" s="372" t="s">
        <v>850</v>
      </c>
      <c r="EK44" s="372" t="s">
        <v>850</v>
      </c>
      <c r="EL44" s="372" t="s">
        <v>850</v>
      </c>
      <c r="EM44" s="372" t="s">
        <v>850</v>
      </c>
      <c r="EN44" s="372" t="s">
        <v>850</v>
      </c>
      <c r="EO44" s="372" t="s">
        <v>850</v>
      </c>
      <c r="EP44" s="372" t="s">
        <v>850</v>
      </c>
      <c r="EQ44" s="372" t="s">
        <v>850</v>
      </c>
      <c r="ER44" s="372" t="s">
        <v>850</v>
      </c>
      <c r="ES44" s="372" t="s">
        <v>850</v>
      </c>
      <c r="ET44" s="372" t="s">
        <v>850</v>
      </c>
      <c r="EU44" s="372" t="s">
        <v>850</v>
      </c>
      <c r="EV44" s="372" t="s">
        <v>850</v>
      </c>
      <c r="EW44" s="372" t="s">
        <v>850</v>
      </c>
      <c r="EX44" s="372" t="s">
        <v>850</v>
      </c>
      <c r="EY44" s="372" t="s">
        <v>850</v>
      </c>
      <c r="EZ44" s="372" t="s">
        <v>850</v>
      </c>
      <c r="FA44" s="372" t="s">
        <v>850</v>
      </c>
      <c r="FB44" s="372" t="s">
        <v>850</v>
      </c>
      <c r="FC44" s="372" t="s">
        <v>850</v>
      </c>
      <c r="FD44" s="372" t="s">
        <v>850</v>
      </c>
      <c r="FE44" s="372" t="s">
        <v>850</v>
      </c>
      <c r="FF44" s="372" t="s">
        <v>850</v>
      </c>
      <c r="FG44" s="372" t="s">
        <v>850</v>
      </c>
      <c r="FH44" s="372" t="s">
        <v>850</v>
      </c>
      <c r="FI44" s="372" t="s">
        <v>850</v>
      </c>
      <c r="FJ44" s="372" t="s">
        <v>850</v>
      </c>
      <c r="FK44" s="372" t="s">
        <v>850</v>
      </c>
      <c r="FL44" s="372" t="s">
        <v>850</v>
      </c>
      <c r="FM44" s="372" t="s">
        <v>850</v>
      </c>
      <c r="FN44" s="372" t="s">
        <v>850</v>
      </c>
      <c r="FO44" s="375" t="s">
        <v>850</v>
      </c>
      <c r="FP44" s="376" t="s">
        <v>1120</v>
      </c>
      <c r="FQ44" s="377" t="s">
        <v>522</v>
      </c>
      <c r="FR44" s="377" t="s">
        <v>850</v>
      </c>
      <c r="FS44" s="377" t="s">
        <v>981</v>
      </c>
      <c r="FT44" s="144">
        <f t="shared" si="1"/>
        <v>0</v>
      </c>
      <c r="FU44" s="371" t="s">
        <v>905</v>
      </c>
    </row>
    <row r="45" spans="1:177" s="371" customFormat="1" hidden="1">
      <c r="A45" s="368" t="s">
        <v>540</v>
      </c>
      <c r="B45" s="369" t="s">
        <v>517</v>
      </c>
      <c r="C45" s="369" t="s">
        <v>555</v>
      </c>
      <c r="D45" s="369" t="s">
        <v>3</v>
      </c>
      <c r="E45" s="370" t="s">
        <v>574</v>
      </c>
      <c r="F45" s="369" t="s">
        <v>520</v>
      </c>
      <c r="G45" s="369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2"/>
      <c r="AQ45" s="372"/>
      <c r="AR45" s="372"/>
      <c r="AS45" s="372"/>
      <c r="AT45" s="372"/>
      <c r="AU45" s="372"/>
      <c r="AV45" s="372"/>
      <c r="AW45" s="372"/>
      <c r="AX45" s="372"/>
      <c r="AY45" s="372"/>
      <c r="AZ45" s="372"/>
      <c r="BA45" s="372"/>
      <c r="BB45" s="372"/>
      <c r="BC45" s="372"/>
      <c r="BD45" s="372"/>
      <c r="BE45" s="372"/>
      <c r="BF45" s="372"/>
      <c r="BG45" s="372"/>
      <c r="BH45" s="372"/>
      <c r="BI45" s="372"/>
      <c r="BJ45" s="372"/>
      <c r="BK45" s="372"/>
      <c r="BL45" s="372"/>
      <c r="BM45" s="372"/>
      <c r="BN45" s="372"/>
      <c r="BO45" s="372"/>
      <c r="BP45" s="372"/>
      <c r="BQ45" s="372"/>
      <c r="BR45" s="372"/>
      <c r="BS45" s="372"/>
      <c r="BT45" s="372"/>
      <c r="BU45" s="372"/>
      <c r="BV45" s="372"/>
      <c r="BW45" s="372"/>
      <c r="BX45" s="372"/>
      <c r="BY45" s="372"/>
      <c r="BZ45" s="372"/>
      <c r="CA45" s="372"/>
      <c r="CB45" s="372"/>
      <c r="CC45" s="372"/>
      <c r="CD45" s="372"/>
      <c r="CE45" s="372"/>
      <c r="CG45" s="372"/>
      <c r="CH45" s="372"/>
      <c r="CI45" s="372"/>
      <c r="CJ45" s="372"/>
      <c r="CK45" s="372"/>
      <c r="CL45" s="372"/>
      <c r="CM45" s="372"/>
      <c r="CN45" s="372"/>
      <c r="CO45" s="372"/>
      <c r="CP45" s="372"/>
      <c r="CQ45" s="372"/>
      <c r="CR45" s="372"/>
      <c r="CS45" s="372"/>
      <c r="CT45" s="372"/>
      <c r="CU45" s="372"/>
      <c r="CV45" s="372"/>
      <c r="CW45" s="372"/>
      <c r="CX45" s="372"/>
      <c r="CY45" s="372"/>
      <c r="CZ45" s="372"/>
      <c r="DA45" s="372"/>
      <c r="DB45" s="372"/>
      <c r="DC45" s="372"/>
      <c r="DD45" s="372"/>
      <c r="DE45" s="372"/>
      <c r="DF45" s="372"/>
      <c r="DG45" s="372"/>
      <c r="DH45" s="372"/>
      <c r="DI45" s="372"/>
      <c r="DJ45" s="372"/>
      <c r="DK45" s="372"/>
      <c r="DL45" s="372"/>
      <c r="DM45" s="372"/>
      <c r="DN45" s="372"/>
      <c r="DO45" s="372"/>
      <c r="DP45" s="372"/>
      <c r="DQ45" s="372"/>
      <c r="DR45" s="372"/>
      <c r="DS45" s="372"/>
      <c r="DT45" s="372"/>
      <c r="DU45" s="372"/>
      <c r="DV45" s="372"/>
      <c r="DW45" s="372"/>
      <c r="DX45" s="372"/>
      <c r="DY45" s="372"/>
      <c r="DZ45" s="372"/>
      <c r="EB45" s="372"/>
      <c r="ED45" s="372"/>
      <c r="EE45" s="372"/>
      <c r="EF45" s="372"/>
      <c r="EG45" s="372"/>
      <c r="EH45" s="372" t="s">
        <v>850</v>
      </c>
      <c r="EI45" s="372"/>
      <c r="EJ45" s="372"/>
      <c r="EK45" s="372"/>
      <c r="EL45" s="372"/>
      <c r="EM45" s="372"/>
      <c r="EN45" s="372"/>
      <c r="EO45" s="372"/>
      <c r="EP45" s="372"/>
      <c r="EQ45" s="372"/>
      <c r="ER45" s="372"/>
      <c r="ES45" s="372"/>
      <c r="ET45" s="372"/>
      <c r="EU45" s="372"/>
      <c r="EV45" s="372"/>
      <c r="EW45" s="372"/>
      <c r="EX45" s="372"/>
      <c r="EY45" s="372"/>
      <c r="EZ45" s="372"/>
      <c r="FA45" s="372"/>
      <c r="FB45" s="372"/>
      <c r="FC45" s="372"/>
      <c r="FD45" s="372"/>
      <c r="FE45" s="372"/>
      <c r="FF45" s="372"/>
      <c r="FG45" s="372"/>
      <c r="FH45" s="372"/>
      <c r="FI45" s="372"/>
      <c r="FJ45" s="372"/>
      <c r="FK45" s="372"/>
      <c r="FL45" s="372"/>
      <c r="FM45" s="372"/>
      <c r="FN45" s="372"/>
      <c r="FO45" s="375" t="s">
        <v>850</v>
      </c>
      <c r="FP45" s="376" t="s">
        <v>1120</v>
      </c>
      <c r="FQ45" s="377" t="s">
        <v>522</v>
      </c>
      <c r="FR45" s="377" t="s">
        <v>850</v>
      </c>
      <c r="FS45" s="377" t="s">
        <v>981</v>
      </c>
      <c r="FT45" s="144">
        <f t="shared" si="1"/>
        <v>0</v>
      </c>
      <c r="FU45" s="371" t="s">
        <v>905</v>
      </c>
    </row>
    <row r="46" spans="1:177" s="371" customFormat="1" hidden="1">
      <c r="A46" s="368" t="s">
        <v>526</v>
      </c>
      <c r="B46" s="369" t="s">
        <v>517</v>
      </c>
      <c r="C46" s="369" t="s">
        <v>555</v>
      </c>
      <c r="D46" s="369" t="s">
        <v>8</v>
      </c>
      <c r="E46" s="370" t="s">
        <v>1125</v>
      </c>
      <c r="F46" s="369" t="s">
        <v>520</v>
      </c>
      <c r="G46" s="369" t="s">
        <v>1126</v>
      </c>
      <c r="BS46" s="372"/>
      <c r="DH46" s="372"/>
      <c r="EH46" s="372" t="s">
        <v>850</v>
      </c>
      <c r="FO46" s="375" t="s">
        <v>850</v>
      </c>
      <c r="FP46" s="376" t="s">
        <v>1120</v>
      </c>
      <c r="FQ46" s="377" t="s">
        <v>522</v>
      </c>
      <c r="FR46" s="377" t="s">
        <v>711</v>
      </c>
      <c r="FS46" s="377" t="s">
        <v>577</v>
      </c>
      <c r="FT46" s="144">
        <f t="shared" si="1"/>
        <v>0</v>
      </c>
      <c r="FU46" s="371" t="s">
        <v>913</v>
      </c>
    </row>
    <row r="47" spans="1:177" s="371" customFormat="1" hidden="1">
      <c r="A47" s="368" t="s">
        <v>526</v>
      </c>
      <c r="B47" s="369" t="s">
        <v>517</v>
      </c>
      <c r="C47" s="369" t="s">
        <v>555</v>
      </c>
      <c r="D47" s="369" t="s">
        <v>4</v>
      </c>
      <c r="E47" s="370" t="s">
        <v>1125</v>
      </c>
      <c r="F47" s="369" t="s">
        <v>520</v>
      </c>
      <c r="G47" s="369" t="s">
        <v>1126</v>
      </c>
      <c r="H47" s="372" t="s">
        <v>850</v>
      </c>
      <c r="I47" s="372" t="s">
        <v>850</v>
      </c>
      <c r="J47" s="372" t="s">
        <v>850</v>
      </c>
      <c r="K47" s="372" t="s">
        <v>850</v>
      </c>
      <c r="L47" s="373">
        <f>10-10</f>
        <v>0</v>
      </c>
      <c r="M47" s="372" t="s">
        <v>850</v>
      </c>
      <c r="N47" s="372" t="s">
        <v>850</v>
      </c>
      <c r="O47" s="372" t="s">
        <v>850</v>
      </c>
      <c r="P47" s="372" t="s">
        <v>850</v>
      </c>
      <c r="Q47" s="372" t="s">
        <v>850</v>
      </c>
      <c r="R47" s="372" t="s">
        <v>850</v>
      </c>
      <c r="S47" s="372" t="s">
        <v>850</v>
      </c>
      <c r="T47" s="372" t="s">
        <v>850</v>
      </c>
      <c r="U47" s="372" t="s">
        <v>850</v>
      </c>
      <c r="V47" s="372" t="s">
        <v>850</v>
      </c>
      <c r="W47" s="372" t="s">
        <v>850</v>
      </c>
      <c r="X47" s="372" t="s">
        <v>850</v>
      </c>
      <c r="Y47" s="373">
        <f>20-20</f>
        <v>0</v>
      </c>
      <c r="Z47" s="373">
        <f>20-20</f>
        <v>0</v>
      </c>
      <c r="AA47" s="372" t="s">
        <v>850</v>
      </c>
      <c r="AB47" s="372" t="s">
        <v>850</v>
      </c>
      <c r="AC47" s="372" t="s">
        <v>850</v>
      </c>
      <c r="AD47" s="372" t="s">
        <v>850</v>
      </c>
      <c r="AE47" s="372" t="s">
        <v>850</v>
      </c>
      <c r="AF47" s="372" t="s">
        <v>850</v>
      </c>
      <c r="AG47" s="372" t="s">
        <v>850</v>
      </c>
      <c r="AH47" s="372" t="s">
        <v>850</v>
      </c>
      <c r="AI47" s="372" t="s">
        <v>850</v>
      </c>
      <c r="AJ47" s="372" t="s">
        <v>850</v>
      </c>
      <c r="AK47" s="372" t="s">
        <v>850</v>
      </c>
      <c r="AL47" s="373">
        <f>50-50</f>
        <v>0</v>
      </c>
      <c r="AM47" s="372" t="s">
        <v>850</v>
      </c>
      <c r="AN47" s="372" t="s">
        <v>850</v>
      </c>
      <c r="AO47" s="372" t="s">
        <v>850</v>
      </c>
      <c r="AP47" s="372" t="s">
        <v>850</v>
      </c>
      <c r="AQ47" s="372" t="s">
        <v>850</v>
      </c>
      <c r="AR47" s="372" t="s">
        <v>850</v>
      </c>
      <c r="AS47" s="372" t="s">
        <v>850</v>
      </c>
      <c r="AT47" s="373">
        <f>5-5</f>
        <v>0</v>
      </c>
      <c r="AU47" s="373">
        <f>5-5</f>
        <v>0</v>
      </c>
      <c r="AV47" s="372" t="s">
        <v>850</v>
      </c>
      <c r="AW47" s="372" t="s">
        <v>850</v>
      </c>
      <c r="AX47" s="372" t="s">
        <v>850</v>
      </c>
      <c r="AY47" s="372" t="s">
        <v>850</v>
      </c>
      <c r="AZ47" s="372" t="s">
        <v>850</v>
      </c>
      <c r="BA47" s="372" t="s">
        <v>850</v>
      </c>
      <c r="BB47" s="372" t="s">
        <v>850</v>
      </c>
      <c r="BC47" s="372" t="s">
        <v>850</v>
      </c>
      <c r="BD47" s="372" t="s">
        <v>850</v>
      </c>
      <c r="BE47" s="373">
        <f>5-5</f>
        <v>0</v>
      </c>
      <c r="BF47" s="373">
        <f>5-5</f>
        <v>0</v>
      </c>
      <c r="BG47" s="373">
        <f>10-10</f>
        <v>0</v>
      </c>
      <c r="BH47" s="372" t="s">
        <v>850</v>
      </c>
      <c r="BI47" s="372" t="s">
        <v>850</v>
      </c>
      <c r="BJ47" s="372" t="s">
        <v>850</v>
      </c>
      <c r="BK47" s="372" t="s">
        <v>850</v>
      </c>
      <c r="BL47" s="372" t="s">
        <v>850</v>
      </c>
      <c r="BM47" s="372" t="s">
        <v>850</v>
      </c>
      <c r="BN47" s="372" t="s">
        <v>850</v>
      </c>
      <c r="BO47" s="372" t="s">
        <v>850</v>
      </c>
      <c r="BP47" s="372" t="s">
        <v>850</v>
      </c>
      <c r="BQ47" s="372" t="s">
        <v>850</v>
      </c>
      <c r="BR47" s="372" t="s">
        <v>850</v>
      </c>
      <c r="BS47" s="372"/>
      <c r="BT47" s="372" t="s">
        <v>850</v>
      </c>
      <c r="BU47" s="373">
        <f>10-10</f>
        <v>0</v>
      </c>
      <c r="BV47" s="373">
        <f>10-10</f>
        <v>0</v>
      </c>
      <c r="BW47" s="372" t="s">
        <v>850</v>
      </c>
      <c r="BX47" s="372" t="s">
        <v>850</v>
      </c>
      <c r="BY47" s="372" t="s">
        <v>850</v>
      </c>
      <c r="BZ47" s="373">
        <f>10-10</f>
        <v>0</v>
      </c>
      <c r="CA47" s="373">
        <f>10-10</f>
        <v>0</v>
      </c>
      <c r="CB47" s="373">
        <f>5-5</f>
        <v>0</v>
      </c>
      <c r="CC47" s="372" t="s">
        <v>850</v>
      </c>
      <c r="CD47" s="373">
        <f>10-10</f>
        <v>0</v>
      </c>
      <c r="CE47" s="372" t="s">
        <v>850</v>
      </c>
      <c r="CG47" s="373">
        <f>10-10</f>
        <v>0</v>
      </c>
      <c r="CH47" s="373">
        <f>10-10</f>
        <v>0</v>
      </c>
      <c r="CI47" s="372" t="s">
        <v>850</v>
      </c>
      <c r="CJ47" s="373">
        <f>10-10</f>
        <v>0</v>
      </c>
      <c r="CK47" s="372" t="s">
        <v>850</v>
      </c>
      <c r="CL47" s="372" t="s">
        <v>850</v>
      </c>
      <c r="CM47" s="373">
        <f>10-10</f>
        <v>0</v>
      </c>
      <c r="CN47" s="373">
        <f>20-20</f>
        <v>0</v>
      </c>
      <c r="CO47" s="372" t="s">
        <v>850</v>
      </c>
      <c r="CP47" s="373">
        <f>20-20</f>
        <v>0</v>
      </c>
      <c r="CQ47" s="372" t="s">
        <v>850</v>
      </c>
      <c r="CR47" s="372" t="s">
        <v>850</v>
      </c>
      <c r="CS47" s="372" t="s">
        <v>850</v>
      </c>
      <c r="CT47" s="372" t="s">
        <v>850</v>
      </c>
      <c r="CU47" s="372" t="s">
        <v>850</v>
      </c>
      <c r="CV47" s="372" t="s">
        <v>850</v>
      </c>
      <c r="CW47" s="373">
        <f>20-20</f>
        <v>0</v>
      </c>
      <c r="CX47" s="373">
        <f>20-20</f>
        <v>0</v>
      </c>
      <c r="CY47" s="373">
        <f>20-20</f>
        <v>0</v>
      </c>
      <c r="CZ47" s="373">
        <f>20-20</f>
        <v>0</v>
      </c>
      <c r="DA47" s="373">
        <f>10-10</f>
        <v>0</v>
      </c>
      <c r="DB47" s="372" t="s">
        <v>850</v>
      </c>
      <c r="DC47" s="372" t="s">
        <v>850</v>
      </c>
      <c r="DD47" s="372" t="s">
        <v>850</v>
      </c>
      <c r="DE47" s="372" t="s">
        <v>850</v>
      </c>
      <c r="DF47" s="372" t="s">
        <v>850</v>
      </c>
      <c r="DG47" s="372" t="s">
        <v>850</v>
      </c>
      <c r="DH47" s="372"/>
      <c r="DI47" s="372" t="s">
        <v>850</v>
      </c>
      <c r="DJ47" s="372" t="s">
        <v>850</v>
      </c>
      <c r="DK47" s="372" t="s">
        <v>850</v>
      </c>
      <c r="DL47" s="372" t="s">
        <v>850</v>
      </c>
      <c r="DM47" s="372" t="s">
        <v>850</v>
      </c>
      <c r="DN47" s="372" t="s">
        <v>850</v>
      </c>
      <c r="DO47" s="373">
        <f>20-20</f>
        <v>0</v>
      </c>
      <c r="DP47" s="372" t="s">
        <v>850</v>
      </c>
      <c r="DQ47" s="373">
        <f>20-20</f>
        <v>0</v>
      </c>
      <c r="DR47" s="372" t="s">
        <v>850</v>
      </c>
      <c r="DS47" s="372"/>
      <c r="DT47" s="372" t="s">
        <v>850</v>
      </c>
      <c r="DU47" s="372" t="s">
        <v>850</v>
      </c>
      <c r="DV47" s="373">
        <f>50-50</f>
        <v>0</v>
      </c>
      <c r="DW47" s="373">
        <f>50-50</f>
        <v>0</v>
      </c>
      <c r="DX47" s="372" t="s">
        <v>850</v>
      </c>
      <c r="DY47" s="372" t="s">
        <v>850</v>
      </c>
      <c r="DZ47" s="373">
        <f>20-20</f>
        <v>0</v>
      </c>
      <c r="EB47" s="373">
        <f>20-20</f>
        <v>0</v>
      </c>
      <c r="ED47" s="373">
        <f>20-20</f>
        <v>0</v>
      </c>
      <c r="EE47" s="372" t="s">
        <v>850</v>
      </c>
      <c r="EF47" s="373">
        <f>20-20</f>
        <v>0</v>
      </c>
      <c r="EG47" s="373">
        <f>20-20</f>
        <v>0</v>
      </c>
      <c r="EH47" s="372" t="s">
        <v>850</v>
      </c>
      <c r="EI47" s="373">
        <f>20-20</f>
        <v>0</v>
      </c>
      <c r="EJ47" s="372" t="s">
        <v>850</v>
      </c>
      <c r="EK47" s="372" t="s">
        <v>850</v>
      </c>
      <c r="EL47" s="372" t="s">
        <v>850</v>
      </c>
      <c r="EM47" s="372" t="s">
        <v>850</v>
      </c>
      <c r="EN47" s="372" t="s">
        <v>850</v>
      </c>
      <c r="EO47" s="372" t="s">
        <v>850</v>
      </c>
      <c r="EP47" s="372" t="s">
        <v>850</v>
      </c>
      <c r="EQ47" s="372" t="s">
        <v>850</v>
      </c>
      <c r="ER47" s="372" t="s">
        <v>850</v>
      </c>
      <c r="ES47" s="373">
        <f>20-20</f>
        <v>0</v>
      </c>
      <c r="ET47" s="372" t="s">
        <v>850</v>
      </c>
      <c r="EU47" s="372" t="s">
        <v>850</v>
      </c>
      <c r="EV47" s="372" t="s">
        <v>850</v>
      </c>
      <c r="EW47" s="372" t="s">
        <v>850</v>
      </c>
      <c r="EX47" s="372" t="s">
        <v>850</v>
      </c>
      <c r="EY47" s="372" t="s">
        <v>850</v>
      </c>
      <c r="EZ47" s="372" t="s">
        <v>850</v>
      </c>
      <c r="FA47" s="372" t="s">
        <v>850</v>
      </c>
      <c r="FB47" s="372" t="s">
        <v>850</v>
      </c>
      <c r="FC47" s="372" t="s">
        <v>850</v>
      </c>
      <c r="FD47" s="372" t="s">
        <v>850</v>
      </c>
      <c r="FE47" s="372" t="s">
        <v>850</v>
      </c>
      <c r="FF47" s="372" t="s">
        <v>850</v>
      </c>
      <c r="FG47" s="372" t="s">
        <v>850</v>
      </c>
      <c r="FH47" s="372" t="s">
        <v>850</v>
      </c>
      <c r="FI47" s="372" t="s">
        <v>850</v>
      </c>
      <c r="FJ47" s="372" t="s">
        <v>850</v>
      </c>
      <c r="FK47" s="372" t="s">
        <v>850</v>
      </c>
      <c r="FL47" s="372" t="s">
        <v>850</v>
      </c>
      <c r="FM47" s="372" t="s">
        <v>850</v>
      </c>
      <c r="FN47" s="372" t="s">
        <v>850</v>
      </c>
      <c r="FO47" s="375" t="s">
        <v>850</v>
      </c>
      <c r="FP47" s="376" t="s">
        <v>1120</v>
      </c>
      <c r="FQ47" s="377" t="s">
        <v>522</v>
      </c>
      <c r="FR47" s="377" t="s">
        <v>711</v>
      </c>
      <c r="FS47" s="377" t="s">
        <v>577</v>
      </c>
      <c r="FT47" s="144">
        <f t="shared" si="1"/>
        <v>0</v>
      </c>
      <c r="FU47" s="371" t="s">
        <v>913</v>
      </c>
    </row>
    <row r="48" spans="1:177" s="371" customFormat="1" hidden="1">
      <c r="A48" s="368" t="s">
        <v>526</v>
      </c>
      <c r="B48" s="369" t="s">
        <v>517</v>
      </c>
      <c r="C48" s="369" t="s">
        <v>555</v>
      </c>
      <c r="D48" s="369" t="s">
        <v>3</v>
      </c>
      <c r="E48" s="370" t="s">
        <v>1125</v>
      </c>
      <c r="F48" s="369" t="s">
        <v>520</v>
      </c>
      <c r="G48" s="369" t="s">
        <v>1127</v>
      </c>
      <c r="H48" s="372"/>
      <c r="I48" s="372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2"/>
      <c r="AQ48" s="372"/>
      <c r="AR48" s="372"/>
      <c r="AS48" s="372"/>
      <c r="AT48" s="372"/>
      <c r="AU48" s="372"/>
      <c r="AV48" s="372"/>
      <c r="AW48" s="372"/>
      <c r="AX48" s="372"/>
      <c r="AY48" s="372"/>
      <c r="AZ48" s="372"/>
      <c r="BA48" s="372"/>
      <c r="BB48" s="372"/>
      <c r="BC48" s="372"/>
      <c r="BD48" s="372"/>
      <c r="BE48" s="372"/>
      <c r="BF48" s="372"/>
      <c r="BG48" s="372"/>
      <c r="BH48" s="372"/>
      <c r="BI48" s="372"/>
      <c r="BJ48" s="372"/>
      <c r="BK48" s="372"/>
      <c r="BL48" s="372"/>
      <c r="BM48" s="372"/>
      <c r="BN48" s="372"/>
      <c r="BO48" s="372"/>
      <c r="BP48" s="372"/>
      <c r="BQ48" s="372"/>
      <c r="BR48" s="372"/>
      <c r="BS48" s="372"/>
      <c r="BT48" s="372"/>
      <c r="BU48" s="372"/>
      <c r="BV48" s="372"/>
      <c r="BW48" s="372"/>
      <c r="BX48" s="372"/>
      <c r="BY48" s="372"/>
      <c r="BZ48" s="372"/>
      <c r="CA48" s="372"/>
      <c r="CB48" s="372"/>
      <c r="CC48" s="372"/>
      <c r="CD48" s="372"/>
      <c r="CE48" s="372"/>
      <c r="CG48" s="372"/>
      <c r="CH48" s="372"/>
      <c r="CI48" s="372"/>
      <c r="CJ48" s="372"/>
      <c r="CK48" s="372"/>
      <c r="CL48" s="372"/>
      <c r="CM48" s="372"/>
      <c r="CN48" s="372"/>
      <c r="CO48" s="372"/>
      <c r="CP48" s="372"/>
      <c r="CQ48" s="372"/>
      <c r="CR48" s="372"/>
      <c r="CS48" s="372"/>
      <c r="CT48" s="372"/>
      <c r="CU48" s="372"/>
      <c r="CV48" s="372"/>
      <c r="CW48" s="372"/>
      <c r="CX48" s="372"/>
      <c r="CY48" s="372"/>
      <c r="CZ48" s="372"/>
      <c r="DA48" s="372"/>
      <c r="DB48" s="372"/>
      <c r="DC48" s="372"/>
      <c r="DD48" s="372"/>
      <c r="DE48" s="372"/>
      <c r="DF48" s="372"/>
      <c r="DG48" s="372"/>
      <c r="DH48" s="372"/>
      <c r="DI48" s="372"/>
      <c r="DJ48" s="372"/>
      <c r="DK48" s="372"/>
      <c r="DL48" s="372"/>
      <c r="DM48" s="372"/>
      <c r="DN48" s="372"/>
      <c r="DO48" s="372"/>
      <c r="DP48" s="372"/>
      <c r="DQ48" s="372"/>
      <c r="DR48" s="372"/>
      <c r="DS48" s="372"/>
      <c r="DT48" s="372"/>
      <c r="DU48" s="372"/>
      <c r="DV48" s="372"/>
      <c r="DW48" s="372"/>
      <c r="DX48" s="372"/>
      <c r="DY48" s="372"/>
      <c r="DZ48" s="372"/>
      <c r="EB48" s="372"/>
      <c r="ED48" s="372"/>
      <c r="EE48" s="372"/>
      <c r="EF48" s="372"/>
      <c r="EG48" s="372"/>
      <c r="EH48" s="372" t="s">
        <v>850</v>
      </c>
      <c r="EI48" s="372"/>
      <c r="EJ48" s="372"/>
      <c r="EK48" s="372"/>
      <c r="EL48" s="372"/>
      <c r="EM48" s="372"/>
      <c r="EN48" s="372"/>
      <c r="EO48" s="372"/>
      <c r="EP48" s="372"/>
      <c r="EQ48" s="372"/>
      <c r="ER48" s="372"/>
      <c r="ES48" s="372"/>
      <c r="ET48" s="372"/>
      <c r="EU48" s="372"/>
      <c r="EV48" s="372"/>
      <c r="EW48" s="372"/>
      <c r="EX48" s="372"/>
      <c r="EY48" s="372"/>
      <c r="EZ48" s="372"/>
      <c r="FA48" s="372"/>
      <c r="FB48" s="372"/>
      <c r="FC48" s="372"/>
      <c r="FD48" s="372"/>
      <c r="FE48" s="372"/>
      <c r="FF48" s="372"/>
      <c r="FG48" s="372"/>
      <c r="FH48" s="372"/>
      <c r="FI48" s="372"/>
      <c r="FJ48" s="372"/>
      <c r="FK48" s="372"/>
      <c r="FL48" s="372"/>
      <c r="FM48" s="372"/>
      <c r="FN48" s="372"/>
      <c r="FO48" s="375" t="s">
        <v>850</v>
      </c>
      <c r="FP48" s="376" t="s">
        <v>1120</v>
      </c>
      <c r="FQ48" s="377" t="s">
        <v>522</v>
      </c>
      <c r="FR48" s="377" t="s">
        <v>711</v>
      </c>
      <c r="FS48" s="377" t="s">
        <v>577</v>
      </c>
      <c r="FT48" s="144">
        <f t="shared" si="1"/>
        <v>0</v>
      </c>
      <c r="FU48" s="371" t="s">
        <v>913</v>
      </c>
    </row>
    <row r="49" spans="1:177" s="371" customFormat="1">
      <c r="A49" s="368" t="s">
        <v>526</v>
      </c>
      <c r="B49" s="369" t="s">
        <v>517</v>
      </c>
      <c r="C49" s="369" t="s">
        <v>555</v>
      </c>
      <c r="D49" s="369" t="s">
        <v>8</v>
      </c>
      <c r="E49" s="370" t="s">
        <v>578</v>
      </c>
      <c r="F49" s="369" t="s">
        <v>520</v>
      </c>
      <c r="G49" s="369"/>
      <c r="BS49" s="372"/>
      <c r="CU49" s="418">
        <v>110</v>
      </c>
      <c r="DA49" s="418">
        <v>20</v>
      </c>
      <c r="DH49" s="372"/>
      <c r="DS49" s="372"/>
      <c r="EB49" s="416">
        <v>100</v>
      </c>
      <c r="EH49" s="372"/>
      <c r="ER49" s="418">
        <v>80</v>
      </c>
      <c r="FO49" s="375" t="s">
        <v>850</v>
      </c>
      <c r="FP49" s="376" t="s">
        <v>1120</v>
      </c>
      <c r="FQ49" s="377" t="s">
        <v>522</v>
      </c>
      <c r="FR49" s="377" t="s">
        <v>850</v>
      </c>
      <c r="FS49" s="377" t="s">
        <v>915</v>
      </c>
      <c r="FT49" s="144">
        <f t="shared" si="1"/>
        <v>310</v>
      </c>
      <c r="FU49" s="371" t="s">
        <v>911</v>
      </c>
    </row>
    <row r="50" spans="1:177" s="371" customFormat="1" ht="10.5">
      <c r="A50" s="368" t="s">
        <v>526</v>
      </c>
      <c r="B50" s="369" t="s">
        <v>517</v>
      </c>
      <c r="C50" s="369" t="s">
        <v>555</v>
      </c>
      <c r="D50" s="369" t="s">
        <v>4</v>
      </c>
      <c r="E50" s="370" t="s">
        <v>578</v>
      </c>
      <c r="F50" s="369" t="s">
        <v>520</v>
      </c>
      <c r="G50" s="369"/>
      <c r="H50" s="373">
        <f>10-10+10</f>
        <v>10</v>
      </c>
      <c r="I50" s="373">
        <f>1-1</f>
        <v>0</v>
      </c>
      <c r="J50" s="373">
        <f>295-295</f>
        <v>0</v>
      </c>
      <c r="K50" s="373">
        <f>285-285+5</f>
        <v>5</v>
      </c>
      <c r="L50" s="373">
        <f>253-253</f>
        <v>0</v>
      </c>
      <c r="M50" s="372" t="s">
        <v>850</v>
      </c>
      <c r="N50" s="373">
        <f>274-274</f>
        <v>0</v>
      </c>
      <c r="O50" s="372"/>
      <c r="P50" s="372"/>
      <c r="Q50" s="373">
        <f>702-702</f>
        <v>0</v>
      </c>
      <c r="R50" s="373">
        <f>435-435</f>
        <v>0</v>
      </c>
      <c r="S50" s="372"/>
      <c r="T50" s="373">
        <f>965-965</f>
        <v>0</v>
      </c>
      <c r="U50" s="373">
        <f>1800-1800+10</f>
        <v>10</v>
      </c>
      <c r="V50" s="373">
        <f>1870-1870</f>
        <v>0</v>
      </c>
      <c r="W50" s="373">
        <f>1865-1865</f>
        <v>0</v>
      </c>
      <c r="X50" s="372"/>
      <c r="Y50" s="372" t="s">
        <v>850</v>
      </c>
      <c r="Z50" s="372" t="s">
        <v>850</v>
      </c>
      <c r="AA50" s="372" t="s">
        <v>850</v>
      </c>
      <c r="AB50" s="372" t="s">
        <v>850</v>
      </c>
      <c r="AC50" s="373">
        <f>400-400</f>
        <v>0</v>
      </c>
      <c r="AD50" s="373">
        <f>500-500</f>
        <v>0</v>
      </c>
      <c r="AE50" s="373">
        <f>370-370</f>
        <v>0</v>
      </c>
      <c r="AF50" s="372" t="s">
        <v>850</v>
      </c>
      <c r="AG50" s="372" t="s">
        <v>850</v>
      </c>
      <c r="AH50" s="372" t="s">
        <v>850</v>
      </c>
      <c r="AI50" s="372" t="s">
        <v>850</v>
      </c>
      <c r="AJ50" s="372" t="s">
        <v>850</v>
      </c>
      <c r="AK50" s="372" t="s">
        <v>850</v>
      </c>
      <c r="AL50" s="373">
        <f>1500-1500</f>
        <v>0</v>
      </c>
      <c r="AM50" s="373">
        <f>1500-1500</f>
        <v>0</v>
      </c>
      <c r="AN50" s="373">
        <f>3-3</f>
        <v>0</v>
      </c>
      <c r="AO50" s="372" t="s">
        <v>850</v>
      </c>
      <c r="AP50" s="372" t="s">
        <v>850</v>
      </c>
      <c r="AQ50" s="373">
        <f>10-10</f>
        <v>0</v>
      </c>
      <c r="AR50" s="373">
        <f>11-11</f>
        <v>0</v>
      </c>
      <c r="AS50" s="373">
        <f>53-53+2</f>
        <v>2</v>
      </c>
      <c r="AT50" s="373">
        <f>20-20</f>
        <v>0</v>
      </c>
      <c r="AU50" s="372"/>
      <c r="AV50" s="373">
        <f>37-37+10</f>
        <v>10</v>
      </c>
      <c r="AW50" s="373">
        <f>8-8</f>
        <v>0</v>
      </c>
      <c r="AX50" s="373">
        <f>25-25+2</f>
        <v>2</v>
      </c>
      <c r="AY50" s="372"/>
      <c r="AZ50" s="372" t="s">
        <v>850</v>
      </c>
      <c r="BA50" s="372" t="s">
        <v>850</v>
      </c>
      <c r="BB50" s="372" t="s">
        <v>850</v>
      </c>
      <c r="BC50" s="373">
        <f>6-6+2</f>
        <v>2</v>
      </c>
      <c r="BD50" s="372"/>
      <c r="BE50" s="373">
        <f>153-153</f>
        <v>0</v>
      </c>
      <c r="BF50" s="373">
        <f>108-108</f>
        <v>0</v>
      </c>
      <c r="BG50" s="373">
        <f>720-720+40</f>
        <v>40</v>
      </c>
      <c r="BH50" s="373">
        <f>25-25</f>
        <v>0</v>
      </c>
      <c r="BI50" s="373">
        <f>200-200</f>
        <v>0</v>
      </c>
      <c r="BJ50" s="373">
        <f>70-70+10</f>
        <v>10</v>
      </c>
      <c r="BK50" s="372"/>
      <c r="BL50" s="372" t="s">
        <v>850</v>
      </c>
      <c r="BM50" s="372" t="s">
        <v>850</v>
      </c>
      <c r="BN50" s="372" t="s">
        <v>850</v>
      </c>
      <c r="BO50" s="373">
        <f>6-6</f>
        <v>0</v>
      </c>
      <c r="BP50" s="373">
        <f>10-10+5</f>
        <v>5</v>
      </c>
      <c r="BQ50" s="373">
        <f>133-133</f>
        <v>0</v>
      </c>
      <c r="BR50" s="373">
        <f>198-198</f>
        <v>0</v>
      </c>
      <c r="BS50" s="372"/>
      <c r="BT50" s="373">
        <f>138-138</f>
        <v>0</v>
      </c>
      <c r="BU50" s="416">
        <v>50</v>
      </c>
      <c r="BV50" s="373">
        <f>80-80+10</f>
        <v>10</v>
      </c>
      <c r="BW50" s="373">
        <f>140-140</f>
        <v>0</v>
      </c>
      <c r="BX50" s="373">
        <f>150-150</f>
        <v>0</v>
      </c>
      <c r="BY50" s="373">
        <f>10-10</f>
        <v>0</v>
      </c>
      <c r="BZ50" s="373">
        <f>340-340+30</f>
        <v>30</v>
      </c>
      <c r="CA50" s="373">
        <f>340-340+20</f>
        <v>20</v>
      </c>
      <c r="CB50" s="373">
        <f>450-450</f>
        <v>0</v>
      </c>
      <c r="CC50" s="373">
        <f>500-500</f>
        <v>0</v>
      </c>
      <c r="CD50" s="373">
        <f>327-327</f>
        <v>0</v>
      </c>
      <c r="CE50" s="373">
        <f>398-398+50</f>
        <v>50</v>
      </c>
      <c r="CG50" s="481">
        <v>100</v>
      </c>
      <c r="CH50" s="373">
        <f>860-860+30</f>
        <v>30</v>
      </c>
      <c r="CI50" s="373">
        <f>933-933</f>
        <v>0</v>
      </c>
      <c r="CJ50" s="373">
        <f>981-981</f>
        <v>0</v>
      </c>
      <c r="CK50" s="373">
        <f>1975-1975</f>
        <v>0</v>
      </c>
      <c r="CL50" s="373">
        <f>1085-1085+100</f>
        <v>100</v>
      </c>
      <c r="CM50" s="373">
        <f>1690-1690+60</f>
        <v>60</v>
      </c>
      <c r="CN50" s="373">
        <f>190-190+100</f>
        <v>100</v>
      </c>
      <c r="CO50" s="373">
        <f>1670-1670+40</f>
        <v>40</v>
      </c>
      <c r="CP50" s="373">
        <f>3990-3990+20</f>
        <v>20</v>
      </c>
      <c r="CQ50" s="372" t="s">
        <v>850</v>
      </c>
      <c r="CR50" s="373">
        <f>2000-2000</f>
        <v>0</v>
      </c>
      <c r="CS50" s="372" t="s">
        <v>850</v>
      </c>
      <c r="CT50" s="372" t="s">
        <v>850</v>
      </c>
      <c r="CU50" s="373">
        <f>4165-4165</f>
        <v>0</v>
      </c>
      <c r="CV50" s="372" t="s">
        <v>850</v>
      </c>
      <c r="CW50" s="373">
        <f>1606-1606+40</f>
        <v>40</v>
      </c>
      <c r="CX50" s="373">
        <f>200-200+30</f>
        <v>30</v>
      </c>
      <c r="CY50" s="373">
        <f>1650-1650+10</f>
        <v>10</v>
      </c>
      <c r="CZ50" s="373">
        <f>430-430</f>
        <v>0</v>
      </c>
      <c r="DA50" s="373">
        <f>1563-1563</f>
        <v>0</v>
      </c>
      <c r="DB50" s="372" t="s">
        <v>850</v>
      </c>
      <c r="DC50" s="372" t="s">
        <v>850</v>
      </c>
      <c r="DD50" s="372" t="s">
        <v>850</v>
      </c>
      <c r="DE50" s="373">
        <f>500-500</f>
        <v>0</v>
      </c>
      <c r="DF50" s="373">
        <f>480-480</f>
        <v>0</v>
      </c>
      <c r="DG50" s="372"/>
      <c r="DH50" s="372"/>
      <c r="DI50" s="372" t="s">
        <v>850</v>
      </c>
      <c r="DJ50" s="372" t="s">
        <v>850</v>
      </c>
      <c r="DK50" s="373">
        <f>1200-1200</f>
        <v>0</v>
      </c>
      <c r="DL50" s="372" t="s">
        <v>850</v>
      </c>
      <c r="DM50" s="372" t="s">
        <v>850</v>
      </c>
      <c r="DN50" s="373">
        <f>1912-1912</f>
        <v>0</v>
      </c>
      <c r="DO50" s="373">
        <f>1570-1570</f>
        <v>0</v>
      </c>
      <c r="DP50" s="373">
        <f>1941-1941</f>
        <v>0</v>
      </c>
      <c r="DQ50" s="373">
        <f>1800-1800</f>
        <v>0</v>
      </c>
      <c r="DR50" s="373">
        <f>1848-1848</f>
        <v>0</v>
      </c>
      <c r="DS50" s="372"/>
      <c r="DT50" s="373">
        <f>1140-1140</f>
        <v>0</v>
      </c>
      <c r="DU50" s="373">
        <f>1957-1957</f>
        <v>0</v>
      </c>
      <c r="DV50" s="373">
        <f>1820-1820</f>
        <v>0</v>
      </c>
      <c r="DW50" s="373">
        <f>1770-1770</f>
        <v>0</v>
      </c>
      <c r="DX50" s="373">
        <f>2000-2000</f>
        <v>0</v>
      </c>
      <c r="DY50" s="372" t="s">
        <v>850</v>
      </c>
      <c r="DZ50" s="373">
        <f>1350-1350+60</f>
        <v>60</v>
      </c>
      <c r="EB50" s="373">
        <f>1280-1280</f>
        <v>0</v>
      </c>
      <c r="ED50" s="373">
        <f>1740-1740</f>
        <v>0</v>
      </c>
      <c r="EE50" s="372" t="s">
        <v>850</v>
      </c>
      <c r="EF50" s="373">
        <f>1910-1910</f>
        <v>0</v>
      </c>
      <c r="EG50" s="373">
        <f>1990-1990</f>
        <v>0</v>
      </c>
      <c r="EH50" s="372"/>
      <c r="EI50" s="373">
        <f>1897-1897</f>
        <v>0</v>
      </c>
      <c r="EJ50" s="372" t="s">
        <v>850</v>
      </c>
      <c r="EK50" s="373">
        <f>1940-1940+40</f>
        <v>40</v>
      </c>
      <c r="EL50" s="373">
        <f>1900-1900</f>
        <v>0</v>
      </c>
      <c r="EM50" s="373">
        <f>1930-1930</f>
        <v>0</v>
      </c>
      <c r="EN50" s="373">
        <f>1997-1997</f>
        <v>0</v>
      </c>
      <c r="EO50" s="373">
        <f>1997-1997</f>
        <v>0</v>
      </c>
      <c r="EP50" s="373">
        <f>1978-1978</f>
        <v>0</v>
      </c>
      <c r="EQ50" s="373">
        <f>1960-1960</f>
        <v>0</v>
      </c>
      <c r="ER50" s="373">
        <f>1640-1640</f>
        <v>0</v>
      </c>
      <c r="ES50" s="373">
        <f>1910-1910</f>
        <v>0</v>
      </c>
      <c r="ET50" s="372" t="s">
        <v>850</v>
      </c>
      <c r="EU50" s="372"/>
      <c r="EV50" s="372"/>
      <c r="EW50" s="372" t="s">
        <v>850</v>
      </c>
      <c r="EX50" s="372" t="s">
        <v>850</v>
      </c>
      <c r="EY50" s="372" t="s">
        <v>850</v>
      </c>
      <c r="EZ50" s="372" t="s">
        <v>850</v>
      </c>
      <c r="FA50" s="372" t="s">
        <v>850</v>
      </c>
      <c r="FB50" s="372" t="s">
        <v>850</v>
      </c>
      <c r="FC50" s="372" t="s">
        <v>850</v>
      </c>
      <c r="FD50" s="372" t="s">
        <v>850</v>
      </c>
      <c r="FE50" s="372" t="s">
        <v>850</v>
      </c>
      <c r="FF50" s="372" t="s">
        <v>850</v>
      </c>
      <c r="FG50" s="372" t="s">
        <v>850</v>
      </c>
      <c r="FH50" s="372" t="s">
        <v>850</v>
      </c>
      <c r="FI50" s="372" t="s">
        <v>850</v>
      </c>
      <c r="FJ50" s="372" t="s">
        <v>850</v>
      </c>
      <c r="FK50" s="372" t="s">
        <v>850</v>
      </c>
      <c r="FL50" s="372" t="s">
        <v>850</v>
      </c>
      <c r="FM50" s="372" t="s">
        <v>850</v>
      </c>
      <c r="FN50" s="372" t="s">
        <v>850</v>
      </c>
      <c r="FO50" s="375" t="s">
        <v>850</v>
      </c>
      <c r="FP50" s="376" t="s">
        <v>1120</v>
      </c>
      <c r="FQ50" s="377" t="s">
        <v>522</v>
      </c>
      <c r="FR50" s="377" t="s">
        <v>850</v>
      </c>
      <c r="FS50" s="377" t="s">
        <v>915</v>
      </c>
      <c r="FT50" s="144">
        <f t="shared" si="1"/>
        <v>886</v>
      </c>
      <c r="FU50" s="371" t="s">
        <v>911</v>
      </c>
    </row>
    <row r="51" spans="1:177" s="371" customFormat="1" ht="10.5">
      <c r="A51" s="368" t="s">
        <v>526</v>
      </c>
      <c r="B51" s="369" t="s">
        <v>517</v>
      </c>
      <c r="C51" s="369" t="s">
        <v>555</v>
      </c>
      <c r="D51" s="369" t="s">
        <v>3</v>
      </c>
      <c r="E51" s="370" t="s">
        <v>578</v>
      </c>
      <c r="F51" s="369" t="s">
        <v>520</v>
      </c>
      <c r="G51" s="369"/>
      <c r="H51" s="372"/>
      <c r="I51" s="372"/>
      <c r="J51" s="372"/>
      <c r="K51" s="372"/>
      <c r="L51" s="372"/>
      <c r="M51" s="372"/>
      <c r="N51" s="372"/>
      <c r="O51" s="372"/>
      <c r="P51" s="372"/>
      <c r="Q51" s="443">
        <v>2</v>
      </c>
      <c r="R51" s="372"/>
      <c r="S51" s="372"/>
      <c r="T51" s="372"/>
      <c r="U51" s="372"/>
      <c r="V51" s="372"/>
      <c r="W51" s="372"/>
      <c r="X51" s="372"/>
      <c r="Y51" s="372"/>
      <c r="Z51" s="372"/>
      <c r="AA51" s="372"/>
      <c r="AB51" s="372"/>
      <c r="AC51" s="372"/>
      <c r="AD51" s="372"/>
      <c r="AE51" s="372"/>
      <c r="AF51" s="372"/>
      <c r="AG51" s="372"/>
      <c r="AH51" s="372"/>
      <c r="AI51" s="372"/>
      <c r="AJ51" s="372"/>
      <c r="AK51" s="372"/>
      <c r="AL51" s="372"/>
      <c r="AM51" s="372"/>
      <c r="AN51" s="443">
        <v>3</v>
      </c>
      <c r="AO51" s="372"/>
      <c r="AP51" s="372"/>
      <c r="AQ51" s="372"/>
      <c r="AR51" s="443">
        <v>5</v>
      </c>
      <c r="AS51" s="372"/>
      <c r="AT51" s="372"/>
      <c r="AU51" s="372"/>
      <c r="AV51" s="372"/>
      <c r="AW51" s="372"/>
      <c r="AX51" s="372"/>
      <c r="AY51" s="372"/>
      <c r="AZ51" s="372"/>
      <c r="BA51" s="372"/>
      <c r="BB51" s="372"/>
      <c r="BC51" s="372"/>
      <c r="BD51" s="372"/>
      <c r="BE51" s="372"/>
      <c r="BF51" s="372"/>
      <c r="BG51" s="372"/>
      <c r="BH51" s="372"/>
      <c r="BI51" s="372"/>
      <c r="BJ51" s="372"/>
      <c r="BK51" s="372"/>
      <c r="BL51" s="372"/>
      <c r="BM51" s="372"/>
      <c r="BN51" s="372"/>
      <c r="BO51" s="372"/>
      <c r="BP51" s="372"/>
      <c r="BQ51" s="372"/>
      <c r="BR51" s="372"/>
      <c r="BS51" s="372"/>
      <c r="BT51" s="443">
        <v>20</v>
      </c>
      <c r="BU51" s="372"/>
      <c r="BV51" s="372"/>
      <c r="BW51" s="372"/>
      <c r="BX51" s="372"/>
      <c r="BY51" s="372"/>
      <c r="BZ51" s="372"/>
      <c r="CA51" s="372"/>
      <c r="CB51" s="372"/>
      <c r="CC51" s="372"/>
      <c r="CD51" s="372"/>
      <c r="CE51" s="372"/>
      <c r="CG51" s="372"/>
      <c r="CH51" s="372"/>
      <c r="CI51" s="372"/>
      <c r="CJ51" s="372"/>
      <c r="CK51" s="372"/>
      <c r="CL51" s="372"/>
      <c r="CM51" s="372"/>
      <c r="CN51" s="372"/>
      <c r="CO51" s="372"/>
      <c r="CP51" s="372"/>
      <c r="CQ51" s="372"/>
      <c r="CR51" s="372"/>
      <c r="CS51" s="372"/>
      <c r="CT51" s="372"/>
      <c r="CU51" s="372"/>
      <c r="CV51" s="372"/>
      <c r="CW51" s="372"/>
      <c r="CX51" s="372"/>
      <c r="CY51" s="372"/>
      <c r="CZ51" s="372"/>
      <c r="DA51" s="372"/>
      <c r="DB51" s="372"/>
      <c r="DC51" s="372"/>
      <c r="DD51" s="372"/>
      <c r="DE51" s="372"/>
      <c r="DF51" s="372"/>
      <c r="DG51" s="372"/>
      <c r="DH51" s="372"/>
      <c r="DI51" s="372"/>
      <c r="DJ51" s="372"/>
      <c r="DK51" s="372"/>
      <c r="DL51" s="372"/>
      <c r="DM51" s="372"/>
      <c r="DN51" s="372"/>
      <c r="DO51" s="372"/>
      <c r="DP51" s="372"/>
      <c r="DQ51" s="372"/>
      <c r="DR51" s="372"/>
      <c r="DS51" s="372"/>
      <c r="DT51" s="372"/>
      <c r="DU51" s="372"/>
      <c r="DV51" s="372"/>
      <c r="DW51" s="372"/>
      <c r="DX51" s="372"/>
      <c r="DY51" s="372"/>
      <c r="DZ51" s="372"/>
      <c r="EB51" s="372"/>
      <c r="ED51" s="372"/>
      <c r="EE51" s="372"/>
      <c r="EF51" s="372"/>
      <c r="EG51" s="372"/>
      <c r="EH51" s="372"/>
      <c r="EI51" s="372"/>
      <c r="EJ51" s="372"/>
      <c r="EK51" s="372"/>
      <c r="EL51" s="372"/>
      <c r="EM51" s="372"/>
      <c r="EN51" s="372"/>
      <c r="EO51" s="372"/>
      <c r="EP51" s="372"/>
      <c r="EQ51" s="372"/>
      <c r="ER51" s="372"/>
      <c r="ES51" s="372"/>
      <c r="ET51" s="372"/>
      <c r="EU51" s="372"/>
      <c r="EV51" s="372"/>
      <c r="EW51" s="372"/>
      <c r="EX51" s="372"/>
      <c r="EY51" s="372"/>
      <c r="EZ51" s="372"/>
      <c r="FA51" s="372"/>
      <c r="FB51" s="372"/>
      <c r="FC51" s="372"/>
      <c r="FD51" s="372"/>
      <c r="FE51" s="372"/>
      <c r="FF51" s="372"/>
      <c r="FG51" s="372"/>
      <c r="FH51" s="372"/>
      <c r="FI51" s="372"/>
      <c r="FJ51" s="372"/>
      <c r="FK51" s="372"/>
      <c r="FL51" s="372"/>
      <c r="FM51" s="372"/>
      <c r="FN51" s="372"/>
      <c r="FO51" s="375" t="s">
        <v>850</v>
      </c>
      <c r="FP51" s="376" t="s">
        <v>1120</v>
      </c>
      <c r="FQ51" s="377" t="s">
        <v>522</v>
      </c>
      <c r="FR51" s="377" t="s">
        <v>850</v>
      </c>
      <c r="FS51" s="377" t="s">
        <v>915</v>
      </c>
      <c r="FT51" s="144">
        <f t="shared" si="1"/>
        <v>30</v>
      </c>
      <c r="FU51" s="371" t="s">
        <v>911</v>
      </c>
    </row>
    <row r="52" spans="1:177" s="371" customFormat="1">
      <c r="A52" s="368" t="s">
        <v>916</v>
      </c>
      <c r="B52" s="369" t="s">
        <v>517</v>
      </c>
      <c r="C52" s="369" t="s">
        <v>555</v>
      </c>
      <c r="D52" s="369" t="s">
        <v>8</v>
      </c>
      <c r="E52" s="370" t="s">
        <v>582</v>
      </c>
      <c r="F52" s="369" t="s">
        <v>520</v>
      </c>
      <c r="G52" s="369" t="s">
        <v>1128</v>
      </c>
      <c r="BS52" s="372"/>
      <c r="CU52" s="418">
        <v>10</v>
      </c>
      <c r="DG52" s="418">
        <v>60</v>
      </c>
      <c r="DH52" s="372"/>
      <c r="DS52" s="372"/>
      <c r="EB52" s="416">
        <v>20</v>
      </c>
      <c r="EH52" s="372"/>
      <c r="ER52" s="418">
        <v>40</v>
      </c>
      <c r="FO52" s="375" t="s">
        <v>850</v>
      </c>
      <c r="FP52" s="376" t="s">
        <v>1120</v>
      </c>
      <c r="FQ52" s="377" t="s">
        <v>522</v>
      </c>
      <c r="FR52" s="377" t="s">
        <v>850</v>
      </c>
      <c r="FS52" s="377" t="s">
        <v>585</v>
      </c>
      <c r="FT52" s="144">
        <f t="shared" si="1"/>
        <v>130</v>
      </c>
      <c r="FU52" s="371" t="s">
        <v>905</v>
      </c>
    </row>
    <row r="53" spans="1:177" s="371" customFormat="1">
      <c r="A53" s="368" t="s">
        <v>916</v>
      </c>
      <c r="B53" s="369" t="s">
        <v>517</v>
      </c>
      <c r="C53" s="369" t="s">
        <v>555</v>
      </c>
      <c r="D53" s="369" t="s">
        <v>4</v>
      </c>
      <c r="E53" s="370" t="s">
        <v>582</v>
      </c>
      <c r="F53" s="369" t="s">
        <v>520</v>
      </c>
      <c r="G53" s="369" t="s">
        <v>1128</v>
      </c>
      <c r="H53" s="372"/>
      <c r="I53" s="372"/>
      <c r="J53" s="372" t="s">
        <v>850</v>
      </c>
      <c r="K53" s="372"/>
      <c r="L53" s="372"/>
      <c r="M53" s="372" t="s">
        <v>850</v>
      </c>
      <c r="N53" s="372" t="s">
        <v>850</v>
      </c>
      <c r="O53" s="373">
        <f>5-5+5</f>
        <v>5</v>
      </c>
      <c r="P53" s="372"/>
      <c r="Q53" s="373">
        <f>10-10</f>
        <v>0</v>
      </c>
      <c r="R53" s="373">
        <f>10-10</f>
        <v>0</v>
      </c>
      <c r="S53" s="372"/>
      <c r="T53" s="372" t="s">
        <v>850</v>
      </c>
      <c r="U53" s="373">
        <f>30-30</f>
        <v>0</v>
      </c>
      <c r="V53" s="373">
        <f>30-30</f>
        <v>0</v>
      </c>
      <c r="W53" s="373">
        <f>30-30</f>
        <v>0</v>
      </c>
      <c r="X53" s="372"/>
      <c r="Y53" s="372" t="s">
        <v>850</v>
      </c>
      <c r="Z53" s="372" t="s">
        <v>850</v>
      </c>
      <c r="AA53" s="372" t="s">
        <v>850</v>
      </c>
      <c r="AB53" s="372" t="s">
        <v>850</v>
      </c>
      <c r="AC53" s="372" t="s">
        <v>850</v>
      </c>
      <c r="AD53" s="372" t="s">
        <v>850</v>
      </c>
      <c r="AE53" s="372" t="s">
        <v>850</v>
      </c>
      <c r="AF53" s="372" t="s">
        <v>850</v>
      </c>
      <c r="AG53" s="372" t="s">
        <v>850</v>
      </c>
      <c r="AH53" s="372" t="s">
        <v>850</v>
      </c>
      <c r="AI53" s="372" t="s">
        <v>850</v>
      </c>
      <c r="AJ53" s="372" t="s">
        <v>850</v>
      </c>
      <c r="AK53" s="372" t="s">
        <v>850</v>
      </c>
      <c r="AL53" s="372" t="s">
        <v>850</v>
      </c>
      <c r="AM53" s="372" t="s">
        <v>850</v>
      </c>
      <c r="AN53" s="372"/>
      <c r="AO53" s="372" t="s">
        <v>850</v>
      </c>
      <c r="AP53" s="372" t="s">
        <v>850</v>
      </c>
      <c r="AQ53" s="372" t="s">
        <v>850</v>
      </c>
      <c r="AR53" s="372"/>
      <c r="AS53" s="372"/>
      <c r="AT53" s="372" t="s">
        <v>850</v>
      </c>
      <c r="AU53" s="372"/>
      <c r="AV53" s="373">
        <f>10-10+2</f>
        <v>2</v>
      </c>
      <c r="AW53" s="372" t="s">
        <v>850</v>
      </c>
      <c r="AX53" s="372"/>
      <c r="AY53" s="372"/>
      <c r="AZ53" s="372" t="s">
        <v>850</v>
      </c>
      <c r="BA53" s="372" t="s">
        <v>850</v>
      </c>
      <c r="BB53" s="372" t="s">
        <v>850</v>
      </c>
      <c r="BC53" s="372"/>
      <c r="BD53" s="372"/>
      <c r="BE53" s="372" t="s">
        <v>850</v>
      </c>
      <c r="BF53" s="372" t="s">
        <v>850</v>
      </c>
      <c r="BG53" s="373">
        <f>20-20+2</f>
        <v>2</v>
      </c>
      <c r="BH53" s="373">
        <f>20-20</f>
        <v>0</v>
      </c>
      <c r="BI53" s="372" t="s">
        <v>850</v>
      </c>
      <c r="BJ53" s="373">
        <f>10-10+5</f>
        <v>5</v>
      </c>
      <c r="BK53" s="372"/>
      <c r="BL53" s="372" t="s">
        <v>850</v>
      </c>
      <c r="BM53" s="372" t="s">
        <v>850</v>
      </c>
      <c r="BN53" s="372" t="s">
        <v>850</v>
      </c>
      <c r="BO53" s="372" t="s">
        <v>850</v>
      </c>
      <c r="BP53" s="372"/>
      <c r="BQ53" s="373">
        <f>10-10</f>
        <v>0</v>
      </c>
      <c r="BR53" s="373">
        <f>6-6</f>
        <v>0</v>
      </c>
      <c r="BS53" s="372"/>
      <c r="BT53" s="372"/>
      <c r="BU53" s="373">
        <f>30-30+5</f>
        <v>5</v>
      </c>
      <c r="BV53" s="373">
        <f>20-20+2</f>
        <v>2</v>
      </c>
      <c r="BW53" s="372" t="s">
        <v>850</v>
      </c>
      <c r="BX53" s="373">
        <f>20-20</f>
        <v>0</v>
      </c>
      <c r="BY53" s="372"/>
      <c r="BZ53" s="373">
        <f>10-10+5</f>
        <v>5</v>
      </c>
      <c r="CA53" s="373">
        <f>20-20+5</f>
        <v>5</v>
      </c>
      <c r="CB53" s="373">
        <f>20-20+5</f>
        <v>5</v>
      </c>
      <c r="CC53" s="373">
        <f>20-20</f>
        <v>0</v>
      </c>
      <c r="CD53" s="372" t="s">
        <v>850</v>
      </c>
      <c r="CE53" s="373">
        <f>20-20+5</f>
        <v>5</v>
      </c>
      <c r="CG53" s="373">
        <f>40-40+10</f>
        <v>10</v>
      </c>
      <c r="CH53" s="372"/>
      <c r="CI53" s="373">
        <f>40-40</f>
        <v>0</v>
      </c>
      <c r="CJ53" s="373">
        <f>20-20</f>
        <v>0</v>
      </c>
      <c r="CK53" s="372" t="s">
        <v>850</v>
      </c>
      <c r="CL53" s="373">
        <f>20-20+10</f>
        <v>10</v>
      </c>
      <c r="CM53" s="373">
        <f>30-30+10</f>
        <v>10</v>
      </c>
      <c r="CN53" s="373">
        <f>60-60+20</f>
        <v>20</v>
      </c>
      <c r="CO53" s="373">
        <f>30-30+5</f>
        <v>5</v>
      </c>
      <c r="CP53" s="373">
        <f>50-50+10</f>
        <v>10</v>
      </c>
      <c r="CQ53" s="372" t="s">
        <v>850</v>
      </c>
      <c r="CR53" s="372" t="s">
        <v>850</v>
      </c>
      <c r="CS53" s="372" t="s">
        <v>850</v>
      </c>
      <c r="CT53" s="372" t="s">
        <v>850</v>
      </c>
      <c r="CU53" s="373">
        <f>20-20</f>
        <v>0</v>
      </c>
      <c r="CV53" s="372" t="s">
        <v>850</v>
      </c>
      <c r="CW53" s="373">
        <f>20-20+5</f>
        <v>5</v>
      </c>
      <c r="CX53" s="373">
        <f>100-100+5</f>
        <v>5</v>
      </c>
      <c r="CY53" s="373">
        <f>60-60</f>
        <v>0</v>
      </c>
      <c r="CZ53" s="373">
        <f>100-100</f>
        <v>0</v>
      </c>
      <c r="DA53" s="372"/>
      <c r="DB53" s="372" t="s">
        <v>850</v>
      </c>
      <c r="DC53" s="372" t="s">
        <v>850</v>
      </c>
      <c r="DD53" s="372" t="s">
        <v>850</v>
      </c>
      <c r="DE53" s="373">
        <f>60-60</f>
        <v>0</v>
      </c>
      <c r="DF53" s="372" t="s">
        <v>850</v>
      </c>
      <c r="DG53" s="373">
        <f>60-60</f>
        <v>0</v>
      </c>
      <c r="DH53" s="372"/>
      <c r="DI53" s="372" t="s">
        <v>850</v>
      </c>
      <c r="DJ53" s="372" t="s">
        <v>850</v>
      </c>
      <c r="DK53" s="373">
        <f>40-40+10</f>
        <v>10</v>
      </c>
      <c r="DL53" s="372" t="s">
        <v>850</v>
      </c>
      <c r="DM53" s="372" t="s">
        <v>850</v>
      </c>
      <c r="DN53" s="372" t="s">
        <v>850</v>
      </c>
      <c r="DO53" s="373">
        <f>100-100</f>
        <v>0</v>
      </c>
      <c r="DP53" s="372" t="s">
        <v>850</v>
      </c>
      <c r="DQ53" s="373">
        <f>100-100</f>
        <v>0</v>
      </c>
      <c r="DR53" s="372"/>
      <c r="DS53" s="372"/>
      <c r="DT53" s="373">
        <f>40-40</f>
        <v>0</v>
      </c>
      <c r="DU53" s="372" t="s">
        <v>850</v>
      </c>
      <c r="DV53" s="373">
        <f>60-60</f>
        <v>0</v>
      </c>
      <c r="DW53" s="373">
        <f>100-100</f>
        <v>0</v>
      </c>
      <c r="DX53" s="373">
        <f>40-40</f>
        <v>0</v>
      </c>
      <c r="DY53" s="373">
        <f>20-20</f>
        <v>0</v>
      </c>
      <c r="DZ53" s="373">
        <f>60-60+20</f>
        <v>20</v>
      </c>
      <c r="EB53" s="373">
        <f>100-100</f>
        <v>0</v>
      </c>
      <c r="ED53" s="373">
        <f>100-100</f>
        <v>0</v>
      </c>
      <c r="EE53" s="372" t="s">
        <v>850</v>
      </c>
      <c r="EF53" s="372" t="s">
        <v>850</v>
      </c>
      <c r="EG53" s="372" t="s">
        <v>850</v>
      </c>
      <c r="EH53" s="372"/>
      <c r="EI53" s="373">
        <f>100-100</f>
        <v>0</v>
      </c>
      <c r="EJ53" s="372" t="s">
        <v>850</v>
      </c>
      <c r="EK53" s="372"/>
      <c r="EL53" s="372"/>
      <c r="EM53" s="372" t="s">
        <v>850</v>
      </c>
      <c r="EN53" s="372" t="s">
        <v>850</v>
      </c>
      <c r="EO53" s="372" t="s">
        <v>850</v>
      </c>
      <c r="EP53" s="372" t="s">
        <v>850</v>
      </c>
      <c r="EQ53" s="373">
        <f>40-40</f>
        <v>0</v>
      </c>
      <c r="ER53" s="373">
        <f>60-60</f>
        <v>0</v>
      </c>
      <c r="ES53" s="373">
        <f>40-40</f>
        <v>0</v>
      </c>
      <c r="ET53" s="372" t="s">
        <v>850</v>
      </c>
      <c r="EU53" s="372"/>
      <c r="EV53" s="372"/>
      <c r="EW53" s="372" t="s">
        <v>850</v>
      </c>
      <c r="EX53" s="372" t="s">
        <v>850</v>
      </c>
      <c r="EY53" s="372" t="s">
        <v>850</v>
      </c>
      <c r="EZ53" s="372" t="s">
        <v>850</v>
      </c>
      <c r="FA53" s="372" t="s">
        <v>850</v>
      </c>
      <c r="FB53" s="372" t="s">
        <v>850</v>
      </c>
      <c r="FC53" s="372" t="s">
        <v>850</v>
      </c>
      <c r="FD53" s="372" t="s">
        <v>850</v>
      </c>
      <c r="FE53" s="372" t="s">
        <v>850</v>
      </c>
      <c r="FF53" s="372" t="s">
        <v>850</v>
      </c>
      <c r="FG53" s="372" t="s">
        <v>850</v>
      </c>
      <c r="FH53" s="372" t="s">
        <v>850</v>
      </c>
      <c r="FI53" s="372" t="s">
        <v>850</v>
      </c>
      <c r="FJ53" s="372" t="s">
        <v>850</v>
      </c>
      <c r="FK53" s="372" t="s">
        <v>850</v>
      </c>
      <c r="FL53" s="372" t="s">
        <v>850</v>
      </c>
      <c r="FM53" s="372" t="s">
        <v>850</v>
      </c>
      <c r="FN53" s="372" t="s">
        <v>850</v>
      </c>
      <c r="FO53" s="375" t="s">
        <v>850</v>
      </c>
      <c r="FP53" s="376" t="s">
        <v>1120</v>
      </c>
      <c r="FQ53" s="377" t="s">
        <v>522</v>
      </c>
      <c r="FR53" s="377" t="s">
        <v>850</v>
      </c>
      <c r="FS53" s="377" t="s">
        <v>585</v>
      </c>
      <c r="FT53" s="144">
        <f t="shared" si="1"/>
        <v>146</v>
      </c>
      <c r="FU53" s="371" t="s">
        <v>905</v>
      </c>
    </row>
    <row r="54" spans="1:177" s="371" customFormat="1">
      <c r="A54" s="368" t="s">
        <v>916</v>
      </c>
      <c r="B54" s="369" t="s">
        <v>517</v>
      </c>
      <c r="C54" s="369" t="s">
        <v>555</v>
      </c>
      <c r="D54" s="369" t="s">
        <v>3</v>
      </c>
      <c r="E54" s="370" t="s">
        <v>582</v>
      </c>
      <c r="F54" s="369" t="s">
        <v>520</v>
      </c>
      <c r="G54" s="369"/>
      <c r="H54" s="372"/>
      <c r="I54" s="372"/>
      <c r="J54" s="372"/>
      <c r="K54" s="372"/>
      <c r="L54" s="372"/>
      <c r="M54" s="372"/>
      <c r="N54" s="372"/>
      <c r="O54" s="372"/>
      <c r="P54" s="372"/>
      <c r="Q54" s="372"/>
      <c r="R54" s="372"/>
      <c r="S54" s="372"/>
      <c r="T54" s="372"/>
      <c r="U54" s="372"/>
      <c r="V54" s="372"/>
      <c r="W54" s="372"/>
      <c r="X54" s="372"/>
      <c r="Y54" s="372"/>
      <c r="Z54" s="372"/>
      <c r="AA54" s="372"/>
      <c r="AB54" s="372"/>
      <c r="AC54" s="372"/>
      <c r="AD54" s="372"/>
      <c r="AE54" s="372"/>
      <c r="AF54" s="372"/>
      <c r="AG54" s="372"/>
      <c r="AH54" s="372"/>
      <c r="AI54" s="372"/>
      <c r="AJ54" s="372"/>
      <c r="AK54" s="372"/>
      <c r="AL54" s="372"/>
      <c r="AM54" s="372"/>
      <c r="AN54" s="372"/>
      <c r="AO54" s="372"/>
      <c r="AP54" s="372"/>
      <c r="AQ54" s="372"/>
      <c r="AR54" s="372"/>
      <c r="AS54" s="372"/>
      <c r="AT54" s="372"/>
      <c r="AU54" s="372"/>
      <c r="AV54" s="372"/>
      <c r="AW54" s="372"/>
      <c r="AX54" s="372"/>
      <c r="AY54" s="372"/>
      <c r="AZ54" s="372"/>
      <c r="BA54" s="372"/>
      <c r="BB54" s="372"/>
      <c r="BC54" s="372"/>
      <c r="BD54" s="372"/>
      <c r="BE54" s="372"/>
      <c r="BF54" s="372"/>
      <c r="BG54" s="372"/>
      <c r="BH54" s="372"/>
      <c r="BI54" s="372"/>
      <c r="BJ54" s="372"/>
      <c r="BK54" s="372"/>
      <c r="BL54" s="372"/>
      <c r="BM54" s="372"/>
      <c r="BN54" s="372"/>
      <c r="BO54" s="372"/>
      <c r="BP54" s="372"/>
      <c r="BQ54" s="372"/>
      <c r="BR54" s="372"/>
      <c r="BS54" s="372"/>
      <c r="BT54" s="372"/>
      <c r="BU54" s="372"/>
      <c r="BV54" s="372"/>
      <c r="BW54" s="372"/>
      <c r="BX54" s="372"/>
      <c r="BY54" s="372"/>
      <c r="BZ54" s="372"/>
      <c r="CA54" s="372"/>
      <c r="CB54" s="372"/>
      <c r="CC54" s="372"/>
      <c r="CD54" s="372"/>
      <c r="CE54" s="372"/>
      <c r="CG54" s="372"/>
      <c r="CH54" s="372"/>
      <c r="CI54" s="372"/>
      <c r="CJ54" s="372"/>
      <c r="CK54" s="372"/>
      <c r="CL54" s="372"/>
      <c r="CM54" s="372"/>
      <c r="CN54" s="372"/>
      <c r="CO54" s="372"/>
      <c r="CP54" s="372"/>
      <c r="CQ54" s="372"/>
      <c r="CR54" s="372"/>
      <c r="CS54" s="372"/>
      <c r="CT54" s="372"/>
      <c r="CU54" s="372"/>
      <c r="CV54" s="372"/>
      <c r="CW54" s="372"/>
      <c r="CX54" s="372"/>
      <c r="CY54" s="372"/>
      <c r="CZ54" s="372"/>
      <c r="DA54" s="372"/>
      <c r="DB54" s="372"/>
      <c r="DC54" s="372"/>
      <c r="DD54" s="372"/>
      <c r="DE54" s="372"/>
      <c r="DF54" s="372"/>
      <c r="DG54" s="372"/>
      <c r="DH54" s="372"/>
      <c r="DI54" s="372"/>
      <c r="DJ54" s="372"/>
      <c r="DK54" s="372"/>
      <c r="DL54" s="372"/>
      <c r="DM54" s="372"/>
      <c r="DN54" s="372"/>
      <c r="DO54" s="372"/>
      <c r="DP54" s="372"/>
      <c r="DQ54" s="372"/>
      <c r="DR54" s="372"/>
      <c r="DS54" s="372"/>
      <c r="DT54" s="372"/>
      <c r="DU54" s="372"/>
      <c r="DV54" s="372"/>
      <c r="DW54" s="372"/>
      <c r="DX54" s="372"/>
      <c r="DY54" s="372"/>
      <c r="DZ54" s="372"/>
      <c r="EB54" s="372"/>
      <c r="ED54" s="372"/>
      <c r="EE54" s="372"/>
      <c r="EF54" s="372"/>
      <c r="EG54" s="372"/>
      <c r="EH54" s="372"/>
      <c r="EI54" s="372"/>
      <c r="EJ54" s="372"/>
      <c r="EK54" s="372"/>
      <c r="EL54" s="372"/>
      <c r="EM54" s="372"/>
      <c r="EN54" s="372"/>
      <c r="EO54" s="372"/>
      <c r="EP54" s="372"/>
      <c r="EQ54" s="372"/>
      <c r="ER54" s="372"/>
      <c r="ES54" s="372"/>
      <c r="ET54" s="372"/>
      <c r="EU54" s="372"/>
      <c r="EV54" s="372"/>
      <c r="EW54" s="372"/>
      <c r="EX54" s="372"/>
      <c r="EY54" s="372"/>
      <c r="EZ54" s="372"/>
      <c r="FA54" s="372"/>
      <c r="FB54" s="372"/>
      <c r="FC54" s="372"/>
      <c r="FD54" s="372"/>
      <c r="FE54" s="372"/>
      <c r="FF54" s="372"/>
      <c r="FG54" s="372"/>
      <c r="FH54" s="372"/>
      <c r="FI54" s="372"/>
      <c r="FJ54" s="372"/>
      <c r="FK54" s="372"/>
      <c r="FL54" s="372"/>
      <c r="FM54" s="372"/>
      <c r="FN54" s="372"/>
      <c r="FO54" s="375" t="s">
        <v>850</v>
      </c>
      <c r="FP54" s="376" t="s">
        <v>1120</v>
      </c>
      <c r="FQ54" s="377" t="s">
        <v>522</v>
      </c>
      <c r="FR54" s="377" t="s">
        <v>850</v>
      </c>
      <c r="FS54" s="377" t="s">
        <v>585</v>
      </c>
      <c r="FT54" s="144">
        <f t="shared" si="1"/>
        <v>0</v>
      </c>
      <c r="FU54" s="371" t="s">
        <v>905</v>
      </c>
    </row>
    <row r="55" spans="1:177" s="371" customFormat="1">
      <c r="A55" s="368" t="s">
        <v>918</v>
      </c>
      <c r="B55" s="369" t="s">
        <v>517</v>
      </c>
      <c r="C55" s="369" t="s">
        <v>555</v>
      </c>
      <c r="D55" s="369" t="s">
        <v>8</v>
      </c>
      <c r="E55" s="370" t="s">
        <v>586</v>
      </c>
      <c r="F55" s="369" t="s">
        <v>520</v>
      </c>
      <c r="G55" s="369" t="s">
        <v>1129</v>
      </c>
      <c r="BS55" s="372"/>
      <c r="DA55" s="418">
        <v>5</v>
      </c>
      <c r="DG55" s="418">
        <v>100</v>
      </c>
      <c r="DH55" s="372"/>
      <c r="DS55" s="372"/>
      <c r="EB55" s="416">
        <v>20</v>
      </c>
      <c r="EH55" s="372"/>
      <c r="ER55" s="416">
        <v>40</v>
      </c>
      <c r="FO55" s="375" t="s">
        <v>850</v>
      </c>
      <c r="FP55" s="376" t="s">
        <v>1120</v>
      </c>
      <c r="FQ55" s="377" t="s">
        <v>522</v>
      </c>
      <c r="FR55" s="377" t="s">
        <v>850</v>
      </c>
      <c r="FS55" s="377" t="s">
        <v>579</v>
      </c>
      <c r="FT55" s="144">
        <f t="shared" si="1"/>
        <v>165</v>
      </c>
      <c r="FU55" s="371" t="s">
        <v>920</v>
      </c>
    </row>
    <row r="56" spans="1:177" s="371" customFormat="1">
      <c r="A56" s="368" t="s">
        <v>918</v>
      </c>
      <c r="B56" s="369" t="s">
        <v>517</v>
      </c>
      <c r="C56" s="369" t="s">
        <v>555</v>
      </c>
      <c r="D56" s="369" t="s">
        <v>4</v>
      </c>
      <c r="E56" s="370" t="s">
        <v>586</v>
      </c>
      <c r="F56" s="369" t="s">
        <v>520</v>
      </c>
      <c r="G56" s="369" t="s">
        <v>1129</v>
      </c>
      <c r="H56" s="372"/>
      <c r="I56" s="372"/>
      <c r="J56" s="373">
        <f>20-20</f>
        <v>0</v>
      </c>
      <c r="K56" s="373">
        <f>20-20</f>
        <v>0</v>
      </c>
      <c r="L56" s="373">
        <f>20-20</f>
        <v>0</v>
      </c>
      <c r="M56" s="372" t="s">
        <v>850</v>
      </c>
      <c r="N56" s="373">
        <f>20-20</f>
        <v>0</v>
      </c>
      <c r="O56" s="373">
        <f>20-20+5</f>
        <v>5</v>
      </c>
      <c r="P56" s="372"/>
      <c r="Q56" s="373">
        <f>20-20</f>
        <v>0</v>
      </c>
      <c r="R56" s="373">
        <f>40-40</f>
        <v>0</v>
      </c>
      <c r="S56" s="372"/>
      <c r="T56" s="373">
        <f>20-20</f>
        <v>0</v>
      </c>
      <c r="U56" s="373">
        <f>40-40</f>
        <v>0</v>
      </c>
      <c r="V56" s="373">
        <f>40-40</f>
        <v>0</v>
      </c>
      <c r="W56" s="373">
        <f>40-40</f>
        <v>0</v>
      </c>
      <c r="X56" s="372"/>
      <c r="Y56" s="372" t="s">
        <v>850</v>
      </c>
      <c r="Z56" s="372" t="s">
        <v>850</v>
      </c>
      <c r="AA56" s="372" t="s">
        <v>850</v>
      </c>
      <c r="AB56" s="372" t="s">
        <v>850</v>
      </c>
      <c r="AC56" s="372" t="s">
        <v>850</v>
      </c>
      <c r="AD56" s="372" t="s">
        <v>850</v>
      </c>
      <c r="AE56" s="372" t="s">
        <v>850</v>
      </c>
      <c r="AF56" s="372" t="s">
        <v>850</v>
      </c>
      <c r="AG56" s="372" t="s">
        <v>850</v>
      </c>
      <c r="AH56" s="372" t="s">
        <v>850</v>
      </c>
      <c r="AI56" s="372" t="s">
        <v>850</v>
      </c>
      <c r="AJ56" s="372" t="s">
        <v>850</v>
      </c>
      <c r="AK56" s="372" t="s">
        <v>850</v>
      </c>
      <c r="AL56" s="372" t="s">
        <v>850</v>
      </c>
      <c r="AM56" s="372" t="s">
        <v>850</v>
      </c>
      <c r="AN56" s="373">
        <f>5-5</f>
        <v>0</v>
      </c>
      <c r="AO56" s="372" t="s">
        <v>850</v>
      </c>
      <c r="AP56" s="372" t="s">
        <v>850</v>
      </c>
      <c r="AQ56" s="373">
        <f>5-5</f>
        <v>0</v>
      </c>
      <c r="AR56" s="373">
        <f>5-5</f>
        <v>0</v>
      </c>
      <c r="AS56" s="373">
        <f>10-10</f>
        <v>0</v>
      </c>
      <c r="AT56" s="373">
        <f>10-10</f>
        <v>0</v>
      </c>
      <c r="AU56" s="373">
        <f>10-10+5</f>
        <v>5</v>
      </c>
      <c r="AV56" s="373">
        <f>10-10+5</f>
        <v>5</v>
      </c>
      <c r="AW56" s="373">
        <f>10-10</f>
        <v>0</v>
      </c>
      <c r="AX56" s="373">
        <f>10-10+1</f>
        <v>1</v>
      </c>
      <c r="AY56" s="372"/>
      <c r="AZ56" s="372" t="s">
        <v>850</v>
      </c>
      <c r="BA56" s="372" t="s">
        <v>850</v>
      </c>
      <c r="BB56" s="372" t="s">
        <v>850</v>
      </c>
      <c r="BC56" s="372"/>
      <c r="BD56" s="372"/>
      <c r="BE56" s="373">
        <f>20-20</f>
        <v>0</v>
      </c>
      <c r="BF56" s="373">
        <f>20-20</f>
        <v>0</v>
      </c>
      <c r="BG56" s="373">
        <f>40-40+10</f>
        <v>10</v>
      </c>
      <c r="BH56" s="373">
        <f>20-20</f>
        <v>0</v>
      </c>
      <c r="BI56" s="373">
        <f>20-20</f>
        <v>0</v>
      </c>
      <c r="BJ56" s="373">
        <f>40-40+5</f>
        <v>5</v>
      </c>
      <c r="BK56" s="372"/>
      <c r="BL56" s="372" t="s">
        <v>850</v>
      </c>
      <c r="BM56" s="372" t="s">
        <v>850</v>
      </c>
      <c r="BN56" s="372" t="s">
        <v>850</v>
      </c>
      <c r="BO56" s="373">
        <f>5-5</f>
        <v>0</v>
      </c>
      <c r="BP56" s="373">
        <f>5-5+3</f>
        <v>3</v>
      </c>
      <c r="BQ56" s="373">
        <f>20-20</f>
        <v>0</v>
      </c>
      <c r="BR56" s="373">
        <f>20-20</f>
        <v>0</v>
      </c>
      <c r="BS56" s="372"/>
      <c r="BT56" s="373">
        <f>5-5</f>
        <v>0</v>
      </c>
      <c r="BU56" s="373">
        <f>40-40+20</f>
        <v>20</v>
      </c>
      <c r="BV56" s="373">
        <f>40-40+5</f>
        <v>5</v>
      </c>
      <c r="BW56" s="372" t="s">
        <v>850</v>
      </c>
      <c r="BX56" s="373">
        <f>20-20</f>
        <v>0</v>
      </c>
      <c r="BY56" s="373">
        <f>20-20+10</f>
        <v>10</v>
      </c>
      <c r="BZ56" s="373">
        <f>40-40+10</f>
        <v>10</v>
      </c>
      <c r="CA56" s="373">
        <f>60-60+10</f>
        <v>10</v>
      </c>
      <c r="CB56" s="372" t="s">
        <v>850</v>
      </c>
      <c r="CC56" s="373">
        <f>40-40</f>
        <v>0</v>
      </c>
      <c r="CD56" s="373">
        <f>40-40</f>
        <v>0</v>
      </c>
      <c r="CE56" s="373">
        <f>60-60+10</f>
        <v>10</v>
      </c>
      <c r="CF56" s="418">
        <v>6</v>
      </c>
      <c r="CG56" s="373">
        <f>60-60+40</f>
        <v>40</v>
      </c>
      <c r="CH56" s="372"/>
      <c r="CI56" s="373">
        <f>60-60</f>
        <v>0</v>
      </c>
      <c r="CJ56" s="372" t="s">
        <v>850</v>
      </c>
      <c r="CK56" s="372" t="s">
        <v>850</v>
      </c>
      <c r="CL56" s="373">
        <f>40-40+20</f>
        <v>20</v>
      </c>
      <c r="CM56" s="373">
        <f>40-40+20</f>
        <v>20</v>
      </c>
      <c r="CN56" s="373">
        <f>40-40+20</f>
        <v>20</v>
      </c>
      <c r="CO56" s="373">
        <f>40-40+10</f>
        <v>10</v>
      </c>
      <c r="CP56" s="373">
        <f>40-40+10</f>
        <v>10</v>
      </c>
      <c r="CQ56" s="372" t="s">
        <v>850</v>
      </c>
      <c r="CR56" s="372" t="s">
        <v>850</v>
      </c>
      <c r="CS56" s="372" t="s">
        <v>850</v>
      </c>
      <c r="CT56" s="372" t="s">
        <v>850</v>
      </c>
      <c r="CU56" s="373">
        <f>20-20</f>
        <v>0</v>
      </c>
      <c r="CV56" s="372"/>
      <c r="CW56" s="373">
        <f>60-60+10</f>
        <v>10</v>
      </c>
      <c r="CX56" s="373">
        <f>100-100+10</f>
        <v>10</v>
      </c>
      <c r="CY56" s="373">
        <f>60-60</f>
        <v>0</v>
      </c>
      <c r="CZ56" s="373">
        <f>100-100</f>
        <v>0</v>
      </c>
      <c r="DA56" s="373">
        <f>60-60</f>
        <v>0</v>
      </c>
      <c r="DB56" s="372" t="s">
        <v>850</v>
      </c>
      <c r="DC56" s="372" t="s">
        <v>850</v>
      </c>
      <c r="DD56" s="372" t="s">
        <v>850</v>
      </c>
      <c r="DE56" s="372" t="s">
        <v>850</v>
      </c>
      <c r="DF56" s="372" t="s">
        <v>850</v>
      </c>
      <c r="DG56" s="373">
        <f>200-200</f>
        <v>0</v>
      </c>
      <c r="DH56" s="372"/>
      <c r="DI56" s="372" t="s">
        <v>850</v>
      </c>
      <c r="DJ56" s="372" t="s">
        <v>850</v>
      </c>
      <c r="DK56" s="373">
        <f>100-100+10</f>
        <v>10</v>
      </c>
      <c r="DL56" s="372" t="s">
        <v>850</v>
      </c>
      <c r="DM56" s="372" t="s">
        <v>850</v>
      </c>
      <c r="DN56" s="372" t="s">
        <v>850</v>
      </c>
      <c r="DO56" s="373">
        <f>100-100</f>
        <v>0</v>
      </c>
      <c r="DP56" s="372" t="s">
        <v>850</v>
      </c>
      <c r="DQ56" s="373">
        <f>100-100</f>
        <v>0</v>
      </c>
      <c r="DR56" s="372"/>
      <c r="DS56" s="372"/>
      <c r="DT56" s="373">
        <f>100-100</f>
        <v>0</v>
      </c>
      <c r="DU56" s="372" t="s">
        <v>850</v>
      </c>
      <c r="DV56" s="373">
        <f>100-100</f>
        <v>0</v>
      </c>
      <c r="DW56" s="373">
        <f>100-100</f>
        <v>0</v>
      </c>
      <c r="DX56" s="372" t="s">
        <v>850</v>
      </c>
      <c r="DY56" s="372" t="s">
        <v>850</v>
      </c>
      <c r="DZ56" s="373">
        <f>100-100+40</f>
        <v>40</v>
      </c>
      <c r="EB56" s="373">
        <f>40-40</f>
        <v>0</v>
      </c>
      <c r="ED56" s="373">
        <f>100-100</f>
        <v>0</v>
      </c>
      <c r="EE56" s="372" t="s">
        <v>850</v>
      </c>
      <c r="EF56" s="372" t="s">
        <v>850</v>
      </c>
      <c r="EG56" s="372" t="s">
        <v>850</v>
      </c>
      <c r="EH56" s="372"/>
      <c r="EI56" s="373">
        <f>100-100</f>
        <v>0</v>
      </c>
      <c r="EJ56" s="372" t="s">
        <v>850</v>
      </c>
      <c r="EK56" s="373">
        <f>100-100+20</f>
        <v>20</v>
      </c>
      <c r="EL56" s="373">
        <f>100-100+20</f>
        <v>20</v>
      </c>
      <c r="EM56" s="373">
        <f>100-100</f>
        <v>0</v>
      </c>
      <c r="EN56" s="372" t="s">
        <v>850</v>
      </c>
      <c r="EO56" s="372" t="s">
        <v>850</v>
      </c>
      <c r="EP56" s="372" t="s">
        <v>850</v>
      </c>
      <c r="EQ56" s="373">
        <f>100-100</f>
        <v>0</v>
      </c>
      <c r="ER56" s="373">
        <f>100-100</f>
        <v>0</v>
      </c>
      <c r="ES56" s="373">
        <f>100-100</f>
        <v>0</v>
      </c>
      <c r="ET56" s="372" t="s">
        <v>850</v>
      </c>
      <c r="EU56" s="373">
        <f>40-40</f>
        <v>0</v>
      </c>
      <c r="EV56" s="372"/>
      <c r="EW56" s="372" t="s">
        <v>850</v>
      </c>
      <c r="EX56" s="372" t="s">
        <v>850</v>
      </c>
      <c r="EY56" s="372" t="s">
        <v>850</v>
      </c>
      <c r="EZ56" s="372" t="s">
        <v>850</v>
      </c>
      <c r="FA56" s="372" t="s">
        <v>850</v>
      </c>
      <c r="FB56" s="372" t="s">
        <v>850</v>
      </c>
      <c r="FC56" s="372" t="s">
        <v>850</v>
      </c>
      <c r="FD56" s="372" t="s">
        <v>850</v>
      </c>
      <c r="FE56" s="372" t="s">
        <v>850</v>
      </c>
      <c r="FF56" s="372" t="s">
        <v>850</v>
      </c>
      <c r="FG56" s="372" t="s">
        <v>850</v>
      </c>
      <c r="FH56" s="372" t="s">
        <v>850</v>
      </c>
      <c r="FI56" s="372" t="s">
        <v>850</v>
      </c>
      <c r="FJ56" s="372" t="s">
        <v>850</v>
      </c>
      <c r="FK56" s="372" t="s">
        <v>850</v>
      </c>
      <c r="FL56" s="372" t="s">
        <v>850</v>
      </c>
      <c r="FM56" s="372" t="s">
        <v>850</v>
      </c>
      <c r="FN56" s="372" t="s">
        <v>850</v>
      </c>
      <c r="FO56" s="375" t="s">
        <v>850</v>
      </c>
      <c r="FP56" s="376" t="s">
        <v>1120</v>
      </c>
      <c r="FQ56" s="377" t="s">
        <v>522</v>
      </c>
      <c r="FR56" s="377" t="s">
        <v>850</v>
      </c>
      <c r="FS56" s="377" t="s">
        <v>579</v>
      </c>
      <c r="FT56" s="144">
        <f t="shared" si="1"/>
        <v>335</v>
      </c>
      <c r="FU56" s="371" t="s">
        <v>920</v>
      </c>
    </row>
    <row r="57" spans="1:177" s="371" customFormat="1" ht="10.5">
      <c r="A57" s="368" t="s">
        <v>918</v>
      </c>
      <c r="B57" s="369" t="s">
        <v>517</v>
      </c>
      <c r="C57" s="369" t="s">
        <v>555</v>
      </c>
      <c r="D57" s="369" t="s">
        <v>3</v>
      </c>
      <c r="E57" s="370" t="s">
        <v>586</v>
      </c>
      <c r="F57" s="369" t="s">
        <v>520</v>
      </c>
      <c r="G57" s="369" t="s">
        <v>1130</v>
      </c>
      <c r="H57" s="372"/>
      <c r="I57" s="372"/>
      <c r="J57" s="372"/>
      <c r="K57" s="372"/>
      <c r="L57" s="372"/>
      <c r="M57" s="372"/>
      <c r="N57" s="372"/>
      <c r="O57" s="372"/>
      <c r="P57" s="372"/>
      <c r="Q57" s="372"/>
      <c r="R57" s="372"/>
      <c r="S57" s="372"/>
      <c r="T57" s="372"/>
      <c r="U57" s="372"/>
      <c r="V57" s="372"/>
      <c r="W57" s="372"/>
      <c r="X57" s="372"/>
      <c r="Y57" s="372"/>
      <c r="Z57" s="372"/>
      <c r="AA57" s="372"/>
      <c r="AB57" s="372"/>
      <c r="AC57" s="372"/>
      <c r="AD57" s="372"/>
      <c r="AE57" s="372"/>
      <c r="AF57" s="372"/>
      <c r="AG57" s="372"/>
      <c r="AH57" s="372"/>
      <c r="AI57" s="372"/>
      <c r="AJ57" s="372"/>
      <c r="AK57" s="372"/>
      <c r="AL57" s="372"/>
      <c r="AM57" s="372"/>
      <c r="AN57" s="443">
        <v>5</v>
      </c>
      <c r="AO57" s="372"/>
      <c r="AP57" s="372"/>
      <c r="AQ57" s="372"/>
      <c r="AR57" s="372"/>
      <c r="AS57" s="372"/>
      <c r="AT57" s="372"/>
      <c r="AU57" s="372"/>
      <c r="AV57" s="372"/>
      <c r="AW57" s="372"/>
      <c r="AX57" s="372"/>
      <c r="AY57" s="372"/>
      <c r="AZ57" s="372"/>
      <c r="BA57" s="372"/>
      <c r="BB57" s="372"/>
      <c r="BC57" s="372"/>
      <c r="BD57" s="372"/>
      <c r="BE57" s="372"/>
      <c r="BF57" s="372"/>
      <c r="BG57" s="372"/>
      <c r="BH57" s="372"/>
      <c r="BI57" s="372"/>
      <c r="BJ57" s="372"/>
      <c r="BK57" s="372"/>
      <c r="BL57" s="372"/>
      <c r="BM57" s="372"/>
      <c r="BN57" s="372"/>
      <c r="BO57" s="372"/>
      <c r="BP57" s="372"/>
      <c r="BQ57" s="372"/>
      <c r="BR57" s="372"/>
      <c r="BS57" s="372"/>
      <c r="BT57" s="443">
        <v>5</v>
      </c>
      <c r="BU57" s="372"/>
      <c r="BV57" s="372"/>
      <c r="BW57" s="372"/>
      <c r="BX57" s="372"/>
      <c r="BY57" s="372"/>
      <c r="BZ57" s="372"/>
      <c r="CA57" s="372"/>
      <c r="CB57" s="372"/>
      <c r="CC57" s="372"/>
      <c r="CD57" s="372"/>
      <c r="CE57" s="372"/>
      <c r="CG57" s="372"/>
      <c r="CH57" s="372"/>
      <c r="CI57" s="372"/>
      <c r="CJ57" s="372"/>
      <c r="CK57" s="372"/>
      <c r="CL57" s="372"/>
      <c r="CM57" s="372"/>
      <c r="CN57" s="372"/>
      <c r="CO57" s="372"/>
      <c r="CP57" s="372"/>
      <c r="CQ57" s="372"/>
      <c r="CR57" s="372"/>
      <c r="CS57" s="372"/>
      <c r="CT57" s="372"/>
      <c r="CU57" s="372"/>
      <c r="CV57" s="372"/>
      <c r="CW57" s="372"/>
      <c r="CX57" s="372"/>
      <c r="CY57" s="372"/>
      <c r="CZ57" s="372"/>
      <c r="DA57" s="372"/>
      <c r="DB57" s="372"/>
      <c r="DC57" s="372"/>
      <c r="DD57" s="372"/>
      <c r="DE57" s="372"/>
      <c r="DF57" s="372"/>
      <c r="DG57" s="372"/>
      <c r="DH57" s="372"/>
      <c r="DI57" s="372"/>
      <c r="DJ57" s="372"/>
      <c r="DK57" s="372"/>
      <c r="DL57" s="372"/>
      <c r="DM57" s="372"/>
      <c r="DN57" s="372"/>
      <c r="DO57" s="372"/>
      <c r="DP57" s="372"/>
      <c r="DQ57" s="372"/>
      <c r="DR57" s="372"/>
      <c r="DS57" s="372"/>
      <c r="DT57" s="372"/>
      <c r="DU57" s="372"/>
      <c r="DV57" s="372"/>
      <c r="DW57" s="372"/>
      <c r="DX57" s="372"/>
      <c r="DY57" s="372"/>
      <c r="DZ57" s="372"/>
      <c r="EB57" s="372"/>
      <c r="ED57" s="372"/>
      <c r="EE57" s="372"/>
      <c r="EF57" s="372"/>
      <c r="EG57" s="372"/>
      <c r="EH57" s="372"/>
      <c r="EI57" s="372"/>
      <c r="EJ57" s="372"/>
      <c r="EK57" s="372"/>
      <c r="EL57" s="372"/>
      <c r="EM57" s="372"/>
      <c r="EN57" s="372"/>
      <c r="EO57" s="372"/>
      <c r="EP57" s="372"/>
      <c r="EQ57" s="372"/>
      <c r="ER57" s="372"/>
      <c r="ES57" s="372"/>
      <c r="ET57" s="372"/>
      <c r="EU57" s="372"/>
      <c r="EV57" s="372"/>
      <c r="EW57" s="372"/>
      <c r="EX57" s="372"/>
      <c r="EY57" s="372"/>
      <c r="EZ57" s="372"/>
      <c r="FA57" s="372"/>
      <c r="FB57" s="372"/>
      <c r="FC57" s="372"/>
      <c r="FD57" s="372"/>
      <c r="FE57" s="372"/>
      <c r="FF57" s="372"/>
      <c r="FG57" s="372"/>
      <c r="FH57" s="372"/>
      <c r="FI57" s="372"/>
      <c r="FJ57" s="372"/>
      <c r="FK57" s="372"/>
      <c r="FL57" s="372"/>
      <c r="FM57" s="372"/>
      <c r="FN57" s="372"/>
      <c r="FO57" s="375" t="s">
        <v>850</v>
      </c>
      <c r="FP57" s="376" t="s">
        <v>1120</v>
      </c>
      <c r="FQ57" s="377" t="s">
        <v>522</v>
      </c>
      <c r="FR57" s="377" t="s">
        <v>850</v>
      </c>
      <c r="FS57" s="377" t="s">
        <v>579</v>
      </c>
      <c r="FT57" s="144">
        <f t="shared" si="1"/>
        <v>10</v>
      </c>
      <c r="FU57" s="371" t="s">
        <v>920</v>
      </c>
    </row>
    <row r="58" spans="1:177" s="371" customFormat="1">
      <c r="A58" s="368" t="s">
        <v>526</v>
      </c>
      <c r="B58" s="369" t="s">
        <v>517</v>
      </c>
      <c r="C58" s="369" t="s">
        <v>555</v>
      </c>
      <c r="D58" s="369" t="s">
        <v>8</v>
      </c>
      <c r="E58" s="370" t="s">
        <v>988</v>
      </c>
      <c r="F58" s="369" t="s">
        <v>520</v>
      </c>
      <c r="G58" s="369"/>
      <c r="BS58" s="372"/>
      <c r="DH58" s="372"/>
      <c r="DS58" s="372"/>
      <c r="EH58" s="372"/>
      <c r="FO58" s="375" t="s">
        <v>850</v>
      </c>
      <c r="FP58" s="376" t="s">
        <v>1120</v>
      </c>
      <c r="FQ58" s="377" t="s">
        <v>522</v>
      </c>
      <c r="FR58" s="377" t="s">
        <v>850</v>
      </c>
      <c r="FS58" s="377" t="s">
        <v>565</v>
      </c>
      <c r="FT58" s="144">
        <f t="shared" si="1"/>
        <v>0</v>
      </c>
      <c r="FU58" s="371" t="s">
        <v>906</v>
      </c>
    </row>
    <row r="59" spans="1:177" s="371" customFormat="1">
      <c r="A59" s="368" t="s">
        <v>526</v>
      </c>
      <c r="B59" s="369" t="s">
        <v>517</v>
      </c>
      <c r="C59" s="369" t="s">
        <v>555</v>
      </c>
      <c r="D59" s="369" t="s">
        <v>4</v>
      </c>
      <c r="E59" s="370" t="s">
        <v>988</v>
      </c>
      <c r="F59" s="369" t="s">
        <v>520</v>
      </c>
      <c r="G59" s="369"/>
      <c r="H59" s="372"/>
      <c r="I59" s="372"/>
      <c r="J59" s="372" t="s">
        <v>850</v>
      </c>
      <c r="K59" s="372"/>
      <c r="L59" s="373">
        <f>20-20</f>
        <v>0</v>
      </c>
      <c r="M59" s="372" t="s">
        <v>850</v>
      </c>
      <c r="N59" s="373">
        <f>20-20</f>
        <v>0</v>
      </c>
      <c r="O59" s="373">
        <f>20-20</f>
        <v>0</v>
      </c>
      <c r="P59" s="372"/>
      <c r="Q59" s="372"/>
      <c r="R59" s="373">
        <f>20-20</f>
        <v>0</v>
      </c>
      <c r="S59" s="372"/>
      <c r="T59" s="373">
        <f>40-40</f>
        <v>0</v>
      </c>
      <c r="U59" s="372"/>
      <c r="V59" s="373">
        <f>60-60</f>
        <v>0</v>
      </c>
      <c r="W59" s="373">
        <f>60-60</f>
        <v>0</v>
      </c>
      <c r="X59" s="372"/>
      <c r="Y59" s="373">
        <f>40-40</f>
        <v>0</v>
      </c>
      <c r="Z59" s="373">
        <f>20-20</f>
        <v>0</v>
      </c>
      <c r="AA59" s="373">
        <f>40-40</f>
        <v>0</v>
      </c>
      <c r="AB59" s="372" t="s">
        <v>850</v>
      </c>
      <c r="AC59" s="372" t="s">
        <v>850</v>
      </c>
      <c r="AD59" s="372" t="s">
        <v>850</v>
      </c>
      <c r="AE59" s="372" t="s">
        <v>850</v>
      </c>
      <c r="AF59" s="372" t="s">
        <v>850</v>
      </c>
      <c r="AG59" s="372" t="s">
        <v>850</v>
      </c>
      <c r="AH59" s="372" t="s">
        <v>850</v>
      </c>
      <c r="AI59" s="372" t="s">
        <v>850</v>
      </c>
      <c r="AJ59" s="372" t="s">
        <v>850</v>
      </c>
      <c r="AK59" s="372" t="s">
        <v>850</v>
      </c>
      <c r="AL59" s="372" t="s">
        <v>850</v>
      </c>
      <c r="AM59" s="372" t="s">
        <v>850</v>
      </c>
      <c r="AN59" s="372"/>
      <c r="AO59" s="372" t="s">
        <v>850</v>
      </c>
      <c r="AP59" s="372" t="s">
        <v>850</v>
      </c>
      <c r="AQ59" s="372" t="s">
        <v>850</v>
      </c>
      <c r="AR59" s="372"/>
      <c r="AS59" s="372"/>
      <c r="AT59" s="372" t="s">
        <v>850</v>
      </c>
      <c r="AU59" s="373">
        <f>10-10+1</f>
        <v>1</v>
      </c>
      <c r="AV59" s="372"/>
      <c r="AW59" s="372" t="s">
        <v>850</v>
      </c>
      <c r="AX59" s="372"/>
      <c r="AY59" s="372"/>
      <c r="AZ59" s="372" t="s">
        <v>850</v>
      </c>
      <c r="BA59" s="372" t="s">
        <v>850</v>
      </c>
      <c r="BB59" s="372" t="s">
        <v>850</v>
      </c>
      <c r="BC59" s="372"/>
      <c r="BD59" s="372"/>
      <c r="BE59" s="372" t="s">
        <v>850</v>
      </c>
      <c r="BF59" s="372" t="s">
        <v>850</v>
      </c>
      <c r="BG59" s="373">
        <f>10-10+2</f>
        <v>2</v>
      </c>
      <c r="BH59" s="372" t="s">
        <v>850</v>
      </c>
      <c r="BI59" s="373">
        <f>20-20</f>
        <v>0</v>
      </c>
      <c r="BJ59" s="372"/>
      <c r="BK59" s="372"/>
      <c r="BL59" s="372" t="s">
        <v>850</v>
      </c>
      <c r="BM59" s="372" t="s">
        <v>850</v>
      </c>
      <c r="BN59" s="372" t="s">
        <v>850</v>
      </c>
      <c r="BO59" s="372" t="s">
        <v>850</v>
      </c>
      <c r="BP59" s="372"/>
      <c r="BQ59" s="372" t="s">
        <v>850</v>
      </c>
      <c r="BR59" s="372" t="s">
        <v>850</v>
      </c>
      <c r="BS59" s="372"/>
      <c r="BT59" s="372"/>
      <c r="BU59" s="373">
        <f>10-10+5</f>
        <v>5</v>
      </c>
      <c r="BV59" s="372"/>
      <c r="BW59" s="372" t="s">
        <v>850</v>
      </c>
      <c r="BX59" s="372" t="s">
        <v>850</v>
      </c>
      <c r="BY59" s="372"/>
      <c r="BZ59" s="372"/>
      <c r="CA59" s="373">
        <f>20-20+2</f>
        <v>2</v>
      </c>
      <c r="CB59" s="372" t="s">
        <v>850</v>
      </c>
      <c r="CC59" s="373">
        <f>20-20</f>
        <v>0</v>
      </c>
      <c r="CD59" s="372" t="s">
        <v>850</v>
      </c>
      <c r="CE59" s="372"/>
      <c r="CG59" s="373">
        <f>10-10+5</f>
        <v>5</v>
      </c>
      <c r="CH59" s="373">
        <f>10-10+5</f>
        <v>5</v>
      </c>
      <c r="CI59" s="373">
        <f>20-20</f>
        <v>0</v>
      </c>
      <c r="CJ59" s="373">
        <f>20-20</f>
        <v>0</v>
      </c>
      <c r="CK59" s="372" t="s">
        <v>850</v>
      </c>
      <c r="CL59" s="372"/>
      <c r="CM59" s="372"/>
      <c r="CN59" s="373">
        <f>20-20+10</f>
        <v>10</v>
      </c>
      <c r="CO59" s="372"/>
      <c r="CP59" s="373">
        <f>20-20+5</f>
        <v>5</v>
      </c>
      <c r="CQ59" s="372" t="s">
        <v>850</v>
      </c>
      <c r="CR59" s="373">
        <f>20-20</f>
        <v>0</v>
      </c>
      <c r="CS59" s="372" t="s">
        <v>850</v>
      </c>
      <c r="CT59" s="372" t="s">
        <v>850</v>
      </c>
      <c r="CU59" s="372"/>
      <c r="CV59" s="372"/>
      <c r="CW59" s="372"/>
      <c r="CX59" s="373">
        <f>40-40+5</f>
        <v>5</v>
      </c>
      <c r="CY59" s="372"/>
      <c r="CZ59" s="372" t="s">
        <v>850</v>
      </c>
      <c r="DA59" s="372"/>
      <c r="DB59" s="372" t="s">
        <v>850</v>
      </c>
      <c r="DC59" s="372" t="s">
        <v>850</v>
      </c>
      <c r="DD59" s="372" t="s">
        <v>850</v>
      </c>
      <c r="DE59" s="373">
        <f>100-100</f>
        <v>0</v>
      </c>
      <c r="DF59" s="372" t="s">
        <v>850</v>
      </c>
      <c r="DG59" s="372"/>
      <c r="DH59" s="372"/>
      <c r="DI59" s="372" t="s">
        <v>850</v>
      </c>
      <c r="DJ59" s="372" t="s">
        <v>850</v>
      </c>
      <c r="DK59" s="372"/>
      <c r="DL59" s="372" t="s">
        <v>850</v>
      </c>
      <c r="DM59" s="372" t="s">
        <v>850</v>
      </c>
      <c r="DN59" s="372" t="s">
        <v>850</v>
      </c>
      <c r="DO59" s="373">
        <f>100-100</f>
        <v>0</v>
      </c>
      <c r="DP59" s="372" t="s">
        <v>850</v>
      </c>
      <c r="DQ59" s="372"/>
      <c r="DR59" s="372"/>
      <c r="DS59" s="372"/>
      <c r="DT59" s="372" t="s">
        <v>850</v>
      </c>
      <c r="DU59" s="372" t="s">
        <v>850</v>
      </c>
      <c r="DV59" s="372" t="s">
        <v>850</v>
      </c>
      <c r="DW59" s="372" t="s">
        <v>850</v>
      </c>
      <c r="DX59" s="372" t="s">
        <v>850</v>
      </c>
      <c r="DY59" s="372" t="s">
        <v>850</v>
      </c>
      <c r="DZ59" s="372"/>
      <c r="EB59" s="372"/>
      <c r="ED59" s="372" t="s">
        <v>850</v>
      </c>
      <c r="EE59" s="372" t="s">
        <v>850</v>
      </c>
      <c r="EF59" s="372" t="s">
        <v>850</v>
      </c>
      <c r="EG59" s="372" t="s">
        <v>850</v>
      </c>
      <c r="EH59" s="372"/>
      <c r="EI59" s="372" t="s">
        <v>850</v>
      </c>
      <c r="EJ59" s="372" t="s">
        <v>850</v>
      </c>
      <c r="EK59" s="372"/>
      <c r="EL59" s="372"/>
      <c r="EM59" s="372" t="s">
        <v>850</v>
      </c>
      <c r="EN59" s="372" t="s">
        <v>850</v>
      </c>
      <c r="EO59" s="372" t="s">
        <v>850</v>
      </c>
      <c r="EP59" s="372" t="s">
        <v>850</v>
      </c>
      <c r="EQ59" s="373">
        <f>100-100</f>
        <v>0</v>
      </c>
      <c r="ER59" s="372"/>
      <c r="ES59" s="372" t="s">
        <v>850</v>
      </c>
      <c r="ET59" s="372" t="s">
        <v>850</v>
      </c>
      <c r="EU59" s="372"/>
      <c r="EV59" s="372"/>
      <c r="EW59" s="372" t="s">
        <v>850</v>
      </c>
      <c r="EX59" s="372" t="s">
        <v>850</v>
      </c>
      <c r="EY59" s="372" t="s">
        <v>850</v>
      </c>
      <c r="EZ59" s="372" t="s">
        <v>850</v>
      </c>
      <c r="FA59" s="372" t="s">
        <v>850</v>
      </c>
      <c r="FB59" s="372" t="s">
        <v>850</v>
      </c>
      <c r="FC59" s="372" t="s">
        <v>850</v>
      </c>
      <c r="FD59" s="372" t="s">
        <v>850</v>
      </c>
      <c r="FE59" s="372" t="s">
        <v>850</v>
      </c>
      <c r="FF59" s="372" t="s">
        <v>850</v>
      </c>
      <c r="FG59" s="372" t="s">
        <v>850</v>
      </c>
      <c r="FH59" s="372" t="s">
        <v>850</v>
      </c>
      <c r="FI59" s="372" t="s">
        <v>850</v>
      </c>
      <c r="FJ59" s="372" t="s">
        <v>850</v>
      </c>
      <c r="FK59" s="372" t="s">
        <v>850</v>
      </c>
      <c r="FL59" s="372" t="s">
        <v>850</v>
      </c>
      <c r="FM59" s="372" t="s">
        <v>850</v>
      </c>
      <c r="FN59" s="372" t="s">
        <v>850</v>
      </c>
      <c r="FO59" s="375" t="s">
        <v>850</v>
      </c>
      <c r="FP59" s="376" t="s">
        <v>1120</v>
      </c>
      <c r="FQ59" s="377" t="s">
        <v>522</v>
      </c>
      <c r="FR59" s="377" t="s">
        <v>850</v>
      </c>
      <c r="FS59" s="377" t="s">
        <v>565</v>
      </c>
      <c r="FT59" s="144">
        <f t="shared" si="1"/>
        <v>40</v>
      </c>
      <c r="FU59" s="371" t="s">
        <v>906</v>
      </c>
    </row>
    <row r="60" spans="1:177" s="371" customFormat="1">
      <c r="A60" s="368" t="s">
        <v>526</v>
      </c>
      <c r="B60" s="369" t="s">
        <v>517</v>
      </c>
      <c r="C60" s="369" t="s">
        <v>555</v>
      </c>
      <c r="D60" s="369" t="s">
        <v>3</v>
      </c>
      <c r="E60" s="370" t="s">
        <v>988</v>
      </c>
      <c r="F60" s="369" t="s">
        <v>520</v>
      </c>
      <c r="G60" s="369"/>
      <c r="H60" s="372"/>
      <c r="I60" s="372"/>
      <c r="J60" s="372"/>
      <c r="K60" s="372"/>
      <c r="L60" s="372"/>
      <c r="M60" s="372"/>
      <c r="N60" s="372"/>
      <c r="O60" s="372"/>
      <c r="P60" s="372"/>
      <c r="Q60" s="372"/>
      <c r="R60" s="372"/>
      <c r="S60" s="372"/>
      <c r="T60" s="372"/>
      <c r="U60" s="372"/>
      <c r="V60" s="372"/>
      <c r="W60" s="372"/>
      <c r="X60" s="372"/>
      <c r="Y60" s="372"/>
      <c r="Z60" s="372"/>
      <c r="AA60" s="372"/>
      <c r="AB60" s="372"/>
      <c r="AC60" s="372"/>
      <c r="AD60" s="372"/>
      <c r="AE60" s="372"/>
      <c r="AF60" s="372"/>
      <c r="AG60" s="372"/>
      <c r="AH60" s="372"/>
      <c r="AI60" s="372"/>
      <c r="AJ60" s="372"/>
      <c r="AK60" s="372"/>
      <c r="AL60" s="372"/>
      <c r="AM60" s="372"/>
      <c r="AN60" s="372"/>
      <c r="AO60" s="372"/>
      <c r="AP60" s="372"/>
      <c r="AQ60" s="372"/>
      <c r="AR60" s="372"/>
      <c r="AS60" s="372"/>
      <c r="AT60" s="372"/>
      <c r="AU60" s="372"/>
      <c r="AV60" s="372"/>
      <c r="AW60" s="372"/>
      <c r="AX60" s="372"/>
      <c r="AY60" s="372"/>
      <c r="AZ60" s="372"/>
      <c r="BA60" s="372"/>
      <c r="BB60" s="372"/>
      <c r="BC60" s="372"/>
      <c r="BD60" s="372"/>
      <c r="BE60" s="372"/>
      <c r="BF60" s="372"/>
      <c r="BG60" s="372"/>
      <c r="BH60" s="372"/>
      <c r="BI60" s="372"/>
      <c r="BJ60" s="372"/>
      <c r="BK60" s="372"/>
      <c r="BL60" s="372"/>
      <c r="BM60" s="372"/>
      <c r="BN60" s="372"/>
      <c r="BO60" s="372"/>
      <c r="BP60" s="372"/>
      <c r="BQ60" s="372"/>
      <c r="BR60" s="372"/>
      <c r="BS60" s="372"/>
      <c r="BT60" s="372"/>
      <c r="BU60" s="372"/>
      <c r="BV60" s="372"/>
      <c r="BW60" s="372"/>
      <c r="BX60" s="372"/>
      <c r="BY60" s="372"/>
      <c r="BZ60" s="372"/>
      <c r="CA60" s="372"/>
      <c r="CB60" s="372"/>
      <c r="CC60" s="372"/>
      <c r="CD60" s="372"/>
      <c r="CE60" s="372"/>
      <c r="CG60" s="372"/>
      <c r="CH60" s="372"/>
      <c r="CI60" s="372"/>
      <c r="CJ60" s="372"/>
      <c r="CK60" s="372"/>
      <c r="CL60" s="372"/>
      <c r="CM60" s="372"/>
      <c r="CN60" s="372"/>
      <c r="CO60" s="372"/>
      <c r="CP60" s="372"/>
      <c r="CQ60" s="372"/>
      <c r="CR60" s="372"/>
      <c r="CS60" s="372"/>
      <c r="CT60" s="372"/>
      <c r="CU60" s="372"/>
      <c r="CV60" s="372"/>
      <c r="CW60" s="372"/>
      <c r="CX60" s="372"/>
      <c r="CY60" s="372"/>
      <c r="CZ60" s="372"/>
      <c r="DA60" s="372"/>
      <c r="DB60" s="372"/>
      <c r="DC60" s="372"/>
      <c r="DD60" s="372"/>
      <c r="DE60" s="372"/>
      <c r="DF60" s="372"/>
      <c r="DG60" s="372"/>
      <c r="DH60" s="372"/>
      <c r="DI60" s="372"/>
      <c r="DJ60" s="372"/>
      <c r="DK60" s="372"/>
      <c r="DL60" s="372"/>
      <c r="DM60" s="372"/>
      <c r="DN60" s="372"/>
      <c r="DO60" s="372"/>
      <c r="DP60" s="372"/>
      <c r="DQ60" s="372"/>
      <c r="DR60" s="372"/>
      <c r="DS60" s="372"/>
      <c r="DT60" s="372"/>
      <c r="DU60" s="372"/>
      <c r="DV60" s="372"/>
      <c r="DW60" s="372"/>
      <c r="DX60" s="372"/>
      <c r="DY60" s="372"/>
      <c r="DZ60" s="372"/>
      <c r="EB60" s="372"/>
      <c r="ED60" s="372"/>
      <c r="EE60" s="372"/>
      <c r="EF60" s="372"/>
      <c r="EG60" s="372"/>
      <c r="EH60" s="372"/>
      <c r="EI60" s="372"/>
      <c r="EJ60" s="372"/>
      <c r="EK60" s="372"/>
      <c r="EL60" s="372"/>
      <c r="EM60" s="372"/>
      <c r="EN60" s="372"/>
      <c r="EO60" s="372"/>
      <c r="EP60" s="372"/>
      <c r="EQ60" s="372"/>
      <c r="ER60" s="372"/>
      <c r="ES60" s="372"/>
      <c r="ET60" s="372"/>
      <c r="EU60" s="372"/>
      <c r="EV60" s="372"/>
      <c r="EW60" s="372"/>
      <c r="EX60" s="372"/>
      <c r="EY60" s="372"/>
      <c r="EZ60" s="372"/>
      <c r="FA60" s="372"/>
      <c r="FB60" s="372"/>
      <c r="FC60" s="372"/>
      <c r="FD60" s="372"/>
      <c r="FE60" s="372"/>
      <c r="FF60" s="372"/>
      <c r="FG60" s="372"/>
      <c r="FH60" s="372"/>
      <c r="FI60" s="372"/>
      <c r="FJ60" s="372"/>
      <c r="FK60" s="372"/>
      <c r="FL60" s="372"/>
      <c r="FM60" s="372"/>
      <c r="FN60" s="372"/>
      <c r="FO60" s="375" t="s">
        <v>850</v>
      </c>
      <c r="FP60" s="376" t="s">
        <v>1120</v>
      </c>
      <c r="FQ60" s="377" t="s">
        <v>522</v>
      </c>
      <c r="FR60" s="377" t="s">
        <v>850</v>
      </c>
      <c r="FS60" s="377" t="s">
        <v>565</v>
      </c>
      <c r="FT60" s="144">
        <f t="shared" si="1"/>
        <v>0</v>
      </c>
      <c r="FU60" s="371" t="s">
        <v>906</v>
      </c>
    </row>
    <row r="61" spans="1:177" s="371" customFormat="1" hidden="1">
      <c r="A61" s="368" t="s">
        <v>526</v>
      </c>
      <c r="B61" s="369" t="s">
        <v>517</v>
      </c>
      <c r="C61" s="369" t="s">
        <v>555</v>
      </c>
      <c r="D61" s="369" t="s">
        <v>8</v>
      </c>
      <c r="E61" s="370" t="s">
        <v>589</v>
      </c>
      <c r="F61" s="369" t="s">
        <v>520</v>
      </c>
      <c r="G61" s="369" t="s">
        <v>1131</v>
      </c>
      <c r="BS61" s="372"/>
      <c r="DH61" s="372"/>
      <c r="DS61" s="372"/>
      <c r="EH61" s="372" t="s">
        <v>850</v>
      </c>
      <c r="FO61" s="375" t="s">
        <v>850</v>
      </c>
      <c r="FP61" s="376" t="s">
        <v>1120</v>
      </c>
      <c r="FQ61" s="377" t="s">
        <v>522</v>
      </c>
      <c r="FR61" s="377" t="s">
        <v>850</v>
      </c>
      <c r="FS61" s="377" t="s">
        <v>592</v>
      </c>
      <c r="FT61" s="144">
        <f t="shared" si="1"/>
        <v>0</v>
      </c>
      <c r="FU61" s="371" t="s">
        <v>905</v>
      </c>
    </row>
    <row r="62" spans="1:177" s="371" customFormat="1" hidden="1">
      <c r="A62" s="368" t="s">
        <v>526</v>
      </c>
      <c r="B62" s="369" t="s">
        <v>517</v>
      </c>
      <c r="C62" s="369" t="s">
        <v>555</v>
      </c>
      <c r="D62" s="369" t="s">
        <v>4</v>
      </c>
      <c r="E62" s="370" t="s">
        <v>589</v>
      </c>
      <c r="F62" s="369" t="s">
        <v>520</v>
      </c>
      <c r="G62" s="369" t="s">
        <v>1131</v>
      </c>
      <c r="H62" s="373">
        <f>5-5+5</f>
        <v>5</v>
      </c>
      <c r="I62" s="372" t="s">
        <v>850</v>
      </c>
      <c r="J62" s="373">
        <f>5-5</f>
        <v>0</v>
      </c>
      <c r="K62" s="373">
        <f>5-5</f>
        <v>0</v>
      </c>
      <c r="L62" s="373">
        <f>10-10</f>
        <v>0</v>
      </c>
      <c r="M62" s="373">
        <f>10-10</f>
        <v>0</v>
      </c>
      <c r="N62" s="373">
        <f>5-5</f>
        <v>0</v>
      </c>
      <c r="O62" s="373">
        <f>10-10</f>
        <v>0</v>
      </c>
      <c r="P62" s="372" t="s">
        <v>850</v>
      </c>
      <c r="Q62" s="373">
        <f>20-20</f>
        <v>0</v>
      </c>
      <c r="R62" s="373">
        <f>10-10</f>
        <v>0</v>
      </c>
      <c r="S62" s="373">
        <f>10-10</f>
        <v>0</v>
      </c>
      <c r="T62" s="373">
        <f>10-10</f>
        <v>0</v>
      </c>
      <c r="U62" s="373">
        <f>40-40</f>
        <v>0</v>
      </c>
      <c r="V62" s="373">
        <f>40-40</f>
        <v>0</v>
      </c>
      <c r="W62" s="373">
        <f>50-50</f>
        <v>0</v>
      </c>
      <c r="X62" s="372" t="s">
        <v>850</v>
      </c>
      <c r="Y62" s="373">
        <f>50-50</f>
        <v>0</v>
      </c>
      <c r="Z62" s="373">
        <f>30-30</f>
        <v>0</v>
      </c>
      <c r="AA62" s="372" t="s">
        <v>850</v>
      </c>
      <c r="AB62" s="372" t="s">
        <v>850</v>
      </c>
      <c r="AC62" s="372" t="s">
        <v>850</v>
      </c>
      <c r="AD62" s="372" t="s">
        <v>850</v>
      </c>
      <c r="AE62" s="372" t="s">
        <v>850</v>
      </c>
      <c r="AF62" s="372" t="s">
        <v>850</v>
      </c>
      <c r="AG62" s="372" t="s">
        <v>850</v>
      </c>
      <c r="AH62" s="372" t="s">
        <v>850</v>
      </c>
      <c r="AI62" s="372" t="s">
        <v>850</v>
      </c>
      <c r="AJ62" s="372" t="s">
        <v>850</v>
      </c>
      <c r="AK62" s="372" t="s">
        <v>850</v>
      </c>
      <c r="AL62" s="372" t="s">
        <v>850</v>
      </c>
      <c r="AM62" s="372" t="s">
        <v>850</v>
      </c>
      <c r="AN62" s="372" t="s">
        <v>850</v>
      </c>
      <c r="AO62" s="372" t="s">
        <v>850</v>
      </c>
      <c r="AP62" s="372" t="s">
        <v>850</v>
      </c>
      <c r="AQ62" s="372" t="s">
        <v>850</v>
      </c>
      <c r="AR62" s="372" t="s">
        <v>850</v>
      </c>
      <c r="AS62" s="373">
        <f>5-5</f>
        <v>0</v>
      </c>
      <c r="AT62" s="372" t="s">
        <v>850</v>
      </c>
      <c r="AU62" s="373">
        <f>10-10</f>
        <v>0</v>
      </c>
      <c r="AV62" s="373">
        <f>10-10</f>
        <v>0</v>
      </c>
      <c r="AW62" s="372" t="s">
        <v>850</v>
      </c>
      <c r="AX62" s="373">
        <f>10-10</f>
        <v>0</v>
      </c>
      <c r="AY62" s="372" t="s">
        <v>850</v>
      </c>
      <c r="AZ62" s="372" t="s">
        <v>850</v>
      </c>
      <c r="BA62" s="372" t="s">
        <v>850</v>
      </c>
      <c r="BB62" s="372" t="s">
        <v>850</v>
      </c>
      <c r="BC62" s="372" t="s">
        <v>850</v>
      </c>
      <c r="BD62" s="372" t="s">
        <v>850</v>
      </c>
      <c r="BE62" s="372" t="s">
        <v>850</v>
      </c>
      <c r="BF62" s="372" t="s">
        <v>850</v>
      </c>
      <c r="BG62" s="372" t="s">
        <v>850</v>
      </c>
      <c r="BH62" s="372" t="s">
        <v>850</v>
      </c>
      <c r="BI62" s="373">
        <f>10-10</f>
        <v>0</v>
      </c>
      <c r="BJ62" s="373">
        <f>10-10</f>
        <v>0</v>
      </c>
      <c r="BK62" s="372" t="s">
        <v>850</v>
      </c>
      <c r="BL62" s="372" t="s">
        <v>850</v>
      </c>
      <c r="BM62" s="372" t="s">
        <v>850</v>
      </c>
      <c r="BN62" s="372" t="s">
        <v>850</v>
      </c>
      <c r="BO62" s="372" t="s">
        <v>850</v>
      </c>
      <c r="BP62" s="372" t="s">
        <v>850</v>
      </c>
      <c r="BQ62" s="373">
        <f>5-5</f>
        <v>0</v>
      </c>
      <c r="BR62" s="373">
        <f>5-5</f>
        <v>0</v>
      </c>
      <c r="BS62" s="372"/>
      <c r="BT62" s="372" t="s">
        <v>850</v>
      </c>
      <c r="BU62" s="373">
        <f>20-20</f>
        <v>0</v>
      </c>
      <c r="BV62" s="373">
        <f>20-20</f>
        <v>0</v>
      </c>
      <c r="BW62" s="373">
        <f>20-20</f>
        <v>0</v>
      </c>
      <c r="BX62" s="373">
        <f>20-20</f>
        <v>0</v>
      </c>
      <c r="BY62" s="373">
        <f>40-40</f>
        <v>0</v>
      </c>
      <c r="BZ62" s="373">
        <f>5-5</f>
        <v>0</v>
      </c>
      <c r="CA62" s="373">
        <f>20-20</f>
        <v>0</v>
      </c>
      <c r="CB62" s="373">
        <f>10-10</f>
        <v>0</v>
      </c>
      <c r="CC62" s="373">
        <f>10-10</f>
        <v>0</v>
      </c>
      <c r="CD62" s="373">
        <f>10-10</f>
        <v>0</v>
      </c>
      <c r="CE62" s="372" t="s">
        <v>850</v>
      </c>
      <c r="CG62" s="373">
        <f>10-10</f>
        <v>0</v>
      </c>
      <c r="CH62" s="373">
        <f>10-10</f>
        <v>0</v>
      </c>
      <c r="CI62" s="373">
        <f>10-10</f>
        <v>0</v>
      </c>
      <c r="CJ62" s="373">
        <f>10-10</f>
        <v>0</v>
      </c>
      <c r="CK62" s="373">
        <f>10-10</f>
        <v>0</v>
      </c>
      <c r="CL62" s="372" t="s">
        <v>850</v>
      </c>
      <c r="CM62" s="373">
        <f>20-20</f>
        <v>0</v>
      </c>
      <c r="CN62" s="373">
        <f>110-110</f>
        <v>0</v>
      </c>
      <c r="CO62" s="373">
        <f>10-10</f>
        <v>0</v>
      </c>
      <c r="CP62" s="373">
        <f>110-110</f>
        <v>0</v>
      </c>
      <c r="CQ62" s="372" t="s">
        <v>850</v>
      </c>
      <c r="CR62" s="373">
        <f>10-10</f>
        <v>0</v>
      </c>
      <c r="CS62" s="372" t="s">
        <v>850</v>
      </c>
      <c r="CT62" s="372" t="s">
        <v>850</v>
      </c>
      <c r="CU62" s="373">
        <f>30-30</f>
        <v>0</v>
      </c>
      <c r="CV62" s="372" t="s">
        <v>850</v>
      </c>
      <c r="CW62" s="373">
        <f>10-10</f>
        <v>0</v>
      </c>
      <c r="CX62" s="373">
        <f>50-50</f>
        <v>0</v>
      </c>
      <c r="CY62" s="373">
        <f>10-10</f>
        <v>0</v>
      </c>
      <c r="CZ62" s="373">
        <f>70-70</f>
        <v>0</v>
      </c>
      <c r="DA62" s="373">
        <f>50-50</f>
        <v>0</v>
      </c>
      <c r="DB62" s="372" t="s">
        <v>850</v>
      </c>
      <c r="DC62" s="372" t="s">
        <v>850</v>
      </c>
      <c r="DD62" s="372" t="s">
        <v>850</v>
      </c>
      <c r="DE62" s="372" t="s">
        <v>850</v>
      </c>
      <c r="DF62" s="372" t="s">
        <v>850</v>
      </c>
      <c r="DG62" s="373">
        <f>20-20</f>
        <v>0</v>
      </c>
      <c r="DH62" s="372"/>
      <c r="DI62" s="372" t="s">
        <v>850</v>
      </c>
      <c r="DJ62" s="372" t="s">
        <v>850</v>
      </c>
      <c r="DK62" s="373">
        <f>250-250</f>
        <v>0</v>
      </c>
      <c r="DL62" s="372" t="s">
        <v>850</v>
      </c>
      <c r="DM62" s="373">
        <f>150-150</f>
        <v>0</v>
      </c>
      <c r="DN62" s="372" t="s">
        <v>850</v>
      </c>
      <c r="DO62" s="373">
        <f>20-20</f>
        <v>0</v>
      </c>
      <c r="DP62" s="372" t="s">
        <v>850</v>
      </c>
      <c r="DQ62" s="373">
        <f>10-10</f>
        <v>0</v>
      </c>
      <c r="DR62" s="372" t="s">
        <v>850</v>
      </c>
      <c r="DS62" s="372"/>
      <c r="DT62" s="373">
        <f>10-10</f>
        <v>0</v>
      </c>
      <c r="DU62" s="373">
        <f>30-30</f>
        <v>0</v>
      </c>
      <c r="DV62" s="373">
        <f>20-20</f>
        <v>0</v>
      </c>
      <c r="DW62" s="372" t="s">
        <v>850</v>
      </c>
      <c r="DX62" s="373">
        <f>20-20</f>
        <v>0</v>
      </c>
      <c r="DY62" s="372" t="s">
        <v>850</v>
      </c>
      <c r="DZ62" s="372" t="s">
        <v>850</v>
      </c>
      <c r="EB62" s="372" t="s">
        <v>850</v>
      </c>
      <c r="ED62" s="373">
        <f>20-20</f>
        <v>0</v>
      </c>
      <c r="EE62" s="372" t="s">
        <v>850</v>
      </c>
      <c r="EF62" s="373">
        <f>20-20</f>
        <v>0</v>
      </c>
      <c r="EG62" s="373">
        <f>20-20</f>
        <v>0</v>
      </c>
      <c r="EH62" s="372" t="s">
        <v>850</v>
      </c>
      <c r="EI62" s="373">
        <f>20-20</f>
        <v>0</v>
      </c>
      <c r="EJ62" s="372" t="s">
        <v>850</v>
      </c>
      <c r="EK62" s="373">
        <f>20-20</f>
        <v>0</v>
      </c>
      <c r="EL62" s="372" t="s">
        <v>850</v>
      </c>
      <c r="EM62" s="373">
        <f>20-20</f>
        <v>0</v>
      </c>
      <c r="EN62" s="372" t="s">
        <v>850</v>
      </c>
      <c r="EO62" s="373">
        <f>20-20</f>
        <v>0</v>
      </c>
      <c r="EP62" s="373">
        <f>20-20</f>
        <v>0</v>
      </c>
      <c r="EQ62" s="373">
        <f>20-20</f>
        <v>0</v>
      </c>
      <c r="ER62" s="372" t="s">
        <v>850</v>
      </c>
      <c r="ES62" s="372" t="s">
        <v>850</v>
      </c>
      <c r="ET62" s="372" t="s">
        <v>850</v>
      </c>
      <c r="EU62" s="372" t="s">
        <v>850</v>
      </c>
      <c r="EV62" s="372" t="s">
        <v>850</v>
      </c>
      <c r="EW62" s="373">
        <f>20-20</f>
        <v>0</v>
      </c>
      <c r="EX62" s="372" t="s">
        <v>850</v>
      </c>
      <c r="EY62" s="372" t="s">
        <v>850</v>
      </c>
      <c r="EZ62" s="372" t="s">
        <v>850</v>
      </c>
      <c r="FA62" s="372" t="s">
        <v>850</v>
      </c>
      <c r="FB62" s="372" t="s">
        <v>850</v>
      </c>
      <c r="FC62" s="372" t="s">
        <v>850</v>
      </c>
      <c r="FD62" s="372" t="s">
        <v>850</v>
      </c>
      <c r="FE62" s="373">
        <f>20-20</f>
        <v>0</v>
      </c>
      <c r="FF62" s="372" t="s">
        <v>850</v>
      </c>
      <c r="FG62" s="372" t="s">
        <v>850</v>
      </c>
      <c r="FH62" s="372" t="s">
        <v>850</v>
      </c>
      <c r="FI62" s="372" t="s">
        <v>850</v>
      </c>
      <c r="FJ62" s="372" t="s">
        <v>850</v>
      </c>
      <c r="FK62" s="372" t="s">
        <v>850</v>
      </c>
      <c r="FL62" s="372" t="s">
        <v>850</v>
      </c>
      <c r="FM62" s="372" t="s">
        <v>850</v>
      </c>
      <c r="FN62" s="372" t="s">
        <v>850</v>
      </c>
      <c r="FO62" s="375" t="s">
        <v>850</v>
      </c>
      <c r="FP62" s="376" t="s">
        <v>1120</v>
      </c>
      <c r="FQ62" s="377" t="s">
        <v>522</v>
      </c>
      <c r="FR62" s="377" t="s">
        <v>850</v>
      </c>
      <c r="FS62" s="377" t="s">
        <v>592</v>
      </c>
      <c r="FT62" s="144">
        <f t="shared" si="1"/>
        <v>5</v>
      </c>
      <c r="FU62" s="371" t="s">
        <v>905</v>
      </c>
    </row>
    <row r="63" spans="1:177" s="371" customFormat="1" hidden="1">
      <c r="A63" s="368" t="s">
        <v>526</v>
      </c>
      <c r="B63" s="369" t="s">
        <v>517</v>
      </c>
      <c r="C63" s="369" t="s">
        <v>555</v>
      </c>
      <c r="D63" s="369" t="s">
        <v>3</v>
      </c>
      <c r="E63" s="370" t="s">
        <v>589</v>
      </c>
      <c r="F63" s="369" t="s">
        <v>520</v>
      </c>
      <c r="G63" s="369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  <c r="AB63" s="372"/>
      <c r="AC63" s="372"/>
      <c r="AD63" s="372"/>
      <c r="AE63" s="372"/>
      <c r="AF63" s="372"/>
      <c r="AG63" s="372"/>
      <c r="AH63" s="372"/>
      <c r="AI63" s="372"/>
      <c r="AJ63" s="372"/>
      <c r="AK63" s="372"/>
      <c r="AL63" s="372"/>
      <c r="AM63" s="372"/>
      <c r="AN63" s="372"/>
      <c r="AO63" s="372"/>
      <c r="AP63" s="372"/>
      <c r="AQ63" s="372"/>
      <c r="AR63" s="372"/>
      <c r="AS63" s="372"/>
      <c r="AT63" s="372"/>
      <c r="AU63" s="372"/>
      <c r="AV63" s="372"/>
      <c r="AW63" s="372"/>
      <c r="AX63" s="372"/>
      <c r="AY63" s="372"/>
      <c r="AZ63" s="372"/>
      <c r="BA63" s="372"/>
      <c r="BB63" s="372"/>
      <c r="BC63" s="372"/>
      <c r="BD63" s="372"/>
      <c r="BE63" s="372"/>
      <c r="BF63" s="372"/>
      <c r="BG63" s="372"/>
      <c r="BH63" s="372"/>
      <c r="BI63" s="372"/>
      <c r="BJ63" s="372"/>
      <c r="BK63" s="372"/>
      <c r="BL63" s="372"/>
      <c r="BM63" s="372"/>
      <c r="BN63" s="372"/>
      <c r="BO63" s="372"/>
      <c r="BP63" s="372"/>
      <c r="BQ63" s="372"/>
      <c r="BR63" s="372"/>
      <c r="BS63" s="372"/>
      <c r="BT63" s="372"/>
      <c r="BU63" s="372"/>
      <c r="BV63" s="372"/>
      <c r="BW63" s="372"/>
      <c r="BX63" s="372"/>
      <c r="BY63" s="372"/>
      <c r="BZ63" s="372"/>
      <c r="CA63" s="372"/>
      <c r="CB63" s="372"/>
      <c r="CC63" s="372"/>
      <c r="CD63" s="372"/>
      <c r="CE63" s="372"/>
      <c r="CG63" s="372"/>
      <c r="CH63" s="372"/>
      <c r="CI63" s="372"/>
      <c r="CJ63" s="372"/>
      <c r="CK63" s="372"/>
      <c r="CL63" s="372"/>
      <c r="CM63" s="372"/>
      <c r="CN63" s="372"/>
      <c r="CO63" s="372"/>
      <c r="CP63" s="372"/>
      <c r="CQ63" s="372"/>
      <c r="CR63" s="372"/>
      <c r="CS63" s="372"/>
      <c r="CT63" s="372"/>
      <c r="CU63" s="372"/>
      <c r="CV63" s="372"/>
      <c r="CW63" s="372"/>
      <c r="CX63" s="372"/>
      <c r="CY63" s="372"/>
      <c r="CZ63" s="372"/>
      <c r="DA63" s="372"/>
      <c r="DB63" s="372"/>
      <c r="DC63" s="372"/>
      <c r="DD63" s="372"/>
      <c r="DE63" s="372"/>
      <c r="DF63" s="372"/>
      <c r="DG63" s="372"/>
      <c r="DH63" s="372"/>
      <c r="DI63" s="372"/>
      <c r="DJ63" s="372"/>
      <c r="DK63" s="372"/>
      <c r="DL63" s="372"/>
      <c r="DM63" s="372"/>
      <c r="DN63" s="372"/>
      <c r="DO63" s="372"/>
      <c r="DP63" s="372"/>
      <c r="DQ63" s="372"/>
      <c r="DR63" s="372"/>
      <c r="DS63" s="372"/>
      <c r="DT63" s="372"/>
      <c r="DU63" s="372"/>
      <c r="DV63" s="372"/>
      <c r="DW63" s="372"/>
      <c r="DX63" s="372"/>
      <c r="DY63" s="372"/>
      <c r="DZ63" s="372"/>
      <c r="EB63" s="372"/>
      <c r="ED63" s="372"/>
      <c r="EE63" s="372"/>
      <c r="EF63" s="372"/>
      <c r="EG63" s="372"/>
      <c r="EH63" s="372" t="s">
        <v>850</v>
      </c>
      <c r="EI63" s="372"/>
      <c r="EJ63" s="372"/>
      <c r="EK63" s="372"/>
      <c r="EL63" s="372"/>
      <c r="EM63" s="372"/>
      <c r="EN63" s="372"/>
      <c r="EO63" s="372"/>
      <c r="EP63" s="372"/>
      <c r="EQ63" s="372"/>
      <c r="ER63" s="372"/>
      <c r="ES63" s="372"/>
      <c r="ET63" s="372"/>
      <c r="EU63" s="372"/>
      <c r="EV63" s="372"/>
      <c r="EW63" s="372"/>
      <c r="EX63" s="372"/>
      <c r="EY63" s="372"/>
      <c r="EZ63" s="372"/>
      <c r="FA63" s="372"/>
      <c r="FB63" s="372"/>
      <c r="FC63" s="372"/>
      <c r="FD63" s="372"/>
      <c r="FE63" s="372"/>
      <c r="FF63" s="372"/>
      <c r="FG63" s="372"/>
      <c r="FH63" s="372"/>
      <c r="FI63" s="372"/>
      <c r="FJ63" s="372"/>
      <c r="FK63" s="372"/>
      <c r="FL63" s="372"/>
      <c r="FM63" s="372"/>
      <c r="FN63" s="372"/>
      <c r="FO63" s="375" t="s">
        <v>850</v>
      </c>
      <c r="FP63" s="376" t="s">
        <v>1120</v>
      </c>
      <c r="FQ63" s="377" t="s">
        <v>522</v>
      </c>
      <c r="FR63" s="377" t="s">
        <v>850</v>
      </c>
      <c r="FS63" s="377" t="s">
        <v>592</v>
      </c>
      <c r="FT63" s="144">
        <f t="shared" si="1"/>
        <v>0</v>
      </c>
      <c r="FU63" s="371" t="s">
        <v>905</v>
      </c>
    </row>
    <row r="64" spans="1:177" s="371" customFormat="1" hidden="1">
      <c r="A64" s="368" t="s">
        <v>526</v>
      </c>
      <c r="B64" s="369" t="s">
        <v>525</v>
      </c>
      <c r="C64" s="369" t="s">
        <v>555</v>
      </c>
      <c r="D64" s="369" t="s">
        <v>8</v>
      </c>
      <c r="E64" s="379" t="s">
        <v>589</v>
      </c>
      <c r="F64" s="369" t="s">
        <v>520</v>
      </c>
      <c r="G64" s="369" t="s">
        <v>1132</v>
      </c>
      <c r="BS64" s="372"/>
      <c r="DH64" s="372"/>
      <c r="DS64" s="372"/>
      <c r="EH64" s="372" t="s">
        <v>850</v>
      </c>
      <c r="FO64" s="375" t="s">
        <v>850</v>
      </c>
      <c r="FP64" s="376" t="s">
        <v>1120</v>
      </c>
      <c r="FQ64" s="377" t="s">
        <v>522</v>
      </c>
      <c r="FR64" s="377" t="s">
        <v>850</v>
      </c>
      <c r="FS64" s="377" t="s">
        <v>592</v>
      </c>
      <c r="FT64" s="144">
        <f t="shared" si="1"/>
        <v>0</v>
      </c>
      <c r="FU64" s="371" t="s">
        <v>905</v>
      </c>
    </row>
    <row r="65" spans="1:177" s="371" customFormat="1" hidden="1">
      <c r="A65" s="368" t="s">
        <v>526</v>
      </c>
      <c r="B65" s="369" t="s">
        <v>525</v>
      </c>
      <c r="C65" s="369" t="s">
        <v>555</v>
      </c>
      <c r="D65" s="369" t="s">
        <v>4</v>
      </c>
      <c r="E65" s="379" t="s">
        <v>589</v>
      </c>
      <c r="F65" s="369" t="s">
        <v>520</v>
      </c>
      <c r="G65" s="369" t="s">
        <v>1132</v>
      </c>
      <c r="H65" s="372" t="s">
        <v>850</v>
      </c>
      <c r="I65" s="372" t="s">
        <v>850</v>
      </c>
      <c r="J65" s="372" t="s">
        <v>850</v>
      </c>
      <c r="K65" s="372" t="s">
        <v>850</v>
      </c>
      <c r="L65" s="372" t="s">
        <v>850</v>
      </c>
      <c r="M65" s="372" t="s">
        <v>850</v>
      </c>
      <c r="N65" s="372" t="s">
        <v>850</v>
      </c>
      <c r="O65" s="372" t="s">
        <v>850</v>
      </c>
      <c r="P65" s="372" t="s">
        <v>850</v>
      </c>
      <c r="Q65" s="372" t="s">
        <v>850</v>
      </c>
      <c r="R65" s="372" t="s">
        <v>850</v>
      </c>
      <c r="S65" s="372" t="s">
        <v>850</v>
      </c>
      <c r="T65" s="372" t="s">
        <v>850</v>
      </c>
      <c r="U65" s="372" t="s">
        <v>850</v>
      </c>
      <c r="V65" s="372" t="s">
        <v>850</v>
      </c>
      <c r="W65" s="372" t="s">
        <v>850</v>
      </c>
      <c r="X65" s="372" t="s">
        <v>850</v>
      </c>
      <c r="Y65" s="372" t="s">
        <v>850</v>
      </c>
      <c r="Z65" s="372" t="s">
        <v>850</v>
      </c>
      <c r="AA65" s="372" t="s">
        <v>850</v>
      </c>
      <c r="AB65" s="372" t="s">
        <v>850</v>
      </c>
      <c r="AC65" s="372" t="s">
        <v>850</v>
      </c>
      <c r="AD65" s="372" t="s">
        <v>850</v>
      </c>
      <c r="AE65" s="372" t="s">
        <v>850</v>
      </c>
      <c r="AF65" s="372" t="s">
        <v>850</v>
      </c>
      <c r="AG65" s="372" t="s">
        <v>850</v>
      </c>
      <c r="AH65" s="372" t="s">
        <v>850</v>
      </c>
      <c r="AI65" s="372" t="s">
        <v>850</v>
      </c>
      <c r="AJ65" s="372" t="s">
        <v>850</v>
      </c>
      <c r="AK65" s="372" t="s">
        <v>850</v>
      </c>
      <c r="AL65" s="372" t="s">
        <v>850</v>
      </c>
      <c r="AM65" s="372" t="s">
        <v>850</v>
      </c>
      <c r="AN65" s="372" t="s">
        <v>850</v>
      </c>
      <c r="AO65" s="372" t="s">
        <v>850</v>
      </c>
      <c r="AP65" s="372" t="s">
        <v>850</v>
      </c>
      <c r="AQ65" s="372" t="s">
        <v>850</v>
      </c>
      <c r="AR65" s="372" t="s">
        <v>850</v>
      </c>
      <c r="AS65" s="372" t="s">
        <v>850</v>
      </c>
      <c r="AT65" s="372" t="s">
        <v>850</v>
      </c>
      <c r="AU65" s="372" t="s">
        <v>850</v>
      </c>
      <c r="AV65" s="372" t="s">
        <v>850</v>
      </c>
      <c r="AW65" s="372" t="s">
        <v>850</v>
      </c>
      <c r="AX65" s="372" t="s">
        <v>850</v>
      </c>
      <c r="AY65" s="372" t="s">
        <v>850</v>
      </c>
      <c r="AZ65" s="372" t="s">
        <v>850</v>
      </c>
      <c r="BA65" s="372" t="s">
        <v>850</v>
      </c>
      <c r="BB65" s="372" t="s">
        <v>850</v>
      </c>
      <c r="BC65" s="372" t="s">
        <v>850</v>
      </c>
      <c r="BD65" s="372" t="s">
        <v>850</v>
      </c>
      <c r="BE65" s="372" t="s">
        <v>850</v>
      </c>
      <c r="BF65" s="372" t="s">
        <v>850</v>
      </c>
      <c r="BG65" s="372" t="s">
        <v>850</v>
      </c>
      <c r="BH65" s="372" t="s">
        <v>850</v>
      </c>
      <c r="BI65" s="372" t="s">
        <v>850</v>
      </c>
      <c r="BJ65" s="372" t="s">
        <v>850</v>
      </c>
      <c r="BK65" s="372" t="s">
        <v>850</v>
      </c>
      <c r="BL65" s="372" t="s">
        <v>850</v>
      </c>
      <c r="BM65" s="372" t="s">
        <v>850</v>
      </c>
      <c r="BN65" s="372" t="s">
        <v>850</v>
      </c>
      <c r="BO65" s="372" t="s">
        <v>850</v>
      </c>
      <c r="BP65" s="372" t="s">
        <v>850</v>
      </c>
      <c r="BQ65" s="372" t="s">
        <v>850</v>
      </c>
      <c r="BR65" s="372" t="s">
        <v>850</v>
      </c>
      <c r="BS65" s="372"/>
      <c r="BT65" s="372" t="s">
        <v>850</v>
      </c>
      <c r="BU65" s="372" t="s">
        <v>850</v>
      </c>
      <c r="BV65" s="372" t="s">
        <v>850</v>
      </c>
      <c r="BW65" s="372" t="s">
        <v>850</v>
      </c>
      <c r="BX65" s="372" t="s">
        <v>850</v>
      </c>
      <c r="BY65" s="372" t="s">
        <v>850</v>
      </c>
      <c r="BZ65" s="372" t="s">
        <v>850</v>
      </c>
      <c r="CA65" s="372" t="s">
        <v>850</v>
      </c>
      <c r="CB65" s="372" t="s">
        <v>850</v>
      </c>
      <c r="CC65" s="372" t="s">
        <v>850</v>
      </c>
      <c r="CD65" s="372" t="s">
        <v>850</v>
      </c>
      <c r="CE65" s="372" t="s">
        <v>850</v>
      </c>
      <c r="CG65" s="372" t="s">
        <v>850</v>
      </c>
      <c r="CH65" s="372" t="s">
        <v>850</v>
      </c>
      <c r="CI65" s="372" t="s">
        <v>850</v>
      </c>
      <c r="CJ65" s="372" t="s">
        <v>850</v>
      </c>
      <c r="CK65" s="372" t="s">
        <v>850</v>
      </c>
      <c r="CL65" s="372" t="s">
        <v>850</v>
      </c>
      <c r="CM65" s="372" t="s">
        <v>850</v>
      </c>
      <c r="CN65" s="372" t="s">
        <v>850</v>
      </c>
      <c r="CO65" s="372" t="s">
        <v>850</v>
      </c>
      <c r="CP65" s="372" t="s">
        <v>850</v>
      </c>
      <c r="CQ65" s="372" t="s">
        <v>850</v>
      </c>
      <c r="CR65" s="372" t="s">
        <v>850</v>
      </c>
      <c r="CS65" s="372" t="s">
        <v>850</v>
      </c>
      <c r="CT65" s="372" t="s">
        <v>850</v>
      </c>
      <c r="CU65" s="372" t="s">
        <v>850</v>
      </c>
      <c r="CV65" s="372" t="s">
        <v>850</v>
      </c>
      <c r="CW65" s="372" t="s">
        <v>850</v>
      </c>
      <c r="CX65" s="372" t="s">
        <v>850</v>
      </c>
      <c r="CY65" s="372" t="s">
        <v>850</v>
      </c>
      <c r="CZ65" s="372" t="s">
        <v>850</v>
      </c>
      <c r="DA65" s="372" t="s">
        <v>850</v>
      </c>
      <c r="DB65" s="372" t="s">
        <v>850</v>
      </c>
      <c r="DC65" s="372" t="s">
        <v>850</v>
      </c>
      <c r="DD65" s="372" t="s">
        <v>850</v>
      </c>
      <c r="DE65" s="372" t="s">
        <v>850</v>
      </c>
      <c r="DF65" s="372" t="s">
        <v>850</v>
      </c>
      <c r="DG65" s="372" t="s">
        <v>850</v>
      </c>
      <c r="DH65" s="372"/>
      <c r="DI65" s="372" t="s">
        <v>850</v>
      </c>
      <c r="DJ65" s="372" t="s">
        <v>850</v>
      </c>
      <c r="DK65" s="372" t="s">
        <v>850</v>
      </c>
      <c r="DL65" s="372" t="s">
        <v>850</v>
      </c>
      <c r="DM65" s="372" t="s">
        <v>850</v>
      </c>
      <c r="DN65" s="372" t="s">
        <v>850</v>
      </c>
      <c r="DO65" s="372" t="s">
        <v>850</v>
      </c>
      <c r="DP65" s="372" t="s">
        <v>850</v>
      </c>
      <c r="DQ65" s="372" t="s">
        <v>850</v>
      </c>
      <c r="DR65" s="372" t="s">
        <v>850</v>
      </c>
      <c r="DS65" s="372"/>
      <c r="DT65" s="372" t="s">
        <v>850</v>
      </c>
      <c r="DU65" s="372" t="s">
        <v>850</v>
      </c>
      <c r="DV65" s="372" t="s">
        <v>850</v>
      </c>
      <c r="DW65" s="373">
        <f>20-20</f>
        <v>0</v>
      </c>
      <c r="DX65" s="372" t="s">
        <v>850</v>
      </c>
      <c r="DY65" s="372" t="s">
        <v>850</v>
      </c>
      <c r="DZ65" s="373">
        <f>20-20</f>
        <v>0</v>
      </c>
      <c r="EB65" s="373">
        <f>20-20</f>
        <v>0</v>
      </c>
      <c r="ED65" s="373">
        <f>20-20</f>
        <v>0</v>
      </c>
      <c r="EE65" s="372" t="s">
        <v>850</v>
      </c>
      <c r="EF65" s="373">
        <f>20-20</f>
        <v>0</v>
      </c>
      <c r="EG65" s="372" t="s">
        <v>850</v>
      </c>
      <c r="EH65" s="372" t="s">
        <v>850</v>
      </c>
      <c r="EI65" s="372" t="s">
        <v>850</v>
      </c>
      <c r="EJ65" s="372" t="s">
        <v>850</v>
      </c>
      <c r="EK65" s="372" t="s">
        <v>850</v>
      </c>
      <c r="EL65" s="372" t="s">
        <v>850</v>
      </c>
      <c r="EM65" s="372" t="s">
        <v>850</v>
      </c>
      <c r="EN65" s="372" t="s">
        <v>850</v>
      </c>
      <c r="EO65" s="372" t="s">
        <v>850</v>
      </c>
      <c r="EP65" s="373">
        <f>20-20</f>
        <v>0</v>
      </c>
      <c r="EQ65" s="373">
        <f>20-20</f>
        <v>0</v>
      </c>
      <c r="ER65" s="373">
        <f>20-20</f>
        <v>0</v>
      </c>
      <c r="ES65" s="372" t="s">
        <v>850</v>
      </c>
      <c r="ET65" s="373">
        <f>20-20</f>
        <v>0</v>
      </c>
      <c r="EU65" s="372" t="s">
        <v>850</v>
      </c>
      <c r="EV65" s="372" t="s">
        <v>850</v>
      </c>
      <c r="EW65" s="372" t="s">
        <v>850</v>
      </c>
      <c r="EX65" s="372" t="s">
        <v>850</v>
      </c>
      <c r="EY65" s="372" t="s">
        <v>850</v>
      </c>
      <c r="EZ65" s="372" t="s">
        <v>850</v>
      </c>
      <c r="FA65" s="372" t="s">
        <v>850</v>
      </c>
      <c r="FB65" s="372" t="s">
        <v>850</v>
      </c>
      <c r="FC65" s="372" t="s">
        <v>850</v>
      </c>
      <c r="FD65" s="372" t="s">
        <v>850</v>
      </c>
      <c r="FE65" s="373">
        <f>100-100</f>
        <v>0</v>
      </c>
      <c r="FF65" s="372" t="s">
        <v>850</v>
      </c>
      <c r="FG65" s="372" t="s">
        <v>850</v>
      </c>
      <c r="FH65" s="372" t="s">
        <v>850</v>
      </c>
      <c r="FI65" s="372" t="s">
        <v>850</v>
      </c>
      <c r="FJ65" s="372" t="s">
        <v>850</v>
      </c>
      <c r="FK65" s="372" t="s">
        <v>850</v>
      </c>
      <c r="FL65" s="372" t="s">
        <v>850</v>
      </c>
      <c r="FM65" s="372" t="s">
        <v>850</v>
      </c>
      <c r="FN65" s="372" t="s">
        <v>850</v>
      </c>
      <c r="FO65" s="375" t="s">
        <v>850</v>
      </c>
      <c r="FP65" s="376" t="s">
        <v>1120</v>
      </c>
      <c r="FQ65" s="377" t="s">
        <v>522</v>
      </c>
      <c r="FR65" s="377" t="s">
        <v>850</v>
      </c>
      <c r="FS65" s="377" t="s">
        <v>592</v>
      </c>
      <c r="FT65" s="144">
        <f t="shared" si="1"/>
        <v>0</v>
      </c>
      <c r="FU65" s="371" t="s">
        <v>905</v>
      </c>
    </row>
    <row r="66" spans="1:177" s="371" customFormat="1" hidden="1">
      <c r="A66" s="368" t="s">
        <v>526</v>
      </c>
      <c r="B66" s="369" t="s">
        <v>525</v>
      </c>
      <c r="C66" s="369" t="s">
        <v>555</v>
      </c>
      <c r="D66" s="369" t="s">
        <v>3</v>
      </c>
      <c r="E66" s="379" t="s">
        <v>589</v>
      </c>
      <c r="F66" s="369" t="s">
        <v>520</v>
      </c>
      <c r="G66" s="369"/>
      <c r="H66" s="372"/>
      <c r="I66" s="372"/>
      <c r="J66" s="372"/>
      <c r="K66" s="372"/>
      <c r="L66" s="372"/>
      <c r="M66" s="372"/>
      <c r="N66" s="372"/>
      <c r="O66" s="372"/>
      <c r="P66" s="372"/>
      <c r="Q66" s="372"/>
      <c r="R66" s="372"/>
      <c r="S66" s="372"/>
      <c r="T66" s="372"/>
      <c r="U66" s="372"/>
      <c r="V66" s="372"/>
      <c r="W66" s="372"/>
      <c r="X66" s="372"/>
      <c r="Y66" s="372"/>
      <c r="Z66" s="372"/>
      <c r="AA66" s="372"/>
      <c r="AB66" s="372"/>
      <c r="AC66" s="372"/>
      <c r="AD66" s="372"/>
      <c r="AE66" s="372"/>
      <c r="AF66" s="372"/>
      <c r="AG66" s="372"/>
      <c r="AH66" s="372"/>
      <c r="AI66" s="372"/>
      <c r="AJ66" s="372"/>
      <c r="AK66" s="372"/>
      <c r="AL66" s="372"/>
      <c r="AM66" s="372"/>
      <c r="AN66" s="372"/>
      <c r="AO66" s="372"/>
      <c r="AP66" s="372"/>
      <c r="AQ66" s="372"/>
      <c r="AR66" s="372"/>
      <c r="AS66" s="372"/>
      <c r="AT66" s="372"/>
      <c r="AU66" s="372"/>
      <c r="AV66" s="372"/>
      <c r="AW66" s="372"/>
      <c r="AX66" s="372"/>
      <c r="AY66" s="372"/>
      <c r="AZ66" s="372"/>
      <c r="BA66" s="372"/>
      <c r="BB66" s="372"/>
      <c r="BC66" s="372"/>
      <c r="BD66" s="372"/>
      <c r="BE66" s="372"/>
      <c r="BF66" s="372"/>
      <c r="BG66" s="372"/>
      <c r="BH66" s="372"/>
      <c r="BI66" s="372"/>
      <c r="BJ66" s="372"/>
      <c r="BK66" s="372"/>
      <c r="BL66" s="372"/>
      <c r="BM66" s="372"/>
      <c r="BN66" s="372"/>
      <c r="BO66" s="372"/>
      <c r="BP66" s="372"/>
      <c r="BQ66" s="372"/>
      <c r="BR66" s="372"/>
      <c r="BS66" s="372"/>
      <c r="BT66" s="372"/>
      <c r="BU66" s="372"/>
      <c r="BV66" s="372"/>
      <c r="BW66" s="372"/>
      <c r="BX66" s="372"/>
      <c r="BY66" s="372"/>
      <c r="BZ66" s="372"/>
      <c r="CA66" s="372"/>
      <c r="CB66" s="372"/>
      <c r="CC66" s="372"/>
      <c r="CD66" s="372"/>
      <c r="CE66" s="372"/>
      <c r="CG66" s="372"/>
      <c r="CH66" s="372"/>
      <c r="CI66" s="372"/>
      <c r="CJ66" s="372"/>
      <c r="CK66" s="372"/>
      <c r="CL66" s="372"/>
      <c r="CM66" s="372"/>
      <c r="CN66" s="372"/>
      <c r="CO66" s="372"/>
      <c r="CP66" s="372"/>
      <c r="CQ66" s="372"/>
      <c r="CR66" s="372"/>
      <c r="CS66" s="372"/>
      <c r="CT66" s="372"/>
      <c r="CU66" s="372"/>
      <c r="CV66" s="372"/>
      <c r="CW66" s="372"/>
      <c r="CX66" s="372"/>
      <c r="CY66" s="372"/>
      <c r="CZ66" s="372"/>
      <c r="DA66" s="372"/>
      <c r="DB66" s="372"/>
      <c r="DC66" s="372"/>
      <c r="DD66" s="372"/>
      <c r="DE66" s="372"/>
      <c r="DF66" s="372"/>
      <c r="DG66" s="372"/>
      <c r="DH66" s="372"/>
      <c r="DI66" s="372"/>
      <c r="DJ66" s="372"/>
      <c r="DK66" s="372"/>
      <c r="DL66" s="372"/>
      <c r="DM66" s="372"/>
      <c r="DN66" s="372"/>
      <c r="DO66" s="372"/>
      <c r="DP66" s="372"/>
      <c r="DQ66" s="372"/>
      <c r="DR66" s="372"/>
      <c r="DS66" s="372"/>
      <c r="DT66" s="372"/>
      <c r="DU66" s="372"/>
      <c r="DV66" s="372"/>
      <c r="DW66" s="372"/>
      <c r="DX66" s="372"/>
      <c r="DY66" s="372"/>
      <c r="DZ66" s="372"/>
      <c r="EB66" s="372"/>
      <c r="ED66" s="372"/>
      <c r="EE66" s="372"/>
      <c r="EF66" s="372"/>
      <c r="EG66" s="372"/>
      <c r="EH66" s="372" t="s">
        <v>850</v>
      </c>
      <c r="EI66" s="372"/>
      <c r="EJ66" s="372"/>
      <c r="EK66" s="372"/>
      <c r="EL66" s="372"/>
      <c r="EM66" s="372"/>
      <c r="EN66" s="372"/>
      <c r="EO66" s="372"/>
      <c r="EP66" s="372"/>
      <c r="EQ66" s="372"/>
      <c r="ER66" s="372"/>
      <c r="ES66" s="372"/>
      <c r="ET66" s="372"/>
      <c r="EU66" s="372"/>
      <c r="EV66" s="372"/>
      <c r="EW66" s="372"/>
      <c r="EX66" s="372"/>
      <c r="EY66" s="372"/>
      <c r="EZ66" s="372"/>
      <c r="FA66" s="372"/>
      <c r="FB66" s="372"/>
      <c r="FC66" s="372"/>
      <c r="FD66" s="372"/>
      <c r="FE66" s="372"/>
      <c r="FF66" s="372"/>
      <c r="FG66" s="372"/>
      <c r="FH66" s="372"/>
      <c r="FI66" s="372"/>
      <c r="FJ66" s="372"/>
      <c r="FK66" s="372"/>
      <c r="FL66" s="372"/>
      <c r="FM66" s="372"/>
      <c r="FN66" s="372"/>
      <c r="FO66" s="375" t="s">
        <v>850</v>
      </c>
      <c r="FP66" s="376" t="s">
        <v>1120</v>
      </c>
      <c r="FQ66" s="377" t="s">
        <v>522</v>
      </c>
      <c r="FR66" s="377" t="s">
        <v>850</v>
      </c>
      <c r="FS66" s="377" t="s">
        <v>592</v>
      </c>
      <c r="FT66" s="144">
        <f t="shared" si="1"/>
        <v>0</v>
      </c>
      <c r="FU66" s="371" t="s">
        <v>905</v>
      </c>
    </row>
    <row r="67" spans="1:177" s="371" customFormat="1" hidden="1">
      <c r="A67" s="368" t="s">
        <v>926</v>
      </c>
      <c r="B67" s="369" t="s">
        <v>517</v>
      </c>
      <c r="C67" s="369" t="s">
        <v>555</v>
      </c>
      <c r="D67" s="369" t="s">
        <v>8</v>
      </c>
      <c r="E67" s="370" t="s">
        <v>594</v>
      </c>
      <c r="F67" s="369" t="s">
        <v>520</v>
      </c>
      <c r="G67" s="369" t="s">
        <v>1133</v>
      </c>
      <c r="BS67" s="372"/>
      <c r="DH67" s="372"/>
      <c r="DS67" s="372"/>
      <c r="EH67" s="372" t="s">
        <v>850</v>
      </c>
      <c r="FO67" s="375" t="s">
        <v>850</v>
      </c>
      <c r="FP67" s="376" t="s">
        <v>1120</v>
      </c>
      <c r="FQ67" s="377" t="s">
        <v>522</v>
      </c>
      <c r="FR67" s="377" t="s">
        <v>596</v>
      </c>
      <c r="FS67" s="377" t="s">
        <v>607</v>
      </c>
      <c r="FT67" s="144">
        <f t="shared" si="1"/>
        <v>0</v>
      </c>
      <c r="FU67" s="371" t="s">
        <v>913</v>
      </c>
    </row>
    <row r="68" spans="1:177" s="371" customFormat="1" hidden="1">
      <c r="A68" s="368" t="s">
        <v>926</v>
      </c>
      <c r="B68" s="369" t="s">
        <v>517</v>
      </c>
      <c r="C68" s="369" t="s">
        <v>555</v>
      </c>
      <c r="D68" s="369" t="s">
        <v>4</v>
      </c>
      <c r="E68" s="370" t="s">
        <v>594</v>
      </c>
      <c r="F68" s="369" t="s">
        <v>520</v>
      </c>
      <c r="G68" s="369" t="s">
        <v>1133</v>
      </c>
      <c r="H68" s="372" t="s">
        <v>850</v>
      </c>
      <c r="I68" s="372" t="s">
        <v>850</v>
      </c>
      <c r="J68" s="372" t="s">
        <v>850</v>
      </c>
      <c r="K68" s="372" t="s">
        <v>850</v>
      </c>
      <c r="L68" s="372" t="s">
        <v>850</v>
      </c>
      <c r="M68" s="372" t="s">
        <v>850</v>
      </c>
      <c r="N68" s="372" t="s">
        <v>850</v>
      </c>
      <c r="O68" s="372" t="s">
        <v>850</v>
      </c>
      <c r="P68" s="372" t="s">
        <v>850</v>
      </c>
      <c r="Q68" s="372" t="s">
        <v>850</v>
      </c>
      <c r="R68" s="372" t="s">
        <v>850</v>
      </c>
      <c r="S68" s="372" t="s">
        <v>850</v>
      </c>
      <c r="T68" s="372" t="s">
        <v>850</v>
      </c>
      <c r="U68" s="372" t="s">
        <v>850</v>
      </c>
      <c r="V68" s="372" t="s">
        <v>850</v>
      </c>
      <c r="W68" s="372" t="s">
        <v>850</v>
      </c>
      <c r="X68" s="372" t="s">
        <v>850</v>
      </c>
      <c r="Y68" s="372" t="s">
        <v>850</v>
      </c>
      <c r="Z68" s="372" t="s">
        <v>850</v>
      </c>
      <c r="AA68" s="372" t="s">
        <v>850</v>
      </c>
      <c r="AB68" s="372" t="s">
        <v>850</v>
      </c>
      <c r="AC68" s="372" t="s">
        <v>850</v>
      </c>
      <c r="AD68" s="372" t="s">
        <v>850</v>
      </c>
      <c r="AE68" s="372" t="s">
        <v>850</v>
      </c>
      <c r="AF68" s="372" t="s">
        <v>850</v>
      </c>
      <c r="AG68" s="372" t="s">
        <v>850</v>
      </c>
      <c r="AH68" s="372" t="s">
        <v>850</v>
      </c>
      <c r="AI68" s="372" t="s">
        <v>850</v>
      </c>
      <c r="AJ68" s="372" t="s">
        <v>850</v>
      </c>
      <c r="AK68" s="372" t="s">
        <v>850</v>
      </c>
      <c r="AL68" s="372" t="s">
        <v>850</v>
      </c>
      <c r="AM68" s="372" t="s">
        <v>850</v>
      </c>
      <c r="AN68" s="372" t="s">
        <v>850</v>
      </c>
      <c r="AO68" s="372" t="s">
        <v>850</v>
      </c>
      <c r="AP68" s="372" t="s">
        <v>850</v>
      </c>
      <c r="AQ68" s="372" t="s">
        <v>850</v>
      </c>
      <c r="AR68" s="372" t="s">
        <v>850</v>
      </c>
      <c r="AS68" s="372" t="s">
        <v>850</v>
      </c>
      <c r="AT68" s="372" t="s">
        <v>850</v>
      </c>
      <c r="AU68" s="372" t="s">
        <v>850</v>
      </c>
      <c r="AV68" s="372" t="s">
        <v>850</v>
      </c>
      <c r="AW68" s="372" t="s">
        <v>850</v>
      </c>
      <c r="AX68" s="372" t="s">
        <v>850</v>
      </c>
      <c r="AY68" s="372" t="s">
        <v>850</v>
      </c>
      <c r="AZ68" s="372" t="s">
        <v>850</v>
      </c>
      <c r="BA68" s="372" t="s">
        <v>850</v>
      </c>
      <c r="BB68" s="372" t="s">
        <v>850</v>
      </c>
      <c r="BC68" s="372" t="s">
        <v>850</v>
      </c>
      <c r="BD68" s="372" t="s">
        <v>850</v>
      </c>
      <c r="BE68" s="372" t="s">
        <v>850</v>
      </c>
      <c r="BF68" s="372" t="s">
        <v>850</v>
      </c>
      <c r="BG68" s="372" t="s">
        <v>850</v>
      </c>
      <c r="BH68" s="372" t="s">
        <v>850</v>
      </c>
      <c r="BI68" s="372" t="s">
        <v>850</v>
      </c>
      <c r="BJ68" s="372" t="s">
        <v>850</v>
      </c>
      <c r="BK68" s="372" t="s">
        <v>850</v>
      </c>
      <c r="BL68" s="372" t="s">
        <v>850</v>
      </c>
      <c r="BM68" s="372" t="s">
        <v>850</v>
      </c>
      <c r="BN68" s="372" t="s">
        <v>850</v>
      </c>
      <c r="BO68" s="372" t="s">
        <v>850</v>
      </c>
      <c r="BP68" s="372" t="s">
        <v>850</v>
      </c>
      <c r="BQ68" s="372" t="s">
        <v>850</v>
      </c>
      <c r="BR68" s="372" t="s">
        <v>850</v>
      </c>
      <c r="BS68" s="372"/>
      <c r="BT68" s="372" t="s">
        <v>850</v>
      </c>
      <c r="BU68" s="372" t="s">
        <v>850</v>
      </c>
      <c r="BV68" s="372" t="s">
        <v>850</v>
      </c>
      <c r="BW68" s="372" t="s">
        <v>850</v>
      </c>
      <c r="BX68" s="372" t="s">
        <v>850</v>
      </c>
      <c r="BY68" s="372" t="s">
        <v>850</v>
      </c>
      <c r="BZ68" s="372" t="s">
        <v>850</v>
      </c>
      <c r="CA68" s="372" t="s">
        <v>850</v>
      </c>
      <c r="CB68" s="372" t="s">
        <v>850</v>
      </c>
      <c r="CC68" s="372" t="s">
        <v>850</v>
      </c>
      <c r="CD68" s="372" t="s">
        <v>850</v>
      </c>
      <c r="CE68" s="372" t="s">
        <v>850</v>
      </c>
      <c r="CG68" s="372" t="s">
        <v>850</v>
      </c>
      <c r="CH68" s="372" t="s">
        <v>850</v>
      </c>
      <c r="CI68" s="372" t="s">
        <v>850</v>
      </c>
      <c r="CJ68" s="372" t="s">
        <v>850</v>
      </c>
      <c r="CK68" s="372" t="s">
        <v>850</v>
      </c>
      <c r="CL68" s="372" t="s">
        <v>850</v>
      </c>
      <c r="CM68" s="373">
        <f>500-500</f>
        <v>0</v>
      </c>
      <c r="CN68" s="373">
        <f>500-500</f>
        <v>0</v>
      </c>
      <c r="CO68" s="373">
        <f>500-500</f>
        <v>0</v>
      </c>
      <c r="CP68" s="373">
        <f>500-500</f>
        <v>0</v>
      </c>
      <c r="CQ68" s="372" t="s">
        <v>850</v>
      </c>
      <c r="CR68" s="372" t="s">
        <v>850</v>
      </c>
      <c r="CS68" s="373">
        <f>500-500</f>
        <v>0</v>
      </c>
      <c r="CT68" s="373">
        <f>500-500</f>
        <v>0</v>
      </c>
      <c r="CU68" s="373">
        <f>500-500</f>
        <v>0</v>
      </c>
      <c r="CV68" s="372" t="s">
        <v>850</v>
      </c>
      <c r="CW68" s="372" t="s">
        <v>850</v>
      </c>
      <c r="CX68" s="373">
        <f>500-500</f>
        <v>0</v>
      </c>
      <c r="CY68" s="372" t="s">
        <v>850</v>
      </c>
      <c r="CZ68" s="373">
        <f>500-500</f>
        <v>0</v>
      </c>
      <c r="DA68" s="373">
        <f>500-500</f>
        <v>0</v>
      </c>
      <c r="DB68" s="372" t="s">
        <v>850</v>
      </c>
      <c r="DC68" s="372" t="s">
        <v>850</v>
      </c>
      <c r="DD68" s="372" t="s">
        <v>850</v>
      </c>
      <c r="DE68" s="372" t="s">
        <v>850</v>
      </c>
      <c r="DF68" s="372" t="s">
        <v>850</v>
      </c>
      <c r="DG68" s="372" t="s">
        <v>850</v>
      </c>
      <c r="DH68" s="372"/>
      <c r="DI68" s="372" t="s">
        <v>850</v>
      </c>
      <c r="DJ68" s="372" t="s">
        <v>850</v>
      </c>
      <c r="DK68" s="372" t="s">
        <v>850</v>
      </c>
      <c r="DL68" s="372" t="s">
        <v>850</v>
      </c>
      <c r="DM68" s="372" t="s">
        <v>850</v>
      </c>
      <c r="DN68" s="372" t="s">
        <v>850</v>
      </c>
      <c r="DO68" s="372" t="s">
        <v>850</v>
      </c>
      <c r="DP68" s="372" t="s">
        <v>850</v>
      </c>
      <c r="DQ68" s="372" t="s">
        <v>850</v>
      </c>
      <c r="DR68" s="372" t="s">
        <v>850</v>
      </c>
      <c r="DS68" s="372"/>
      <c r="DT68" s="372" t="s">
        <v>850</v>
      </c>
      <c r="DU68" s="372" t="s">
        <v>850</v>
      </c>
      <c r="DV68" s="372" t="s">
        <v>850</v>
      </c>
      <c r="DW68" s="372" t="s">
        <v>850</v>
      </c>
      <c r="DX68" s="372" t="s">
        <v>850</v>
      </c>
      <c r="DY68" s="372" t="s">
        <v>850</v>
      </c>
      <c r="DZ68" s="372" t="s">
        <v>850</v>
      </c>
      <c r="EB68" s="372" t="s">
        <v>850</v>
      </c>
      <c r="ED68" s="372" t="s">
        <v>850</v>
      </c>
      <c r="EE68" s="372" t="s">
        <v>850</v>
      </c>
      <c r="EF68" s="372" t="s">
        <v>850</v>
      </c>
      <c r="EG68" s="372" t="s">
        <v>850</v>
      </c>
      <c r="EH68" s="372" t="s">
        <v>850</v>
      </c>
      <c r="EI68" s="372" t="s">
        <v>850</v>
      </c>
      <c r="EJ68" s="372" t="s">
        <v>850</v>
      </c>
      <c r="EK68" s="372" t="s">
        <v>850</v>
      </c>
      <c r="EL68" s="372" t="s">
        <v>850</v>
      </c>
      <c r="EM68" s="372" t="s">
        <v>850</v>
      </c>
      <c r="EN68" s="372" t="s">
        <v>850</v>
      </c>
      <c r="EO68" s="372" t="s">
        <v>850</v>
      </c>
      <c r="EP68" s="372" t="s">
        <v>850</v>
      </c>
      <c r="EQ68" s="372" t="s">
        <v>850</v>
      </c>
      <c r="ER68" s="372" t="s">
        <v>850</v>
      </c>
      <c r="ES68" s="372" t="s">
        <v>850</v>
      </c>
      <c r="ET68" s="372" t="s">
        <v>850</v>
      </c>
      <c r="EU68" s="372" t="s">
        <v>850</v>
      </c>
      <c r="EV68" s="372" t="s">
        <v>850</v>
      </c>
      <c r="EW68" s="372" t="s">
        <v>850</v>
      </c>
      <c r="EX68" s="372" t="s">
        <v>850</v>
      </c>
      <c r="EY68" s="372" t="s">
        <v>850</v>
      </c>
      <c r="EZ68" s="372" t="s">
        <v>850</v>
      </c>
      <c r="FA68" s="372" t="s">
        <v>850</v>
      </c>
      <c r="FB68" s="372" t="s">
        <v>850</v>
      </c>
      <c r="FC68" s="372" t="s">
        <v>850</v>
      </c>
      <c r="FD68" s="372" t="s">
        <v>850</v>
      </c>
      <c r="FE68" s="372" t="s">
        <v>850</v>
      </c>
      <c r="FF68" s="372" t="s">
        <v>850</v>
      </c>
      <c r="FG68" s="372" t="s">
        <v>850</v>
      </c>
      <c r="FH68" s="372" t="s">
        <v>850</v>
      </c>
      <c r="FI68" s="372" t="s">
        <v>850</v>
      </c>
      <c r="FJ68" s="372" t="s">
        <v>850</v>
      </c>
      <c r="FK68" s="372" t="s">
        <v>850</v>
      </c>
      <c r="FL68" s="372" t="s">
        <v>850</v>
      </c>
      <c r="FM68" s="372" t="s">
        <v>850</v>
      </c>
      <c r="FN68" s="372" t="s">
        <v>850</v>
      </c>
      <c r="FO68" s="375" t="s">
        <v>850</v>
      </c>
      <c r="FP68" s="376" t="s">
        <v>1120</v>
      </c>
      <c r="FQ68" s="377" t="s">
        <v>522</v>
      </c>
      <c r="FR68" s="377" t="s">
        <v>596</v>
      </c>
      <c r="FS68" s="377" t="s">
        <v>607</v>
      </c>
      <c r="FT68" s="144">
        <f t="shared" si="1"/>
        <v>0</v>
      </c>
      <c r="FU68" s="371" t="s">
        <v>913</v>
      </c>
    </row>
    <row r="69" spans="1:177" s="371" customFormat="1" hidden="1">
      <c r="A69" s="368" t="s">
        <v>926</v>
      </c>
      <c r="B69" s="369" t="s">
        <v>517</v>
      </c>
      <c r="C69" s="369" t="s">
        <v>555</v>
      </c>
      <c r="D69" s="369" t="s">
        <v>3</v>
      </c>
      <c r="E69" s="370" t="s">
        <v>594</v>
      </c>
      <c r="F69" s="369" t="s">
        <v>520</v>
      </c>
      <c r="G69" s="369" t="s">
        <v>1134</v>
      </c>
      <c r="H69" s="372"/>
      <c r="I69" s="372"/>
      <c r="J69" s="372"/>
      <c r="K69" s="372"/>
      <c r="L69" s="372"/>
      <c r="M69" s="372"/>
      <c r="N69" s="372"/>
      <c r="O69" s="372"/>
      <c r="P69" s="372"/>
      <c r="Q69" s="372"/>
      <c r="R69" s="372"/>
      <c r="S69" s="372"/>
      <c r="T69" s="372"/>
      <c r="U69" s="372"/>
      <c r="V69" s="372"/>
      <c r="W69" s="372"/>
      <c r="X69" s="372"/>
      <c r="Y69" s="372"/>
      <c r="Z69" s="372"/>
      <c r="AA69" s="372"/>
      <c r="AB69" s="372"/>
      <c r="AC69" s="372"/>
      <c r="AD69" s="372"/>
      <c r="AE69" s="372"/>
      <c r="AF69" s="372"/>
      <c r="AG69" s="372"/>
      <c r="AH69" s="372"/>
      <c r="AI69" s="372"/>
      <c r="AJ69" s="372"/>
      <c r="AK69" s="372"/>
      <c r="AL69" s="372"/>
      <c r="AM69" s="372"/>
      <c r="AN69" s="372"/>
      <c r="AO69" s="372"/>
      <c r="AP69" s="372"/>
      <c r="AQ69" s="372"/>
      <c r="AR69" s="372"/>
      <c r="AS69" s="372"/>
      <c r="AT69" s="372"/>
      <c r="AU69" s="372"/>
      <c r="AV69" s="372"/>
      <c r="AW69" s="372"/>
      <c r="AX69" s="372"/>
      <c r="AY69" s="372"/>
      <c r="AZ69" s="372"/>
      <c r="BA69" s="372"/>
      <c r="BB69" s="372"/>
      <c r="BC69" s="372"/>
      <c r="BD69" s="372"/>
      <c r="BE69" s="372"/>
      <c r="BF69" s="372"/>
      <c r="BG69" s="372"/>
      <c r="BH69" s="372"/>
      <c r="BI69" s="372"/>
      <c r="BJ69" s="372"/>
      <c r="BK69" s="372"/>
      <c r="BL69" s="372"/>
      <c r="BM69" s="372"/>
      <c r="BN69" s="372"/>
      <c r="BO69" s="372"/>
      <c r="BP69" s="372"/>
      <c r="BQ69" s="372"/>
      <c r="BR69" s="372"/>
      <c r="BS69" s="372"/>
      <c r="BT69" s="372"/>
      <c r="BU69" s="372"/>
      <c r="BV69" s="372"/>
      <c r="BW69" s="372"/>
      <c r="BX69" s="372"/>
      <c r="BY69" s="372"/>
      <c r="BZ69" s="372"/>
      <c r="CA69" s="372"/>
      <c r="CB69" s="372"/>
      <c r="CC69" s="372"/>
      <c r="CD69" s="372"/>
      <c r="CE69" s="372"/>
      <c r="CG69" s="372"/>
      <c r="CH69" s="372"/>
      <c r="CI69" s="372"/>
      <c r="CJ69" s="372"/>
      <c r="CK69" s="372"/>
      <c r="CL69" s="372"/>
      <c r="CM69" s="372"/>
      <c r="CN69" s="372"/>
      <c r="CO69" s="372"/>
      <c r="CP69" s="372"/>
      <c r="CQ69" s="372"/>
      <c r="CR69" s="372"/>
      <c r="CS69" s="372"/>
      <c r="CT69" s="372"/>
      <c r="CU69" s="372"/>
      <c r="CV69" s="372"/>
      <c r="CW69" s="372"/>
      <c r="CX69" s="372"/>
      <c r="CY69" s="372"/>
      <c r="CZ69" s="372"/>
      <c r="DA69" s="372"/>
      <c r="DB69" s="372"/>
      <c r="DC69" s="372"/>
      <c r="DD69" s="372"/>
      <c r="DE69" s="372"/>
      <c r="DF69" s="372"/>
      <c r="DG69" s="372"/>
      <c r="DH69" s="372"/>
      <c r="DI69" s="372"/>
      <c r="DJ69" s="372"/>
      <c r="DK69" s="372"/>
      <c r="DL69" s="372"/>
      <c r="DM69" s="372"/>
      <c r="DN69" s="372"/>
      <c r="DO69" s="372"/>
      <c r="DP69" s="372"/>
      <c r="DQ69" s="372"/>
      <c r="DR69" s="372"/>
      <c r="DS69" s="372"/>
      <c r="DT69" s="372"/>
      <c r="DU69" s="372"/>
      <c r="DV69" s="372"/>
      <c r="DW69" s="372"/>
      <c r="DX69" s="372"/>
      <c r="DY69" s="372"/>
      <c r="DZ69" s="372"/>
      <c r="EB69" s="372"/>
      <c r="ED69" s="372"/>
      <c r="EE69" s="372"/>
      <c r="EF69" s="372"/>
      <c r="EG69" s="372"/>
      <c r="EH69" s="372" t="s">
        <v>850</v>
      </c>
      <c r="EI69" s="372"/>
      <c r="EJ69" s="372"/>
      <c r="EK69" s="372"/>
      <c r="EL69" s="372"/>
      <c r="EM69" s="372"/>
      <c r="EN69" s="372"/>
      <c r="EO69" s="372"/>
      <c r="EP69" s="372"/>
      <c r="EQ69" s="372"/>
      <c r="ER69" s="372"/>
      <c r="ES69" s="372"/>
      <c r="ET69" s="372"/>
      <c r="EU69" s="372"/>
      <c r="EV69" s="372"/>
      <c r="EW69" s="372"/>
      <c r="EX69" s="372"/>
      <c r="EY69" s="372"/>
      <c r="EZ69" s="372"/>
      <c r="FA69" s="372"/>
      <c r="FB69" s="372"/>
      <c r="FC69" s="372"/>
      <c r="FD69" s="372"/>
      <c r="FE69" s="372"/>
      <c r="FF69" s="372"/>
      <c r="FG69" s="372"/>
      <c r="FH69" s="372"/>
      <c r="FI69" s="372"/>
      <c r="FJ69" s="372"/>
      <c r="FK69" s="372"/>
      <c r="FL69" s="372"/>
      <c r="FM69" s="372"/>
      <c r="FN69" s="372"/>
      <c r="FO69" s="375" t="s">
        <v>850</v>
      </c>
      <c r="FP69" s="376" t="s">
        <v>1120</v>
      </c>
      <c r="FQ69" s="377" t="s">
        <v>522</v>
      </c>
      <c r="FR69" s="377" t="s">
        <v>596</v>
      </c>
      <c r="FS69" s="377" t="s">
        <v>607</v>
      </c>
      <c r="FT69" s="144">
        <f t="shared" si="1"/>
        <v>0</v>
      </c>
      <c r="FU69" s="371" t="s">
        <v>913</v>
      </c>
    </row>
    <row r="70" spans="1:177" s="371" customFormat="1" hidden="1">
      <c r="A70" s="368" t="s">
        <v>926</v>
      </c>
      <c r="B70" s="369" t="s">
        <v>517</v>
      </c>
      <c r="C70" s="369" t="s">
        <v>555</v>
      </c>
      <c r="D70" s="369" t="s">
        <v>8</v>
      </c>
      <c r="E70" s="379" t="s">
        <v>594</v>
      </c>
      <c r="F70" s="369" t="s">
        <v>520</v>
      </c>
      <c r="G70" s="369" t="s">
        <v>1135</v>
      </c>
      <c r="BS70" s="372"/>
      <c r="DH70" s="372"/>
      <c r="DS70" s="372"/>
      <c r="EH70" s="372" t="s">
        <v>850</v>
      </c>
      <c r="FO70" s="375" t="s">
        <v>850</v>
      </c>
      <c r="FP70" s="376" t="s">
        <v>1120</v>
      </c>
      <c r="FQ70" s="377" t="s">
        <v>522</v>
      </c>
      <c r="FR70" s="377" t="s">
        <v>819</v>
      </c>
      <c r="FS70" s="377" t="s">
        <v>577</v>
      </c>
      <c r="FT70" s="144">
        <f t="shared" si="1"/>
        <v>0</v>
      </c>
      <c r="FU70" s="371" t="s">
        <v>913</v>
      </c>
    </row>
    <row r="71" spans="1:177" s="371" customFormat="1" hidden="1">
      <c r="A71" s="368" t="s">
        <v>926</v>
      </c>
      <c r="B71" s="369" t="s">
        <v>517</v>
      </c>
      <c r="C71" s="369" t="s">
        <v>555</v>
      </c>
      <c r="D71" s="369" t="s">
        <v>4</v>
      </c>
      <c r="E71" s="379" t="s">
        <v>594</v>
      </c>
      <c r="F71" s="369" t="s">
        <v>520</v>
      </c>
      <c r="G71" s="369" t="s">
        <v>1135</v>
      </c>
      <c r="H71" s="372" t="s">
        <v>850</v>
      </c>
      <c r="I71" s="372" t="s">
        <v>850</v>
      </c>
      <c r="J71" s="372" t="s">
        <v>850</v>
      </c>
      <c r="K71" s="372" t="s">
        <v>850</v>
      </c>
      <c r="L71" s="372" t="s">
        <v>850</v>
      </c>
      <c r="M71" s="372" t="s">
        <v>850</v>
      </c>
      <c r="N71" s="372" t="s">
        <v>850</v>
      </c>
      <c r="O71" s="372" t="s">
        <v>850</v>
      </c>
      <c r="P71" s="372" t="s">
        <v>850</v>
      </c>
      <c r="Q71" s="372" t="s">
        <v>850</v>
      </c>
      <c r="R71" s="372" t="s">
        <v>850</v>
      </c>
      <c r="S71" s="372" t="s">
        <v>850</v>
      </c>
      <c r="T71" s="372" t="s">
        <v>850</v>
      </c>
      <c r="U71" s="372" t="s">
        <v>850</v>
      </c>
      <c r="V71" s="372" t="s">
        <v>850</v>
      </c>
      <c r="W71" s="372" t="s">
        <v>850</v>
      </c>
      <c r="X71" s="372" t="s">
        <v>850</v>
      </c>
      <c r="Y71" s="372" t="s">
        <v>850</v>
      </c>
      <c r="Z71" s="372" t="s">
        <v>850</v>
      </c>
      <c r="AA71" s="372" t="s">
        <v>850</v>
      </c>
      <c r="AB71" s="372" t="s">
        <v>850</v>
      </c>
      <c r="AC71" s="372" t="s">
        <v>850</v>
      </c>
      <c r="AD71" s="372" t="s">
        <v>850</v>
      </c>
      <c r="AE71" s="372" t="s">
        <v>850</v>
      </c>
      <c r="AF71" s="372" t="s">
        <v>850</v>
      </c>
      <c r="AG71" s="372" t="s">
        <v>850</v>
      </c>
      <c r="AH71" s="372" t="s">
        <v>850</v>
      </c>
      <c r="AI71" s="372" t="s">
        <v>850</v>
      </c>
      <c r="AJ71" s="372" t="s">
        <v>850</v>
      </c>
      <c r="AK71" s="372" t="s">
        <v>850</v>
      </c>
      <c r="AL71" s="372" t="s">
        <v>850</v>
      </c>
      <c r="AM71" s="372" t="s">
        <v>850</v>
      </c>
      <c r="AN71" s="372" t="s">
        <v>850</v>
      </c>
      <c r="AO71" s="372" t="s">
        <v>850</v>
      </c>
      <c r="AP71" s="372" t="s">
        <v>850</v>
      </c>
      <c r="AQ71" s="372" t="s">
        <v>850</v>
      </c>
      <c r="AR71" s="372" t="s">
        <v>850</v>
      </c>
      <c r="AS71" s="373">
        <f>10-10</f>
        <v>0</v>
      </c>
      <c r="AT71" s="373">
        <f>10-10</f>
        <v>0</v>
      </c>
      <c r="AU71" s="373">
        <f>10-10</f>
        <v>0</v>
      </c>
      <c r="AV71" s="372" t="s">
        <v>850</v>
      </c>
      <c r="AW71" s="373">
        <f>10-10</f>
        <v>0</v>
      </c>
      <c r="AX71" s="372" t="s">
        <v>850</v>
      </c>
      <c r="AY71" s="372" t="s">
        <v>850</v>
      </c>
      <c r="AZ71" s="372" t="s">
        <v>850</v>
      </c>
      <c r="BA71" s="372" t="s">
        <v>850</v>
      </c>
      <c r="BB71" s="372" t="s">
        <v>850</v>
      </c>
      <c r="BC71" s="372" t="s">
        <v>850</v>
      </c>
      <c r="BD71" s="372" t="s">
        <v>850</v>
      </c>
      <c r="BE71" s="373">
        <f>30-30</f>
        <v>0</v>
      </c>
      <c r="BF71" s="373">
        <f>30-30</f>
        <v>0</v>
      </c>
      <c r="BG71" s="373">
        <f>30-30</f>
        <v>0</v>
      </c>
      <c r="BH71" s="373">
        <f>30-30</f>
        <v>0</v>
      </c>
      <c r="BI71" s="372" t="s">
        <v>850</v>
      </c>
      <c r="BJ71" s="372" t="s">
        <v>850</v>
      </c>
      <c r="BK71" s="372" t="s">
        <v>850</v>
      </c>
      <c r="BL71" s="372" t="s">
        <v>850</v>
      </c>
      <c r="BM71" s="372" t="s">
        <v>850</v>
      </c>
      <c r="BN71" s="372" t="s">
        <v>850</v>
      </c>
      <c r="BO71" s="372" t="s">
        <v>850</v>
      </c>
      <c r="BP71" s="372" t="s">
        <v>850</v>
      </c>
      <c r="BQ71" s="373">
        <f>30-30</f>
        <v>0</v>
      </c>
      <c r="BR71" s="373">
        <f>30-30</f>
        <v>0</v>
      </c>
      <c r="BS71" s="372"/>
      <c r="BT71" s="372" t="s">
        <v>850</v>
      </c>
      <c r="BU71" s="373">
        <f>50-50</f>
        <v>0</v>
      </c>
      <c r="BV71" s="373">
        <f>30-30</f>
        <v>0</v>
      </c>
      <c r="BW71" s="373">
        <f>50-50</f>
        <v>0</v>
      </c>
      <c r="BX71" s="372" t="s">
        <v>850</v>
      </c>
      <c r="BY71" s="372" t="s">
        <v>850</v>
      </c>
      <c r="BZ71" s="373">
        <f>30-30</f>
        <v>0</v>
      </c>
      <c r="CA71" s="373">
        <f>50-50</f>
        <v>0</v>
      </c>
      <c r="CB71" s="373">
        <f>30-30</f>
        <v>0</v>
      </c>
      <c r="CC71" s="373">
        <f>30-30</f>
        <v>0</v>
      </c>
      <c r="CD71" s="372" t="s">
        <v>850</v>
      </c>
      <c r="CE71" s="373">
        <f>30-30</f>
        <v>0</v>
      </c>
      <c r="CG71" s="373">
        <f>50-50</f>
        <v>0</v>
      </c>
      <c r="CH71" s="373">
        <f>30-30</f>
        <v>0</v>
      </c>
      <c r="CI71" s="373">
        <f>50-50</f>
        <v>0</v>
      </c>
      <c r="CJ71" s="372" t="s">
        <v>850</v>
      </c>
      <c r="CK71" s="373">
        <f>50-50</f>
        <v>0</v>
      </c>
      <c r="CL71" s="372" t="s">
        <v>850</v>
      </c>
      <c r="CM71" s="373">
        <f>50-50</f>
        <v>0</v>
      </c>
      <c r="CN71" s="373">
        <f>50-50</f>
        <v>0</v>
      </c>
      <c r="CO71" s="373">
        <f>30-30</f>
        <v>0</v>
      </c>
      <c r="CP71" s="373">
        <f>50-50</f>
        <v>0</v>
      </c>
      <c r="CQ71" s="372" t="s">
        <v>850</v>
      </c>
      <c r="CR71" s="372" t="s">
        <v>850</v>
      </c>
      <c r="CS71" s="372" t="s">
        <v>850</v>
      </c>
      <c r="CT71" s="372" t="s">
        <v>850</v>
      </c>
      <c r="CU71" s="372" t="s">
        <v>850</v>
      </c>
      <c r="CV71" s="372" t="s">
        <v>850</v>
      </c>
      <c r="CW71" s="373">
        <f>50-50</f>
        <v>0</v>
      </c>
      <c r="CX71" s="373">
        <f>50-50</f>
        <v>0</v>
      </c>
      <c r="CY71" s="373">
        <f>50-50</f>
        <v>0</v>
      </c>
      <c r="CZ71" s="373">
        <f>50-50</f>
        <v>0</v>
      </c>
      <c r="DA71" s="372" t="s">
        <v>850</v>
      </c>
      <c r="DB71" s="372" t="s">
        <v>850</v>
      </c>
      <c r="DC71" s="372" t="s">
        <v>850</v>
      </c>
      <c r="DD71" s="372" t="s">
        <v>850</v>
      </c>
      <c r="DE71" s="372" t="s">
        <v>850</v>
      </c>
      <c r="DF71" s="372" t="s">
        <v>850</v>
      </c>
      <c r="DG71" s="372" t="s">
        <v>850</v>
      </c>
      <c r="DH71" s="372"/>
      <c r="DI71" s="372" t="s">
        <v>850</v>
      </c>
      <c r="DJ71" s="372" t="s">
        <v>850</v>
      </c>
      <c r="DK71" s="373">
        <f>50-50</f>
        <v>0</v>
      </c>
      <c r="DL71" s="372" t="s">
        <v>850</v>
      </c>
      <c r="DM71" s="372" t="s">
        <v>850</v>
      </c>
      <c r="DN71" s="372" t="s">
        <v>850</v>
      </c>
      <c r="DO71" s="373">
        <f>100-100</f>
        <v>0</v>
      </c>
      <c r="DP71" s="372" t="s">
        <v>850</v>
      </c>
      <c r="DQ71" s="373">
        <f>100-100</f>
        <v>0</v>
      </c>
      <c r="DR71" s="372" t="s">
        <v>850</v>
      </c>
      <c r="DS71" s="372"/>
      <c r="DT71" s="373">
        <f>100-100</f>
        <v>0</v>
      </c>
      <c r="DU71" s="373">
        <f>100-100</f>
        <v>0</v>
      </c>
      <c r="DV71" s="373">
        <f>100-100</f>
        <v>0</v>
      </c>
      <c r="DW71" s="373">
        <f>50-50</f>
        <v>0</v>
      </c>
      <c r="DX71" s="373">
        <f>50-50</f>
        <v>0</v>
      </c>
      <c r="DY71" s="372" t="s">
        <v>850</v>
      </c>
      <c r="DZ71" s="373">
        <f>100-100</f>
        <v>0</v>
      </c>
      <c r="EB71" s="372" t="s">
        <v>850</v>
      </c>
      <c r="ED71" s="373">
        <f>50-50</f>
        <v>0</v>
      </c>
      <c r="EE71" s="372" t="s">
        <v>850</v>
      </c>
      <c r="EF71" s="373">
        <f>100-100</f>
        <v>0</v>
      </c>
      <c r="EG71" s="373">
        <f>100-100</f>
        <v>0</v>
      </c>
      <c r="EH71" s="372" t="s">
        <v>850</v>
      </c>
      <c r="EI71" s="373">
        <f>100-100</f>
        <v>0</v>
      </c>
      <c r="EJ71" s="372" t="s">
        <v>850</v>
      </c>
      <c r="EK71" s="373">
        <f>100-100</f>
        <v>0</v>
      </c>
      <c r="EL71" s="373">
        <f>100-100</f>
        <v>0</v>
      </c>
      <c r="EM71" s="372" t="s">
        <v>850</v>
      </c>
      <c r="EN71" s="372" t="s">
        <v>850</v>
      </c>
      <c r="EO71" s="372" t="s">
        <v>850</v>
      </c>
      <c r="EP71" s="372" t="s">
        <v>850</v>
      </c>
      <c r="EQ71" s="372" t="s">
        <v>850</v>
      </c>
      <c r="ER71" s="372" t="s">
        <v>850</v>
      </c>
      <c r="ES71" s="372" t="s">
        <v>850</v>
      </c>
      <c r="ET71" s="372" t="s">
        <v>850</v>
      </c>
      <c r="EU71" s="372" t="s">
        <v>850</v>
      </c>
      <c r="EV71" s="372" t="s">
        <v>850</v>
      </c>
      <c r="EW71" s="372" t="s">
        <v>850</v>
      </c>
      <c r="EX71" s="372" t="s">
        <v>850</v>
      </c>
      <c r="EY71" s="372" t="s">
        <v>850</v>
      </c>
      <c r="EZ71" s="372" t="s">
        <v>850</v>
      </c>
      <c r="FA71" s="372" t="s">
        <v>850</v>
      </c>
      <c r="FB71" s="372" t="s">
        <v>850</v>
      </c>
      <c r="FC71" s="372" t="s">
        <v>850</v>
      </c>
      <c r="FD71" s="372" t="s">
        <v>850</v>
      </c>
      <c r="FE71" s="372" t="s">
        <v>850</v>
      </c>
      <c r="FF71" s="372" t="s">
        <v>850</v>
      </c>
      <c r="FG71" s="372" t="s">
        <v>850</v>
      </c>
      <c r="FH71" s="372" t="s">
        <v>850</v>
      </c>
      <c r="FI71" s="372" t="s">
        <v>850</v>
      </c>
      <c r="FJ71" s="372" t="s">
        <v>850</v>
      </c>
      <c r="FK71" s="372" t="s">
        <v>850</v>
      </c>
      <c r="FL71" s="372" t="s">
        <v>850</v>
      </c>
      <c r="FM71" s="372" t="s">
        <v>850</v>
      </c>
      <c r="FN71" s="372" t="s">
        <v>850</v>
      </c>
      <c r="FO71" s="375" t="s">
        <v>850</v>
      </c>
      <c r="FP71" s="376" t="s">
        <v>1120</v>
      </c>
      <c r="FQ71" s="377" t="s">
        <v>522</v>
      </c>
      <c r="FR71" s="377" t="s">
        <v>819</v>
      </c>
      <c r="FS71" s="377" t="s">
        <v>577</v>
      </c>
      <c r="FT71" s="144">
        <f t="shared" ref="FT71:FT93" si="2">SUM(H71:FN71)</f>
        <v>0</v>
      </c>
      <c r="FU71" s="371" t="s">
        <v>913</v>
      </c>
    </row>
    <row r="72" spans="1:177" s="371" customFormat="1" hidden="1">
      <c r="A72" s="368" t="s">
        <v>926</v>
      </c>
      <c r="B72" s="369" t="s">
        <v>517</v>
      </c>
      <c r="C72" s="369" t="s">
        <v>555</v>
      </c>
      <c r="D72" s="369" t="s">
        <v>3</v>
      </c>
      <c r="E72" s="379" t="s">
        <v>594</v>
      </c>
      <c r="F72" s="369" t="s">
        <v>520</v>
      </c>
      <c r="G72" s="369" t="s">
        <v>1136</v>
      </c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  <c r="AO72" s="372"/>
      <c r="AP72" s="372"/>
      <c r="AQ72" s="372"/>
      <c r="AR72" s="372"/>
      <c r="AS72" s="372"/>
      <c r="AT72" s="372"/>
      <c r="AU72" s="372"/>
      <c r="AV72" s="372"/>
      <c r="AW72" s="372"/>
      <c r="AX72" s="372"/>
      <c r="AY72" s="372"/>
      <c r="AZ72" s="372"/>
      <c r="BA72" s="372"/>
      <c r="BB72" s="372"/>
      <c r="BC72" s="372"/>
      <c r="BD72" s="372"/>
      <c r="BE72" s="372"/>
      <c r="BF72" s="372"/>
      <c r="BG72" s="372"/>
      <c r="BH72" s="372"/>
      <c r="BI72" s="372"/>
      <c r="BJ72" s="372"/>
      <c r="BK72" s="372"/>
      <c r="BL72" s="372"/>
      <c r="BM72" s="372"/>
      <c r="BN72" s="372"/>
      <c r="BO72" s="372"/>
      <c r="BP72" s="372"/>
      <c r="BQ72" s="372"/>
      <c r="BR72" s="372"/>
      <c r="BS72" s="372"/>
      <c r="BT72" s="372"/>
      <c r="BU72" s="372"/>
      <c r="BV72" s="372"/>
      <c r="BW72" s="372"/>
      <c r="BX72" s="372"/>
      <c r="BY72" s="372"/>
      <c r="BZ72" s="372"/>
      <c r="CA72" s="372"/>
      <c r="CB72" s="372"/>
      <c r="CC72" s="372"/>
      <c r="CD72" s="372"/>
      <c r="CE72" s="372"/>
      <c r="CG72" s="372"/>
      <c r="CH72" s="372"/>
      <c r="CI72" s="372"/>
      <c r="CJ72" s="372"/>
      <c r="CK72" s="372"/>
      <c r="CL72" s="372"/>
      <c r="CM72" s="372"/>
      <c r="CN72" s="372"/>
      <c r="CO72" s="372"/>
      <c r="CP72" s="372"/>
      <c r="CQ72" s="372"/>
      <c r="CR72" s="372"/>
      <c r="CS72" s="372"/>
      <c r="CT72" s="372"/>
      <c r="CU72" s="372"/>
      <c r="CV72" s="372"/>
      <c r="CW72" s="372"/>
      <c r="CX72" s="372"/>
      <c r="CY72" s="372"/>
      <c r="CZ72" s="372"/>
      <c r="DA72" s="372"/>
      <c r="DB72" s="372"/>
      <c r="DC72" s="372"/>
      <c r="DD72" s="372"/>
      <c r="DE72" s="372"/>
      <c r="DF72" s="372"/>
      <c r="DG72" s="372"/>
      <c r="DH72" s="372"/>
      <c r="DI72" s="372"/>
      <c r="DJ72" s="372"/>
      <c r="DK72" s="372"/>
      <c r="DL72" s="372"/>
      <c r="DM72" s="372"/>
      <c r="DN72" s="372"/>
      <c r="DO72" s="372"/>
      <c r="DP72" s="372"/>
      <c r="DQ72" s="372"/>
      <c r="DR72" s="372"/>
      <c r="DS72" s="372"/>
      <c r="DT72" s="372"/>
      <c r="DU72" s="372"/>
      <c r="DV72" s="372"/>
      <c r="DW72" s="372"/>
      <c r="DX72" s="372"/>
      <c r="DY72" s="372"/>
      <c r="DZ72" s="372"/>
      <c r="EB72" s="372"/>
      <c r="ED72" s="372"/>
      <c r="EE72" s="372"/>
      <c r="EF72" s="372"/>
      <c r="EG72" s="372"/>
      <c r="EH72" s="372" t="s">
        <v>850</v>
      </c>
      <c r="EI72" s="372"/>
      <c r="EJ72" s="372"/>
      <c r="EK72" s="372"/>
      <c r="EL72" s="372"/>
      <c r="EM72" s="372"/>
      <c r="EN72" s="372"/>
      <c r="EO72" s="372"/>
      <c r="EP72" s="372"/>
      <c r="EQ72" s="372"/>
      <c r="ER72" s="372"/>
      <c r="ES72" s="372"/>
      <c r="ET72" s="372"/>
      <c r="EU72" s="372"/>
      <c r="EV72" s="372"/>
      <c r="EW72" s="372"/>
      <c r="EX72" s="372"/>
      <c r="EY72" s="372"/>
      <c r="EZ72" s="372"/>
      <c r="FA72" s="372"/>
      <c r="FB72" s="372"/>
      <c r="FC72" s="372"/>
      <c r="FD72" s="372"/>
      <c r="FE72" s="372"/>
      <c r="FF72" s="372"/>
      <c r="FG72" s="372"/>
      <c r="FH72" s="372"/>
      <c r="FI72" s="372"/>
      <c r="FJ72" s="372"/>
      <c r="FK72" s="372"/>
      <c r="FL72" s="372"/>
      <c r="FM72" s="372"/>
      <c r="FN72" s="372"/>
      <c r="FO72" s="375" t="s">
        <v>850</v>
      </c>
      <c r="FP72" s="376" t="s">
        <v>1120</v>
      </c>
      <c r="FQ72" s="377" t="s">
        <v>522</v>
      </c>
      <c r="FR72" s="377" t="s">
        <v>819</v>
      </c>
      <c r="FS72" s="377" t="s">
        <v>577</v>
      </c>
      <c r="FT72" s="144">
        <f t="shared" si="2"/>
        <v>0</v>
      </c>
      <c r="FU72" s="371" t="s">
        <v>913</v>
      </c>
    </row>
    <row r="73" spans="1:177" s="371" customFormat="1">
      <c r="A73" s="368" t="s">
        <v>526</v>
      </c>
      <c r="B73" s="369" t="s">
        <v>517</v>
      </c>
      <c r="C73" s="369" t="s">
        <v>555</v>
      </c>
      <c r="D73" s="369" t="s">
        <v>8</v>
      </c>
      <c r="E73" s="370" t="s">
        <v>602</v>
      </c>
      <c r="F73" s="369" t="s">
        <v>520</v>
      </c>
      <c r="G73" s="369"/>
      <c r="BS73" s="372"/>
      <c r="DH73" s="372"/>
      <c r="DS73" s="372"/>
      <c r="EB73" s="418">
        <v>60</v>
      </c>
      <c r="EH73" s="372"/>
      <c r="ER73" s="416">
        <v>60</v>
      </c>
      <c r="EV73" s="372"/>
      <c r="EX73" s="416">
        <v>400</v>
      </c>
      <c r="FO73" s="375" t="s">
        <v>850</v>
      </c>
      <c r="FP73" s="376" t="s">
        <v>1120</v>
      </c>
      <c r="FQ73" s="377" t="s">
        <v>522</v>
      </c>
      <c r="FR73" s="377" t="s">
        <v>850</v>
      </c>
      <c r="FS73" s="377" t="s">
        <v>915</v>
      </c>
      <c r="FT73" s="144">
        <f t="shared" si="2"/>
        <v>520</v>
      </c>
      <c r="FU73" s="371" t="s">
        <v>911</v>
      </c>
    </row>
    <row r="74" spans="1:177" s="371" customFormat="1">
      <c r="A74" s="368" t="s">
        <v>526</v>
      </c>
      <c r="B74" s="369" t="s">
        <v>517</v>
      </c>
      <c r="C74" s="369" t="s">
        <v>555</v>
      </c>
      <c r="D74" s="369" t="s">
        <v>4</v>
      </c>
      <c r="E74" s="370" t="s">
        <v>602</v>
      </c>
      <c r="F74" s="369" t="s">
        <v>520</v>
      </c>
      <c r="G74" s="369"/>
      <c r="H74" s="373">
        <f>20-20+20</f>
        <v>20</v>
      </c>
      <c r="I74" s="372"/>
      <c r="J74" s="373">
        <f>40-40</f>
        <v>0</v>
      </c>
      <c r="K74" s="373">
        <f>40-40+5</f>
        <v>5</v>
      </c>
      <c r="L74" s="373">
        <f>20-20</f>
        <v>0</v>
      </c>
      <c r="M74" s="372" t="s">
        <v>850</v>
      </c>
      <c r="N74" s="373">
        <f>16-16</f>
        <v>0</v>
      </c>
      <c r="O74" s="373">
        <f>44-44</f>
        <v>0</v>
      </c>
      <c r="P74" s="372"/>
      <c r="Q74" s="373">
        <f>5-5</f>
        <v>0</v>
      </c>
      <c r="R74" s="373">
        <f>100-100</f>
        <v>0</v>
      </c>
      <c r="S74" s="372"/>
      <c r="T74" s="373">
        <f>50-50</f>
        <v>0</v>
      </c>
      <c r="U74" s="373">
        <f>65-65</f>
        <v>0</v>
      </c>
      <c r="V74" s="373">
        <f>70-70</f>
        <v>0</v>
      </c>
      <c r="W74" s="373">
        <f>100-100</f>
        <v>0</v>
      </c>
      <c r="X74" s="372"/>
      <c r="Y74" s="372" t="s">
        <v>850</v>
      </c>
      <c r="Z74" s="372" t="s">
        <v>850</v>
      </c>
      <c r="AA74" s="372" t="s">
        <v>850</v>
      </c>
      <c r="AB74" s="372" t="s">
        <v>850</v>
      </c>
      <c r="AC74" s="372" t="s">
        <v>850</v>
      </c>
      <c r="AD74" s="372" t="s">
        <v>850</v>
      </c>
      <c r="AE74" s="372" t="s">
        <v>850</v>
      </c>
      <c r="AF74" s="372" t="s">
        <v>850</v>
      </c>
      <c r="AG74" s="372" t="s">
        <v>850</v>
      </c>
      <c r="AH74" s="372" t="s">
        <v>850</v>
      </c>
      <c r="AI74" s="372" t="s">
        <v>850</v>
      </c>
      <c r="AJ74" s="372" t="s">
        <v>850</v>
      </c>
      <c r="AK74" s="372" t="s">
        <v>850</v>
      </c>
      <c r="AL74" s="373">
        <f>200-200</f>
        <v>0</v>
      </c>
      <c r="AM74" s="373">
        <f>200-200</f>
        <v>0</v>
      </c>
      <c r="AN74" s="372"/>
      <c r="AO74" s="372" t="s">
        <v>850</v>
      </c>
      <c r="AP74" s="372" t="s">
        <v>850</v>
      </c>
      <c r="AQ74" s="373">
        <f>46-46</f>
        <v>0</v>
      </c>
      <c r="AR74" s="373">
        <f>44-44</f>
        <v>0</v>
      </c>
      <c r="AS74" s="373">
        <f>40-40</f>
        <v>0</v>
      </c>
      <c r="AT74" s="373">
        <f>75-75</f>
        <v>0</v>
      </c>
      <c r="AU74" s="373">
        <f>10-10+5</f>
        <v>5</v>
      </c>
      <c r="AV74" s="373">
        <f>400-400+6</f>
        <v>6</v>
      </c>
      <c r="AW74" s="373">
        <f>70-70</f>
        <v>0</v>
      </c>
      <c r="AX74" s="373">
        <f>100-100+2</f>
        <v>2</v>
      </c>
      <c r="AY74" s="372"/>
      <c r="AZ74" s="372" t="s">
        <v>850</v>
      </c>
      <c r="BA74" s="372" t="s">
        <v>850</v>
      </c>
      <c r="BB74" s="372" t="s">
        <v>850</v>
      </c>
      <c r="BC74" s="373">
        <f>78-78</f>
        <v>0</v>
      </c>
      <c r="BD74" s="373">
        <f>77-77+1</f>
        <v>1</v>
      </c>
      <c r="BE74" s="373">
        <f>44-44</f>
        <v>0</v>
      </c>
      <c r="BF74" s="373">
        <f>29-29</f>
        <v>0</v>
      </c>
      <c r="BG74" s="373">
        <f>245-245+25</f>
        <v>25</v>
      </c>
      <c r="BH74" s="372" t="s">
        <v>850</v>
      </c>
      <c r="BI74" s="373">
        <f>100-100</f>
        <v>0</v>
      </c>
      <c r="BJ74" s="373">
        <f>130-130+20</f>
        <v>20</v>
      </c>
      <c r="BK74" s="373">
        <f>100-100+60</f>
        <v>60</v>
      </c>
      <c r="BL74" s="372" t="s">
        <v>850</v>
      </c>
      <c r="BM74" s="372" t="s">
        <v>850</v>
      </c>
      <c r="BN74" s="372" t="s">
        <v>850</v>
      </c>
      <c r="BO74" s="373">
        <f>464-464</f>
        <v>0</v>
      </c>
      <c r="BP74" s="373">
        <f>10-10+5</f>
        <v>5</v>
      </c>
      <c r="BQ74" s="373">
        <f>335-335</f>
        <v>0</v>
      </c>
      <c r="BR74" s="373">
        <f>497-497</f>
        <v>0</v>
      </c>
      <c r="BS74" s="372"/>
      <c r="BT74" s="373">
        <f>430-430</f>
        <v>0</v>
      </c>
      <c r="BU74" s="373">
        <f>510-510+80</f>
        <v>80</v>
      </c>
      <c r="BV74" s="373">
        <f>383-383+10</f>
        <v>10</v>
      </c>
      <c r="BW74" s="373">
        <f>490-490</f>
        <v>0</v>
      </c>
      <c r="BX74" s="373">
        <f>470-470</f>
        <v>0</v>
      </c>
      <c r="BY74" s="373">
        <f>329-329+10</f>
        <v>10</v>
      </c>
      <c r="BZ74" s="373">
        <f>106-106+20</f>
        <v>20</v>
      </c>
      <c r="CA74" s="373">
        <f>290-290+20</f>
        <v>20</v>
      </c>
      <c r="CB74" s="373">
        <f>463-463</f>
        <v>0</v>
      </c>
      <c r="CC74" s="373">
        <f>500-500</f>
        <v>0</v>
      </c>
      <c r="CD74" s="373">
        <f>440-440</f>
        <v>0</v>
      </c>
      <c r="CE74" s="373">
        <f>80-80+40</f>
        <v>40</v>
      </c>
      <c r="CG74" s="373">
        <f>240-240+100</f>
        <v>100</v>
      </c>
      <c r="CH74" s="373">
        <f>375-375+30</f>
        <v>30</v>
      </c>
      <c r="CI74" s="373">
        <f>420-420</f>
        <v>0</v>
      </c>
      <c r="CJ74" s="373">
        <f>525-525</f>
        <v>0</v>
      </c>
      <c r="CK74" s="373">
        <f>491-491</f>
        <v>0</v>
      </c>
      <c r="CL74" s="373">
        <f>314-314+60</f>
        <v>60</v>
      </c>
      <c r="CM74" s="373">
        <f>387-387+60</f>
        <v>60</v>
      </c>
      <c r="CN74" s="373">
        <f>10-10+150</f>
        <v>150</v>
      </c>
      <c r="CO74" s="373">
        <f>288-288+40</f>
        <v>40</v>
      </c>
      <c r="CP74" s="373">
        <f>10-10+120</f>
        <v>120</v>
      </c>
      <c r="CQ74" s="372" t="s">
        <v>850</v>
      </c>
      <c r="CR74" s="373">
        <f>500-500</f>
        <v>0</v>
      </c>
      <c r="CS74" s="372" t="s">
        <v>850</v>
      </c>
      <c r="CT74" s="372" t="s">
        <v>850</v>
      </c>
      <c r="CU74" s="373">
        <f>916-916</f>
        <v>0</v>
      </c>
      <c r="CV74" s="372"/>
      <c r="CW74" s="373">
        <f>240-240+30</f>
        <v>30</v>
      </c>
      <c r="CX74" s="373">
        <f>530-530+20</f>
        <v>20</v>
      </c>
      <c r="CY74" s="373">
        <f>415-415</f>
        <v>0</v>
      </c>
      <c r="CZ74" s="373">
        <f>450-450</f>
        <v>0</v>
      </c>
      <c r="DA74" s="373">
        <f>480-480</f>
        <v>0</v>
      </c>
      <c r="DB74" s="372" t="s">
        <v>850</v>
      </c>
      <c r="DC74" s="372" t="s">
        <v>850</v>
      </c>
      <c r="DD74" s="372" t="s">
        <v>850</v>
      </c>
      <c r="DE74" s="373">
        <f>390-390</f>
        <v>0</v>
      </c>
      <c r="DF74" s="372" t="s">
        <v>850</v>
      </c>
      <c r="DG74" s="372"/>
      <c r="DH74" s="372"/>
      <c r="DI74" s="372" t="s">
        <v>850</v>
      </c>
      <c r="DJ74" s="372" t="s">
        <v>850</v>
      </c>
      <c r="DK74" s="373">
        <f>100-100+10</f>
        <v>10</v>
      </c>
      <c r="DL74" s="372" t="s">
        <v>850</v>
      </c>
      <c r="DM74" s="372" t="s">
        <v>850</v>
      </c>
      <c r="DN74" s="372" t="s">
        <v>850</v>
      </c>
      <c r="DO74" s="373">
        <f>220-220</f>
        <v>0</v>
      </c>
      <c r="DP74" s="372" t="s">
        <v>850</v>
      </c>
      <c r="DQ74" s="373">
        <f>430-430</f>
        <v>0</v>
      </c>
      <c r="DR74" s="373">
        <f>164-164</f>
        <v>0</v>
      </c>
      <c r="DS74" s="372"/>
      <c r="DT74" s="373">
        <f>600-600</f>
        <v>0</v>
      </c>
      <c r="DU74" s="373">
        <f>480-480</f>
        <v>0</v>
      </c>
      <c r="DV74" s="373">
        <f>360-360</f>
        <v>0</v>
      </c>
      <c r="DW74" s="373">
        <f>380-380</f>
        <v>0</v>
      </c>
      <c r="DX74" s="373">
        <f>490-490</f>
        <v>0</v>
      </c>
      <c r="DY74" s="372" t="s">
        <v>850</v>
      </c>
      <c r="DZ74" s="373">
        <f>430-430+60</f>
        <v>60</v>
      </c>
      <c r="EB74" s="373">
        <f>480-480</f>
        <v>0</v>
      </c>
      <c r="ED74" s="373">
        <f>320-320</f>
        <v>0</v>
      </c>
      <c r="EE74" s="372" t="s">
        <v>850</v>
      </c>
      <c r="EF74" s="373">
        <f>500-500</f>
        <v>0</v>
      </c>
      <c r="EG74" s="373">
        <f>500-500</f>
        <v>0</v>
      </c>
      <c r="EH74" s="372"/>
      <c r="EI74" s="373">
        <f>390-390</f>
        <v>0</v>
      </c>
      <c r="EJ74" s="372" t="s">
        <v>850</v>
      </c>
      <c r="EK74" s="373">
        <f>390-390+40</f>
        <v>40</v>
      </c>
      <c r="EL74" s="373">
        <f>300-300</f>
        <v>0</v>
      </c>
      <c r="EM74" s="373">
        <f>460-460</f>
        <v>0</v>
      </c>
      <c r="EN74" s="373">
        <f>500-500</f>
        <v>0</v>
      </c>
      <c r="EO74" s="373">
        <f>500-500</f>
        <v>0</v>
      </c>
      <c r="EP74" s="373">
        <f>450-450</f>
        <v>0</v>
      </c>
      <c r="EQ74" s="373">
        <f>180-180</f>
        <v>0</v>
      </c>
      <c r="ER74" s="373">
        <f>100-100</f>
        <v>0</v>
      </c>
      <c r="ES74" s="373">
        <f>340-340</f>
        <v>0</v>
      </c>
      <c r="ET74" s="372" t="s">
        <v>850</v>
      </c>
      <c r="EU74" s="373">
        <f>400-400</f>
        <v>0</v>
      </c>
      <c r="EV74" s="373">
        <f>300-300+100</f>
        <v>100</v>
      </c>
      <c r="EW74" s="373">
        <f>375-375</f>
        <v>0</v>
      </c>
      <c r="EX74" s="373">
        <f>400-400</f>
        <v>0</v>
      </c>
      <c r="EY74" s="373">
        <f>185-185</f>
        <v>0</v>
      </c>
      <c r="EZ74" s="372" t="s">
        <v>850</v>
      </c>
      <c r="FA74" s="372" t="s">
        <v>850</v>
      </c>
      <c r="FB74" s="373">
        <f>483-483</f>
        <v>0</v>
      </c>
      <c r="FC74" s="372" t="s">
        <v>850</v>
      </c>
      <c r="FD74" s="372" t="s">
        <v>850</v>
      </c>
      <c r="FE74" s="373">
        <f>1000-1000</f>
        <v>0</v>
      </c>
      <c r="FF74" s="373">
        <f>400-400</f>
        <v>0</v>
      </c>
      <c r="FG74" s="372" t="s">
        <v>850</v>
      </c>
      <c r="FH74" s="372" t="s">
        <v>850</v>
      </c>
      <c r="FI74" s="372" t="s">
        <v>850</v>
      </c>
      <c r="FJ74" s="372" t="s">
        <v>850</v>
      </c>
      <c r="FK74" s="372" t="s">
        <v>850</v>
      </c>
      <c r="FL74" s="372" t="s">
        <v>850</v>
      </c>
      <c r="FM74" s="372" t="s">
        <v>850</v>
      </c>
      <c r="FN74" s="372" t="s">
        <v>850</v>
      </c>
      <c r="FO74" s="375" t="s">
        <v>850</v>
      </c>
      <c r="FP74" s="376" t="s">
        <v>1120</v>
      </c>
      <c r="FQ74" s="377" t="s">
        <v>522</v>
      </c>
      <c r="FR74" s="377" t="s">
        <v>850</v>
      </c>
      <c r="FS74" s="377" t="s">
        <v>915</v>
      </c>
      <c r="FT74" s="144">
        <f t="shared" si="2"/>
        <v>1149</v>
      </c>
      <c r="FU74" s="371" t="s">
        <v>911</v>
      </c>
    </row>
    <row r="75" spans="1:177" s="371" customFormat="1" ht="10.5">
      <c r="A75" s="368" t="s">
        <v>526</v>
      </c>
      <c r="B75" s="369" t="s">
        <v>517</v>
      </c>
      <c r="C75" s="369" t="s">
        <v>555</v>
      </c>
      <c r="D75" s="369" t="s">
        <v>3</v>
      </c>
      <c r="E75" s="370" t="s">
        <v>602</v>
      </c>
      <c r="F75" s="369" t="s">
        <v>520</v>
      </c>
      <c r="G75" s="369"/>
      <c r="H75" s="372"/>
      <c r="I75" s="372"/>
      <c r="J75" s="372"/>
      <c r="K75" s="372"/>
      <c r="L75" s="372"/>
      <c r="M75" s="372"/>
      <c r="N75" s="372"/>
      <c r="O75" s="372"/>
      <c r="P75" s="372"/>
      <c r="Q75" s="372"/>
      <c r="R75" s="372"/>
      <c r="S75" s="372"/>
      <c r="T75" s="372"/>
      <c r="U75" s="372"/>
      <c r="V75" s="372"/>
      <c r="W75" s="372"/>
      <c r="X75" s="372"/>
      <c r="Y75" s="372"/>
      <c r="Z75" s="372"/>
      <c r="AA75" s="372"/>
      <c r="AB75" s="372"/>
      <c r="AC75" s="372"/>
      <c r="AD75" s="372"/>
      <c r="AE75" s="372"/>
      <c r="AF75" s="372"/>
      <c r="AG75" s="372"/>
      <c r="AH75" s="372"/>
      <c r="AI75" s="372"/>
      <c r="AJ75" s="372"/>
      <c r="AK75" s="372"/>
      <c r="AL75" s="372"/>
      <c r="AM75" s="372"/>
      <c r="AN75" s="372"/>
      <c r="AO75" s="372"/>
      <c r="AP75" s="372"/>
      <c r="AQ75" s="372"/>
      <c r="AR75" s="372"/>
      <c r="AS75" s="372"/>
      <c r="AT75" s="372"/>
      <c r="AU75" s="372"/>
      <c r="AV75" s="372"/>
      <c r="AW75" s="372"/>
      <c r="AX75" s="372"/>
      <c r="AY75" s="372"/>
      <c r="AZ75" s="372"/>
      <c r="BA75" s="372"/>
      <c r="BB75" s="372"/>
      <c r="BC75" s="372"/>
      <c r="BD75" s="372"/>
      <c r="BE75" s="372"/>
      <c r="BF75" s="372"/>
      <c r="BG75" s="372"/>
      <c r="BH75" s="372"/>
      <c r="BI75" s="372"/>
      <c r="BJ75" s="372"/>
      <c r="BK75" s="372"/>
      <c r="BL75" s="372"/>
      <c r="BM75" s="372"/>
      <c r="BN75" s="372"/>
      <c r="BO75" s="372"/>
      <c r="BP75" s="372"/>
      <c r="BQ75" s="372"/>
      <c r="BR75" s="372"/>
      <c r="BS75" s="372"/>
      <c r="BT75" s="443">
        <v>20</v>
      </c>
      <c r="BU75" s="372"/>
      <c r="BV75" s="372"/>
      <c r="BW75" s="372"/>
      <c r="BX75" s="372"/>
      <c r="BY75" s="372"/>
      <c r="BZ75" s="372"/>
      <c r="CA75" s="372"/>
      <c r="CB75" s="372"/>
      <c r="CC75" s="372"/>
      <c r="CD75" s="372"/>
      <c r="CE75" s="372"/>
      <c r="CG75" s="372"/>
      <c r="CH75" s="372"/>
      <c r="CI75" s="372"/>
      <c r="CJ75" s="372"/>
      <c r="CK75" s="372"/>
      <c r="CL75" s="372"/>
      <c r="CM75" s="372"/>
      <c r="CN75" s="372"/>
      <c r="CO75" s="372"/>
      <c r="CP75" s="372"/>
      <c r="CQ75" s="372"/>
      <c r="CR75" s="372"/>
      <c r="CS75" s="372"/>
      <c r="CT75" s="372"/>
      <c r="CU75" s="372"/>
      <c r="CV75" s="372"/>
      <c r="CW75" s="372"/>
      <c r="CX75" s="372"/>
      <c r="CY75" s="372"/>
      <c r="CZ75" s="372"/>
      <c r="DA75" s="372"/>
      <c r="DB75" s="372"/>
      <c r="DC75" s="372"/>
      <c r="DD75" s="372"/>
      <c r="DE75" s="372"/>
      <c r="DF75" s="372"/>
      <c r="DG75" s="372"/>
      <c r="DH75" s="372"/>
      <c r="DI75" s="372"/>
      <c r="DJ75" s="372"/>
      <c r="DK75" s="372"/>
      <c r="DL75" s="372"/>
      <c r="DM75" s="372"/>
      <c r="DN75" s="372"/>
      <c r="DO75" s="372"/>
      <c r="DP75" s="372"/>
      <c r="DQ75" s="372"/>
      <c r="DR75" s="372"/>
      <c r="DS75" s="372"/>
      <c r="DT75" s="372"/>
      <c r="DU75" s="372"/>
      <c r="DV75" s="372"/>
      <c r="DW75" s="372"/>
      <c r="DX75" s="372"/>
      <c r="DY75" s="372"/>
      <c r="DZ75" s="372"/>
      <c r="EB75" s="372"/>
      <c r="ED75" s="372"/>
      <c r="EE75" s="372"/>
      <c r="EF75" s="372"/>
      <c r="EG75" s="372"/>
      <c r="EH75" s="372"/>
      <c r="EI75" s="372"/>
      <c r="EJ75" s="372"/>
      <c r="EK75" s="372"/>
      <c r="EL75" s="372"/>
      <c r="EM75" s="372"/>
      <c r="EN75" s="372"/>
      <c r="EO75" s="372"/>
      <c r="EP75" s="372"/>
      <c r="EQ75" s="372"/>
      <c r="ER75" s="372"/>
      <c r="ES75" s="372"/>
      <c r="ET75" s="372"/>
      <c r="EU75" s="372"/>
      <c r="EV75" s="372"/>
      <c r="EW75" s="372"/>
      <c r="EX75" s="372"/>
      <c r="EY75" s="372"/>
      <c r="EZ75" s="372"/>
      <c r="FA75" s="372"/>
      <c r="FB75" s="372"/>
      <c r="FC75" s="372"/>
      <c r="FD75" s="372"/>
      <c r="FE75" s="372"/>
      <c r="FF75" s="372"/>
      <c r="FG75" s="372"/>
      <c r="FH75" s="372"/>
      <c r="FI75" s="372"/>
      <c r="FJ75" s="372"/>
      <c r="FK75" s="372"/>
      <c r="FL75" s="372"/>
      <c r="FM75" s="372"/>
      <c r="FN75" s="372"/>
      <c r="FO75" s="375" t="s">
        <v>850</v>
      </c>
      <c r="FP75" s="376" t="s">
        <v>1120</v>
      </c>
      <c r="FQ75" s="377" t="s">
        <v>522</v>
      </c>
      <c r="FR75" s="377" t="s">
        <v>850</v>
      </c>
      <c r="FS75" s="377" t="s">
        <v>915</v>
      </c>
      <c r="FT75" s="144">
        <f t="shared" si="2"/>
        <v>20</v>
      </c>
      <c r="FU75" s="371" t="s">
        <v>911</v>
      </c>
    </row>
    <row r="76" spans="1:177" s="371" customFormat="1" hidden="1">
      <c r="A76" s="368" t="s">
        <v>540</v>
      </c>
      <c r="B76" s="369" t="s">
        <v>517</v>
      </c>
      <c r="C76" s="369" t="s">
        <v>555</v>
      </c>
      <c r="D76" s="369" t="s">
        <v>8</v>
      </c>
      <c r="E76" s="370" t="s">
        <v>825</v>
      </c>
      <c r="F76" s="369" t="s">
        <v>520</v>
      </c>
      <c r="G76" s="369" t="s">
        <v>1137</v>
      </c>
      <c r="BS76" s="372"/>
      <c r="DH76" s="372"/>
      <c r="DS76" s="372"/>
      <c r="EH76" s="372" t="s">
        <v>850</v>
      </c>
      <c r="FO76" s="375" t="s">
        <v>850</v>
      </c>
      <c r="FP76" s="376" t="s">
        <v>1120</v>
      </c>
      <c r="FQ76" s="377" t="s">
        <v>522</v>
      </c>
      <c r="FR76" s="377" t="s">
        <v>850</v>
      </c>
      <c r="FS76" s="377" t="s">
        <v>828</v>
      </c>
      <c r="FT76" s="144">
        <f t="shared" si="2"/>
        <v>0</v>
      </c>
      <c r="FU76" s="371" t="s">
        <v>905</v>
      </c>
    </row>
    <row r="77" spans="1:177" s="371" customFormat="1" hidden="1">
      <c r="A77" s="368" t="s">
        <v>540</v>
      </c>
      <c r="B77" s="369" t="s">
        <v>517</v>
      </c>
      <c r="C77" s="369" t="s">
        <v>555</v>
      </c>
      <c r="D77" s="369" t="s">
        <v>4</v>
      </c>
      <c r="E77" s="370" t="s">
        <v>825</v>
      </c>
      <c r="F77" s="369" t="s">
        <v>520</v>
      </c>
      <c r="G77" s="369" t="s">
        <v>1137</v>
      </c>
      <c r="H77" s="372" t="s">
        <v>850</v>
      </c>
      <c r="I77" s="372" t="s">
        <v>850</v>
      </c>
      <c r="J77" s="372" t="s">
        <v>850</v>
      </c>
      <c r="K77" s="372" t="s">
        <v>850</v>
      </c>
      <c r="L77" s="372" t="s">
        <v>850</v>
      </c>
      <c r="M77" s="372" t="s">
        <v>850</v>
      </c>
      <c r="N77" s="372" t="s">
        <v>850</v>
      </c>
      <c r="O77" s="372" t="s">
        <v>850</v>
      </c>
      <c r="P77" s="372" t="s">
        <v>850</v>
      </c>
      <c r="Q77" s="372" t="s">
        <v>850</v>
      </c>
      <c r="R77" s="372" t="s">
        <v>850</v>
      </c>
      <c r="S77" s="372" t="s">
        <v>850</v>
      </c>
      <c r="T77" s="372" t="s">
        <v>850</v>
      </c>
      <c r="U77" s="372" t="s">
        <v>850</v>
      </c>
      <c r="V77" s="372" t="s">
        <v>850</v>
      </c>
      <c r="W77" s="372" t="s">
        <v>850</v>
      </c>
      <c r="X77" s="372" t="s">
        <v>850</v>
      </c>
      <c r="Y77" s="372" t="s">
        <v>850</v>
      </c>
      <c r="Z77" s="372" t="s">
        <v>850</v>
      </c>
      <c r="AA77" s="372" t="s">
        <v>850</v>
      </c>
      <c r="AB77" s="372" t="s">
        <v>850</v>
      </c>
      <c r="AC77" s="372" t="s">
        <v>850</v>
      </c>
      <c r="AD77" s="372" t="s">
        <v>850</v>
      </c>
      <c r="AE77" s="372" t="s">
        <v>850</v>
      </c>
      <c r="AF77" s="372" t="s">
        <v>850</v>
      </c>
      <c r="AG77" s="372" t="s">
        <v>850</v>
      </c>
      <c r="AH77" s="372" t="s">
        <v>850</v>
      </c>
      <c r="AI77" s="372" t="s">
        <v>850</v>
      </c>
      <c r="AJ77" s="372" t="s">
        <v>850</v>
      </c>
      <c r="AK77" s="372" t="s">
        <v>850</v>
      </c>
      <c r="AL77" s="372" t="s">
        <v>850</v>
      </c>
      <c r="AM77" s="372" t="s">
        <v>850</v>
      </c>
      <c r="AN77" s="372" t="s">
        <v>850</v>
      </c>
      <c r="AO77" s="372" t="s">
        <v>850</v>
      </c>
      <c r="AP77" s="372" t="s">
        <v>850</v>
      </c>
      <c r="AQ77" s="372" t="s">
        <v>850</v>
      </c>
      <c r="AR77" s="372" t="s">
        <v>850</v>
      </c>
      <c r="AS77" s="372" t="s">
        <v>850</v>
      </c>
      <c r="AT77" s="372" t="s">
        <v>850</v>
      </c>
      <c r="AU77" s="372" t="s">
        <v>850</v>
      </c>
      <c r="AV77" s="372" t="s">
        <v>850</v>
      </c>
      <c r="AW77" s="372" t="s">
        <v>850</v>
      </c>
      <c r="AX77" s="372" t="s">
        <v>850</v>
      </c>
      <c r="AY77" s="372" t="s">
        <v>850</v>
      </c>
      <c r="AZ77" s="372" t="s">
        <v>850</v>
      </c>
      <c r="BA77" s="372" t="s">
        <v>850</v>
      </c>
      <c r="BB77" s="372" t="s">
        <v>850</v>
      </c>
      <c r="BC77" s="372" t="s">
        <v>850</v>
      </c>
      <c r="BD77" s="372" t="s">
        <v>850</v>
      </c>
      <c r="BE77" s="372" t="s">
        <v>850</v>
      </c>
      <c r="BF77" s="372" t="s">
        <v>850</v>
      </c>
      <c r="BG77" s="372" t="s">
        <v>850</v>
      </c>
      <c r="BH77" s="372" t="s">
        <v>850</v>
      </c>
      <c r="BI77" s="372" t="s">
        <v>850</v>
      </c>
      <c r="BJ77" s="372" t="s">
        <v>850</v>
      </c>
      <c r="BK77" s="372" t="s">
        <v>850</v>
      </c>
      <c r="BL77" s="372" t="s">
        <v>850</v>
      </c>
      <c r="BM77" s="372" t="s">
        <v>850</v>
      </c>
      <c r="BN77" s="372" t="s">
        <v>850</v>
      </c>
      <c r="BO77" s="372" t="s">
        <v>850</v>
      </c>
      <c r="BP77" s="372" t="s">
        <v>850</v>
      </c>
      <c r="BQ77" s="372" t="s">
        <v>850</v>
      </c>
      <c r="BR77" s="372" t="s">
        <v>850</v>
      </c>
      <c r="BS77" s="372"/>
      <c r="BT77" s="372" t="s">
        <v>850</v>
      </c>
      <c r="BU77" s="372" t="s">
        <v>850</v>
      </c>
      <c r="BV77" s="372" t="s">
        <v>850</v>
      </c>
      <c r="BW77" s="372" t="s">
        <v>850</v>
      </c>
      <c r="BX77" s="372" t="s">
        <v>850</v>
      </c>
      <c r="BY77" s="372" t="s">
        <v>850</v>
      </c>
      <c r="BZ77" s="372" t="s">
        <v>850</v>
      </c>
      <c r="CA77" s="373">
        <f>50-50</f>
        <v>0</v>
      </c>
      <c r="CB77" s="372" t="s">
        <v>850</v>
      </c>
      <c r="CC77" s="372" t="s">
        <v>850</v>
      </c>
      <c r="CD77" s="372" t="s">
        <v>850</v>
      </c>
      <c r="CE77" s="372" t="s">
        <v>850</v>
      </c>
      <c r="CG77" s="372" t="s">
        <v>850</v>
      </c>
      <c r="CH77" s="372" t="s">
        <v>850</v>
      </c>
      <c r="CI77" s="372" t="s">
        <v>850</v>
      </c>
      <c r="CJ77" s="372" t="s">
        <v>850</v>
      </c>
      <c r="CK77" s="372" t="s">
        <v>850</v>
      </c>
      <c r="CL77" s="372" t="s">
        <v>850</v>
      </c>
      <c r="CM77" s="372" t="s">
        <v>850</v>
      </c>
      <c r="CN77" s="372" t="s">
        <v>850</v>
      </c>
      <c r="CO77" s="372" t="s">
        <v>850</v>
      </c>
      <c r="CP77" s="372" t="s">
        <v>850</v>
      </c>
      <c r="CQ77" s="372" t="s">
        <v>850</v>
      </c>
      <c r="CR77" s="372" t="s">
        <v>850</v>
      </c>
      <c r="CS77" s="372" t="s">
        <v>850</v>
      </c>
      <c r="CT77" s="372" t="s">
        <v>850</v>
      </c>
      <c r="CU77" s="372" t="s">
        <v>850</v>
      </c>
      <c r="CV77" s="372" t="s">
        <v>850</v>
      </c>
      <c r="CW77" s="372" t="s">
        <v>850</v>
      </c>
      <c r="CX77" s="372" t="s">
        <v>850</v>
      </c>
      <c r="CY77" s="372" t="s">
        <v>850</v>
      </c>
      <c r="CZ77" s="372" t="s">
        <v>850</v>
      </c>
      <c r="DA77" s="372" t="s">
        <v>850</v>
      </c>
      <c r="DB77" s="372" t="s">
        <v>850</v>
      </c>
      <c r="DC77" s="372" t="s">
        <v>850</v>
      </c>
      <c r="DD77" s="372" t="s">
        <v>850</v>
      </c>
      <c r="DE77" s="372" t="s">
        <v>850</v>
      </c>
      <c r="DF77" s="372" t="s">
        <v>850</v>
      </c>
      <c r="DG77" s="372" t="s">
        <v>850</v>
      </c>
      <c r="DH77" s="372"/>
      <c r="DI77" s="372" t="s">
        <v>850</v>
      </c>
      <c r="DJ77" s="372" t="s">
        <v>850</v>
      </c>
      <c r="DK77" s="372" t="s">
        <v>850</v>
      </c>
      <c r="DL77" s="372" t="s">
        <v>850</v>
      </c>
      <c r="DM77" s="372" t="s">
        <v>850</v>
      </c>
      <c r="DN77" s="372" t="s">
        <v>850</v>
      </c>
      <c r="DO77" s="372" t="s">
        <v>850</v>
      </c>
      <c r="DP77" s="372" t="s">
        <v>850</v>
      </c>
      <c r="DQ77" s="372" t="s">
        <v>850</v>
      </c>
      <c r="DR77" s="372" t="s">
        <v>850</v>
      </c>
      <c r="DS77" s="372"/>
      <c r="DT77" s="372" t="s">
        <v>850</v>
      </c>
      <c r="DU77" s="372" t="s">
        <v>850</v>
      </c>
      <c r="DV77" s="372" t="s">
        <v>850</v>
      </c>
      <c r="DW77" s="372" t="s">
        <v>850</v>
      </c>
      <c r="DX77" s="372" t="s">
        <v>850</v>
      </c>
      <c r="DY77" s="372" t="s">
        <v>850</v>
      </c>
      <c r="DZ77" s="372" t="s">
        <v>850</v>
      </c>
      <c r="EB77" s="372" t="s">
        <v>850</v>
      </c>
      <c r="ED77" s="372" t="s">
        <v>850</v>
      </c>
      <c r="EE77" s="372" t="s">
        <v>850</v>
      </c>
      <c r="EF77" s="372" t="s">
        <v>850</v>
      </c>
      <c r="EG77" s="372" t="s">
        <v>850</v>
      </c>
      <c r="EH77" s="372" t="s">
        <v>850</v>
      </c>
      <c r="EI77" s="372" t="s">
        <v>850</v>
      </c>
      <c r="EJ77" s="372" t="s">
        <v>850</v>
      </c>
      <c r="EK77" s="372" t="s">
        <v>850</v>
      </c>
      <c r="EL77" s="372" t="s">
        <v>850</v>
      </c>
      <c r="EM77" s="372" t="s">
        <v>850</v>
      </c>
      <c r="EN77" s="372" t="s">
        <v>850</v>
      </c>
      <c r="EO77" s="372" t="s">
        <v>850</v>
      </c>
      <c r="EP77" s="372" t="s">
        <v>850</v>
      </c>
      <c r="EQ77" s="372" t="s">
        <v>850</v>
      </c>
      <c r="ER77" s="372" t="s">
        <v>850</v>
      </c>
      <c r="ES77" s="372" t="s">
        <v>850</v>
      </c>
      <c r="ET77" s="372" t="s">
        <v>850</v>
      </c>
      <c r="EU77" s="372" t="s">
        <v>850</v>
      </c>
      <c r="EV77" s="372" t="s">
        <v>850</v>
      </c>
      <c r="EW77" s="372" t="s">
        <v>850</v>
      </c>
      <c r="EX77" s="372" t="s">
        <v>850</v>
      </c>
      <c r="EY77" s="372" t="s">
        <v>850</v>
      </c>
      <c r="EZ77" s="372" t="s">
        <v>850</v>
      </c>
      <c r="FA77" s="372" t="s">
        <v>850</v>
      </c>
      <c r="FB77" s="372" t="s">
        <v>850</v>
      </c>
      <c r="FC77" s="372" t="s">
        <v>850</v>
      </c>
      <c r="FD77" s="372" t="s">
        <v>850</v>
      </c>
      <c r="FE77" s="372" t="s">
        <v>850</v>
      </c>
      <c r="FF77" s="372" t="s">
        <v>850</v>
      </c>
      <c r="FG77" s="372" t="s">
        <v>850</v>
      </c>
      <c r="FH77" s="372" t="s">
        <v>850</v>
      </c>
      <c r="FI77" s="372" t="s">
        <v>850</v>
      </c>
      <c r="FJ77" s="372" t="s">
        <v>850</v>
      </c>
      <c r="FK77" s="372" t="s">
        <v>850</v>
      </c>
      <c r="FL77" s="372" t="s">
        <v>850</v>
      </c>
      <c r="FM77" s="372" t="s">
        <v>850</v>
      </c>
      <c r="FN77" s="372" t="s">
        <v>850</v>
      </c>
      <c r="FO77" s="375" t="s">
        <v>850</v>
      </c>
      <c r="FP77" s="376" t="s">
        <v>1120</v>
      </c>
      <c r="FQ77" s="377" t="s">
        <v>522</v>
      </c>
      <c r="FR77" s="377" t="s">
        <v>850</v>
      </c>
      <c r="FS77" s="377" t="s">
        <v>828</v>
      </c>
      <c r="FT77" s="144">
        <f t="shared" si="2"/>
        <v>0</v>
      </c>
      <c r="FU77" s="371" t="s">
        <v>905</v>
      </c>
    </row>
    <row r="78" spans="1:177" s="371" customFormat="1" hidden="1">
      <c r="A78" s="368" t="s">
        <v>540</v>
      </c>
      <c r="B78" s="369" t="s">
        <v>517</v>
      </c>
      <c r="C78" s="369" t="s">
        <v>555</v>
      </c>
      <c r="D78" s="369" t="s">
        <v>3</v>
      </c>
      <c r="E78" s="370" t="s">
        <v>825</v>
      </c>
      <c r="F78" s="369" t="s">
        <v>520</v>
      </c>
      <c r="G78" s="369"/>
      <c r="H78" s="372"/>
      <c r="I78" s="372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2"/>
      <c r="AK78" s="372"/>
      <c r="AL78" s="372"/>
      <c r="AM78" s="372"/>
      <c r="AN78" s="372"/>
      <c r="AO78" s="372"/>
      <c r="AP78" s="372"/>
      <c r="AQ78" s="372"/>
      <c r="AR78" s="372"/>
      <c r="AS78" s="372"/>
      <c r="AT78" s="372"/>
      <c r="AU78" s="372"/>
      <c r="AV78" s="372"/>
      <c r="AW78" s="372"/>
      <c r="AX78" s="372"/>
      <c r="AY78" s="372"/>
      <c r="AZ78" s="372"/>
      <c r="BA78" s="372"/>
      <c r="BB78" s="372"/>
      <c r="BC78" s="372"/>
      <c r="BD78" s="372"/>
      <c r="BE78" s="372"/>
      <c r="BF78" s="372"/>
      <c r="BG78" s="372"/>
      <c r="BH78" s="372"/>
      <c r="BI78" s="372"/>
      <c r="BJ78" s="372"/>
      <c r="BK78" s="372"/>
      <c r="BL78" s="372"/>
      <c r="BM78" s="372"/>
      <c r="BN78" s="372"/>
      <c r="BO78" s="372"/>
      <c r="BP78" s="372"/>
      <c r="BQ78" s="372"/>
      <c r="BR78" s="372"/>
      <c r="BS78" s="372"/>
      <c r="BT78" s="372"/>
      <c r="BU78" s="372"/>
      <c r="BV78" s="372"/>
      <c r="BW78" s="372"/>
      <c r="BX78" s="372"/>
      <c r="BY78" s="372"/>
      <c r="BZ78" s="372"/>
      <c r="CA78" s="372"/>
      <c r="CB78" s="372"/>
      <c r="CC78" s="372"/>
      <c r="CD78" s="372"/>
      <c r="CE78" s="372"/>
      <c r="CG78" s="372"/>
      <c r="CH78" s="372"/>
      <c r="CI78" s="372"/>
      <c r="CJ78" s="372"/>
      <c r="CK78" s="372"/>
      <c r="CL78" s="372"/>
      <c r="CM78" s="372"/>
      <c r="CN78" s="372"/>
      <c r="CO78" s="372"/>
      <c r="CP78" s="372"/>
      <c r="CQ78" s="372"/>
      <c r="CR78" s="372"/>
      <c r="CS78" s="372"/>
      <c r="CT78" s="372"/>
      <c r="CU78" s="372"/>
      <c r="CV78" s="372"/>
      <c r="CW78" s="372"/>
      <c r="CX78" s="372"/>
      <c r="CY78" s="372"/>
      <c r="CZ78" s="372"/>
      <c r="DA78" s="372"/>
      <c r="DB78" s="372"/>
      <c r="DC78" s="372"/>
      <c r="DD78" s="372"/>
      <c r="DE78" s="372"/>
      <c r="DF78" s="372"/>
      <c r="DG78" s="372"/>
      <c r="DH78" s="372"/>
      <c r="DI78" s="372"/>
      <c r="DJ78" s="372"/>
      <c r="DK78" s="372"/>
      <c r="DL78" s="372"/>
      <c r="DM78" s="372"/>
      <c r="DN78" s="372"/>
      <c r="DO78" s="372"/>
      <c r="DP78" s="372"/>
      <c r="DQ78" s="372"/>
      <c r="DR78" s="372"/>
      <c r="DS78" s="372"/>
      <c r="DT78" s="372"/>
      <c r="DU78" s="372"/>
      <c r="DV78" s="372"/>
      <c r="DW78" s="372"/>
      <c r="DX78" s="372"/>
      <c r="DY78" s="372"/>
      <c r="DZ78" s="372"/>
      <c r="EB78" s="372"/>
      <c r="ED78" s="372"/>
      <c r="EE78" s="372"/>
      <c r="EF78" s="372"/>
      <c r="EG78" s="372"/>
      <c r="EH78" s="372" t="s">
        <v>850</v>
      </c>
      <c r="EI78" s="372"/>
      <c r="EJ78" s="372"/>
      <c r="EK78" s="372"/>
      <c r="EL78" s="372"/>
      <c r="EM78" s="372"/>
      <c r="EN78" s="372"/>
      <c r="EO78" s="372"/>
      <c r="EP78" s="372"/>
      <c r="EQ78" s="372"/>
      <c r="ER78" s="372"/>
      <c r="ES78" s="372"/>
      <c r="ET78" s="372"/>
      <c r="EU78" s="372"/>
      <c r="EV78" s="372"/>
      <c r="EW78" s="372"/>
      <c r="EX78" s="372"/>
      <c r="EY78" s="372"/>
      <c r="EZ78" s="372"/>
      <c r="FA78" s="372"/>
      <c r="FB78" s="372"/>
      <c r="FC78" s="372"/>
      <c r="FD78" s="372"/>
      <c r="FE78" s="372"/>
      <c r="FF78" s="372"/>
      <c r="FG78" s="372"/>
      <c r="FH78" s="372"/>
      <c r="FI78" s="372"/>
      <c r="FJ78" s="372"/>
      <c r="FK78" s="372"/>
      <c r="FL78" s="372"/>
      <c r="FM78" s="372"/>
      <c r="FN78" s="372"/>
      <c r="FO78" s="375" t="s">
        <v>850</v>
      </c>
      <c r="FP78" s="376" t="s">
        <v>1120</v>
      </c>
      <c r="FQ78" s="377" t="s">
        <v>522</v>
      </c>
      <c r="FR78" s="377" t="s">
        <v>850</v>
      </c>
      <c r="FS78" s="377" t="s">
        <v>828</v>
      </c>
      <c r="FT78" s="144">
        <f t="shared" si="2"/>
        <v>0</v>
      </c>
      <c r="FU78" s="371" t="s">
        <v>905</v>
      </c>
    </row>
    <row r="79" spans="1:177" s="371" customFormat="1" hidden="1">
      <c r="A79" s="368" t="s">
        <v>526</v>
      </c>
      <c r="B79" s="369" t="s">
        <v>517</v>
      </c>
      <c r="C79" s="369" t="s">
        <v>555</v>
      </c>
      <c r="D79" s="369" t="s">
        <v>8</v>
      </c>
      <c r="E79" s="370" t="s">
        <v>604</v>
      </c>
      <c r="F79" s="369" t="s">
        <v>520</v>
      </c>
      <c r="G79" s="369" t="s">
        <v>1138</v>
      </c>
      <c r="BS79" s="372"/>
      <c r="DH79" s="372"/>
      <c r="DS79" s="372"/>
      <c r="EH79" s="372" t="s">
        <v>850</v>
      </c>
      <c r="FO79" s="375" t="s">
        <v>850</v>
      </c>
      <c r="FP79" s="376" t="s">
        <v>1120</v>
      </c>
      <c r="FQ79" s="377" t="s">
        <v>522</v>
      </c>
      <c r="FR79" s="377" t="s">
        <v>850</v>
      </c>
      <c r="FS79" s="377" t="s">
        <v>607</v>
      </c>
      <c r="FT79" s="144">
        <f t="shared" si="2"/>
        <v>0</v>
      </c>
      <c r="FU79" s="371" t="s">
        <v>905</v>
      </c>
    </row>
    <row r="80" spans="1:177" s="371" customFormat="1" hidden="1">
      <c r="A80" s="368" t="s">
        <v>526</v>
      </c>
      <c r="B80" s="369" t="s">
        <v>517</v>
      </c>
      <c r="C80" s="369" t="s">
        <v>555</v>
      </c>
      <c r="D80" s="369" t="s">
        <v>4</v>
      </c>
      <c r="E80" s="370" t="s">
        <v>604</v>
      </c>
      <c r="F80" s="369" t="s">
        <v>520</v>
      </c>
      <c r="G80" s="369" t="s">
        <v>1138</v>
      </c>
      <c r="H80" s="372" t="s">
        <v>850</v>
      </c>
      <c r="I80" s="372" t="s">
        <v>850</v>
      </c>
      <c r="J80" s="372" t="s">
        <v>850</v>
      </c>
      <c r="K80" s="372" t="s">
        <v>850</v>
      </c>
      <c r="L80" s="372" t="s">
        <v>850</v>
      </c>
      <c r="M80" s="372" t="s">
        <v>850</v>
      </c>
      <c r="N80" s="372" t="s">
        <v>850</v>
      </c>
      <c r="O80" s="372" t="s">
        <v>850</v>
      </c>
      <c r="P80" s="372" t="s">
        <v>850</v>
      </c>
      <c r="Q80" s="372" t="s">
        <v>850</v>
      </c>
      <c r="R80" s="372" t="s">
        <v>850</v>
      </c>
      <c r="S80" s="372" t="s">
        <v>850</v>
      </c>
      <c r="T80" s="372" t="s">
        <v>850</v>
      </c>
      <c r="U80" s="372" t="s">
        <v>850</v>
      </c>
      <c r="V80" s="372" t="s">
        <v>850</v>
      </c>
      <c r="W80" s="372" t="s">
        <v>850</v>
      </c>
      <c r="X80" s="372" t="s">
        <v>850</v>
      </c>
      <c r="Y80" s="372" t="s">
        <v>850</v>
      </c>
      <c r="Z80" s="372" t="s">
        <v>850</v>
      </c>
      <c r="AA80" s="372" t="s">
        <v>850</v>
      </c>
      <c r="AB80" s="372" t="s">
        <v>850</v>
      </c>
      <c r="AC80" s="372" t="s">
        <v>850</v>
      </c>
      <c r="AD80" s="372" t="s">
        <v>850</v>
      </c>
      <c r="AE80" s="372" t="s">
        <v>850</v>
      </c>
      <c r="AF80" s="372" t="s">
        <v>850</v>
      </c>
      <c r="AG80" s="372" t="s">
        <v>850</v>
      </c>
      <c r="AH80" s="372" t="s">
        <v>850</v>
      </c>
      <c r="AI80" s="372" t="s">
        <v>850</v>
      </c>
      <c r="AJ80" s="372" t="s">
        <v>850</v>
      </c>
      <c r="AK80" s="372" t="s">
        <v>850</v>
      </c>
      <c r="AL80" s="372" t="s">
        <v>850</v>
      </c>
      <c r="AM80" s="372" t="s">
        <v>850</v>
      </c>
      <c r="AN80" s="372" t="s">
        <v>850</v>
      </c>
      <c r="AO80" s="372" t="s">
        <v>850</v>
      </c>
      <c r="AP80" s="372" t="s">
        <v>850</v>
      </c>
      <c r="AQ80" s="372" t="s">
        <v>850</v>
      </c>
      <c r="AR80" s="372" t="s">
        <v>850</v>
      </c>
      <c r="AS80" s="372" t="s">
        <v>850</v>
      </c>
      <c r="AT80" s="372" t="s">
        <v>850</v>
      </c>
      <c r="AU80" s="373">
        <f>10-10</f>
        <v>0</v>
      </c>
      <c r="AV80" s="372" t="s">
        <v>850</v>
      </c>
      <c r="AW80" s="372" t="s">
        <v>850</v>
      </c>
      <c r="AX80" s="372" t="s">
        <v>850</v>
      </c>
      <c r="AY80" s="372" t="s">
        <v>850</v>
      </c>
      <c r="AZ80" s="372" t="s">
        <v>850</v>
      </c>
      <c r="BA80" s="372" t="s">
        <v>850</v>
      </c>
      <c r="BB80" s="372" t="s">
        <v>850</v>
      </c>
      <c r="BC80" s="372" t="s">
        <v>850</v>
      </c>
      <c r="BD80" s="372" t="s">
        <v>850</v>
      </c>
      <c r="BE80" s="372" t="s">
        <v>850</v>
      </c>
      <c r="BF80" s="372" t="s">
        <v>850</v>
      </c>
      <c r="BG80" s="372" t="s">
        <v>850</v>
      </c>
      <c r="BH80" s="372" t="s">
        <v>850</v>
      </c>
      <c r="BI80" s="372" t="s">
        <v>850</v>
      </c>
      <c r="BJ80" s="372" t="s">
        <v>850</v>
      </c>
      <c r="BK80" s="372" t="s">
        <v>850</v>
      </c>
      <c r="BL80" s="372" t="s">
        <v>850</v>
      </c>
      <c r="BM80" s="372" t="s">
        <v>850</v>
      </c>
      <c r="BN80" s="372" t="s">
        <v>850</v>
      </c>
      <c r="BO80" s="372" t="s">
        <v>850</v>
      </c>
      <c r="BP80" s="372" t="s">
        <v>850</v>
      </c>
      <c r="BQ80" s="372" t="s">
        <v>850</v>
      </c>
      <c r="BR80" s="372" t="s">
        <v>850</v>
      </c>
      <c r="BS80" s="372"/>
      <c r="BT80" s="372" t="s">
        <v>850</v>
      </c>
      <c r="BU80" s="373">
        <f>20-20</f>
        <v>0</v>
      </c>
      <c r="BV80" s="373">
        <f>20-20</f>
        <v>0</v>
      </c>
      <c r="BW80" s="373">
        <f>20-20</f>
        <v>0</v>
      </c>
      <c r="BX80" s="372" t="s">
        <v>850</v>
      </c>
      <c r="BY80" s="372" t="s">
        <v>850</v>
      </c>
      <c r="BZ80" s="372" t="s">
        <v>850</v>
      </c>
      <c r="CA80" s="373">
        <f>50-50</f>
        <v>0</v>
      </c>
      <c r="CB80" s="373">
        <f>50-50</f>
        <v>0</v>
      </c>
      <c r="CC80" s="373">
        <f>30-30</f>
        <v>0</v>
      </c>
      <c r="CD80" s="373">
        <f>50-50</f>
        <v>0</v>
      </c>
      <c r="CE80" s="372" t="s">
        <v>850</v>
      </c>
      <c r="CG80" s="373">
        <f>50-50</f>
        <v>0</v>
      </c>
      <c r="CH80" s="373">
        <f>30-30</f>
        <v>0</v>
      </c>
      <c r="CI80" s="373">
        <f>50-50</f>
        <v>0</v>
      </c>
      <c r="CJ80" s="372" t="s">
        <v>850</v>
      </c>
      <c r="CK80" s="372" t="s">
        <v>850</v>
      </c>
      <c r="CL80" s="372" t="s">
        <v>850</v>
      </c>
      <c r="CM80" s="372" t="s">
        <v>850</v>
      </c>
      <c r="CN80" s="373">
        <f>50-50</f>
        <v>0</v>
      </c>
      <c r="CO80" s="373">
        <f>50-50</f>
        <v>0</v>
      </c>
      <c r="CP80" s="373">
        <f>50-50</f>
        <v>0</v>
      </c>
      <c r="CQ80" s="372" t="s">
        <v>850</v>
      </c>
      <c r="CR80" s="372" t="s">
        <v>850</v>
      </c>
      <c r="CS80" s="372" t="s">
        <v>850</v>
      </c>
      <c r="CT80" s="372" t="s">
        <v>850</v>
      </c>
      <c r="CU80" s="372" t="s">
        <v>850</v>
      </c>
      <c r="CV80" s="372" t="s">
        <v>850</v>
      </c>
      <c r="CW80" s="372" t="s">
        <v>850</v>
      </c>
      <c r="CX80" s="373">
        <f>50-50</f>
        <v>0</v>
      </c>
      <c r="CY80" s="373">
        <f>50-50</f>
        <v>0</v>
      </c>
      <c r="CZ80" s="373">
        <f>50-50</f>
        <v>0</v>
      </c>
      <c r="DA80" s="372" t="s">
        <v>850</v>
      </c>
      <c r="DB80" s="372" t="s">
        <v>850</v>
      </c>
      <c r="DC80" s="372" t="s">
        <v>850</v>
      </c>
      <c r="DD80" s="372" t="s">
        <v>850</v>
      </c>
      <c r="DE80" s="372" t="s">
        <v>850</v>
      </c>
      <c r="DF80" s="372" t="s">
        <v>850</v>
      </c>
      <c r="DG80" s="372" t="s">
        <v>850</v>
      </c>
      <c r="DH80" s="372"/>
      <c r="DI80" s="372" t="s">
        <v>850</v>
      </c>
      <c r="DJ80" s="372" t="s">
        <v>850</v>
      </c>
      <c r="DK80" s="372" t="s">
        <v>850</v>
      </c>
      <c r="DL80" s="372" t="s">
        <v>850</v>
      </c>
      <c r="DM80" s="372" t="s">
        <v>850</v>
      </c>
      <c r="DN80" s="372" t="s">
        <v>850</v>
      </c>
      <c r="DO80" s="373">
        <f>100-100</f>
        <v>0</v>
      </c>
      <c r="DP80" s="372" t="s">
        <v>850</v>
      </c>
      <c r="DQ80" s="373">
        <f>100-100</f>
        <v>0</v>
      </c>
      <c r="DR80" s="372" t="s">
        <v>850</v>
      </c>
      <c r="DS80" s="372"/>
      <c r="DT80" s="372" t="s">
        <v>850</v>
      </c>
      <c r="DU80" s="372" t="s">
        <v>850</v>
      </c>
      <c r="DV80" s="373">
        <f>100-100</f>
        <v>0</v>
      </c>
      <c r="DW80" s="372" t="s">
        <v>850</v>
      </c>
      <c r="DX80" s="372" t="s">
        <v>850</v>
      </c>
      <c r="DY80" s="372" t="s">
        <v>850</v>
      </c>
      <c r="DZ80" s="373">
        <f>50-50</f>
        <v>0</v>
      </c>
      <c r="EB80" s="373">
        <f>50-50</f>
        <v>0</v>
      </c>
      <c r="ED80" s="372" t="s">
        <v>850</v>
      </c>
      <c r="EE80" s="372" t="s">
        <v>850</v>
      </c>
      <c r="EF80" s="372" t="s">
        <v>850</v>
      </c>
      <c r="EG80" s="372" t="s">
        <v>850</v>
      </c>
      <c r="EH80" s="372" t="s">
        <v>850</v>
      </c>
      <c r="EI80" s="372" t="s">
        <v>850</v>
      </c>
      <c r="EJ80" s="372" t="s">
        <v>850</v>
      </c>
      <c r="EK80" s="372" t="s">
        <v>850</v>
      </c>
      <c r="EL80" s="372" t="s">
        <v>850</v>
      </c>
      <c r="EM80" s="372" t="s">
        <v>850</v>
      </c>
      <c r="EN80" s="372" t="s">
        <v>850</v>
      </c>
      <c r="EO80" s="372" t="s">
        <v>850</v>
      </c>
      <c r="EP80" s="372" t="s">
        <v>850</v>
      </c>
      <c r="EQ80" s="373">
        <f>50-50</f>
        <v>0</v>
      </c>
      <c r="ER80" s="372" t="s">
        <v>850</v>
      </c>
      <c r="ES80" s="372" t="s">
        <v>850</v>
      </c>
      <c r="ET80" s="372" t="s">
        <v>850</v>
      </c>
      <c r="EU80" s="372" t="s">
        <v>850</v>
      </c>
      <c r="EV80" s="372" t="s">
        <v>850</v>
      </c>
      <c r="EW80" s="372" t="s">
        <v>850</v>
      </c>
      <c r="EX80" s="372" t="s">
        <v>850</v>
      </c>
      <c r="EY80" s="372" t="s">
        <v>850</v>
      </c>
      <c r="EZ80" s="372" t="s">
        <v>850</v>
      </c>
      <c r="FA80" s="372" t="s">
        <v>850</v>
      </c>
      <c r="FB80" s="372" t="s">
        <v>850</v>
      </c>
      <c r="FC80" s="372" t="s">
        <v>850</v>
      </c>
      <c r="FD80" s="372" t="s">
        <v>850</v>
      </c>
      <c r="FE80" s="372" t="s">
        <v>850</v>
      </c>
      <c r="FF80" s="372" t="s">
        <v>850</v>
      </c>
      <c r="FG80" s="372" t="s">
        <v>850</v>
      </c>
      <c r="FH80" s="372" t="s">
        <v>850</v>
      </c>
      <c r="FI80" s="372" t="s">
        <v>850</v>
      </c>
      <c r="FJ80" s="372" t="s">
        <v>850</v>
      </c>
      <c r="FK80" s="372" t="s">
        <v>850</v>
      </c>
      <c r="FL80" s="372" t="s">
        <v>850</v>
      </c>
      <c r="FM80" s="372" t="s">
        <v>850</v>
      </c>
      <c r="FN80" s="372" t="s">
        <v>850</v>
      </c>
      <c r="FO80" s="375" t="s">
        <v>850</v>
      </c>
      <c r="FP80" s="376" t="s">
        <v>1120</v>
      </c>
      <c r="FQ80" s="377" t="s">
        <v>522</v>
      </c>
      <c r="FR80" s="377" t="s">
        <v>850</v>
      </c>
      <c r="FS80" s="377" t="s">
        <v>607</v>
      </c>
      <c r="FT80" s="144">
        <f t="shared" si="2"/>
        <v>0</v>
      </c>
      <c r="FU80" s="371" t="s">
        <v>905</v>
      </c>
    </row>
    <row r="81" spans="1:177" s="371" customFormat="1" hidden="1">
      <c r="A81" s="368" t="s">
        <v>526</v>
      </c>
      <c r="B81" s="369" t="s">
        <v>517</v>
      </c>
      <c r="C81" s="369" t="s">
        <v>555</v>
      </c>
      <c r="D81" s="369" t="s">
        <v>3</v>
      </c>
      <c r="E81" s="370" t="s">
        <v>604</v>
      </c>
      <c r="F81" s="369" t="s">
        <v>520</v>
      </c>
      <c r="G81" s="369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  <c r="AB81" s="372"/>
      <c r="AC81" s="372"/>
      <c r="AD81" s="372"/>
      <c r="AE81" s="372"/>
      <c r="AF81" s="372"/>
      <c r="AG81" s="372"/>
      <c r="AH81" s="372"/>
      <c r="AI81" s="372"/>
      <c r="AJ81" s="372"/>
      <c r="AK81" s="372"/>
      <c r="AL81" s="372"/>
      <c r="AM81" s="372"/>
      <c r="AN81" s="372"/>
      <c r="AO81" s="372"/>
      <c r="AP81" s="372"/>
      <c r="AQ81" s="372"/>
      <c r="AR81" s="372"/>
      <c r="AS81" s="372"/>
      <c r="AT81" s="372"/>
      <c r="AU81" s="372"/>
      <c r="AV81" s="372"/>
      <c r="AW81" s="372"/>
      <c r="AX81" s="372"/>
      <c r="AY81" s="372"/>
      <c r="AZ81" s="372"/>
      <c r="BA81" s="372"/>
      <c r="BB81" s="372"/>
      <c r="BC81" s="372"/>
      <c r="BD81" s="372"/>
      <c r="BE81" s="372"/>
      <c r="BF81" s="372"/>
      <c r="BG81" s="372"/>
      <c r="BH81" s="372"/>
      <c r="BI81" s="372"/>
      <c r="BJ81" s="372"/>
      <c r="BK81" s="372"/>
      <c r="BL81" s="372"/>
      <c r="BM81" s="372"/>
      <c r="BN81" s="372"/>
      <c r="BO81" s="372"/>
      <c r="BP81" s="372"/>
      <c r="BQ81" s="372"/>
      <c r="BR81" s="372"/>
      <c r="BS81" s="372"/>
      <c r="BT81" s="372"/>
      <c r="BU81" s="372"/>
      <c r="BV81" s="372"/>
      <c r="BW81" s="372"/>
      <c r="BX81" s="372"/>
      <c r="BY81" s="372"/>
      <c r="BZ81" s="372"/>
      <c r="CA81" s="372"/>
      <c r="CB81" s="372"/>
      <c r="CC81" s="372"/>
      <c r="CD81" s="372"/>
      <c r="CE81" s="372"/>
      <c r="CG81" s="372"/>
      <c r="CH81" s="372"/>
      <c r="CI81" s="372"/>
      <c r="CJ81" s="372"/>
      <c r="CK81" s="372"/>
      <c r="CL81" s="372"/>
      <c r="CM81" s="372"/>
      <c r="CN81" s="372"/>
      <c r="CO81" s="372"/>
      <c r="CP81" s="372"/>
      <c r="CQ81" s="372"/>
      <c r="CR81" s="372"/>
      <c r="CS81" s="372"/>
      <c r="CT81" s="372"/>
      <c r="CU81" s="372"/>
      <c r="CV81" s="372"/>
      <c r="CW81" s="372"/>
      <c r="CX81" s="372"/>
      <c r="CY81" s="372"/>
      <c r="CZ81" s="372"/>
      <c r="DA81" s="372"/>
      <c r="DB81" s="372"/>
      <c r="DC81" s="372"/>
      <c r="DD81" s="372"/>
      <c r="DE81" s="372"/>
      <c r="DF81" s="372"/>
      <c r="DG81" s="372"/>
      <c r="DH81" s="372"/>
      <c r="DI81" s="372"/>
      <c r="DJ81" s="372"/>
      <c r="DK81" s="372"/>
      <c r="DL81" s="372"/>
      <c r="DM81" s="372"/>
      <c r="DN81" s="372"/>
      <c r="DO81" s="372"/>
      <c r="DP81" s="372"/>
      <c r="DQ81" s="372"/>
      <c r="DR81" s="372"/>
      <c r="DS81" s="372"/>
      <c r="DT81" s="372"/>
      <c r="DU81" s="372"/>
      <c r="DV81" s="372"/>
      <c r="DW81" s="372"/>
      <c r="DX81" s="372"/>
      <c r="DY81" s="372"/>
      <c r="DZ81" s="372"/>
      <c r="EB81" s="372"/>
      <c r="ED81" s="372"/>
      <c r="EE81" s="372"/>
      <c r="EF81" s="372"/>
      <c r="EG81" s="372"/>
      <c r="EH81" s="372" t="s">
        <v>850</v>
      </c>
      <c r="EI81" s="372"/>
      <c r="EJ81" s="372"/>
      <c r="EK81" s="372"/>
      <c r="EL81" s="372"/>
      <c r="EM81" s="372"/>
      <c r="EN81" s="372"/>
      <c r="EO81" s="372"/>
      <c r="EP81" s="372"/>
      <c r="EQ81" s="372"/>
      <c r="ER81" s="372"/>
      <c r="ES81" s="372"/>
      <c r="ET81" s="372"/>
      <c r="EU81" s="372"/>
      <c r="EV81" s="372"/>
      <c r="EW81" s="372"/>
      <c r="EX81" s="372"/>
      <c r="EY81" s="372"/>
      <c r="EZ81" s="372"/>
      <c r="FA81" s="372"/>
      <c r="FB81" s="372"/>
      <c r="FC81" s="372"/>
      <c r="FD81" s="372"/>
      <c r="FE81" s="372"/>
      <c r="FF81" s="372"/>
      <c r="FG81" s="372"/>
      <c r="FH81" s="372"/>
      <c r="FI81" s="372"/>
      <c r="FJ81" s="372"/>
      <c r="FK81" s="372"/>
      <c r="FL81" s="372"/>
      <c r="FM81" s="372"/>
      <c r="FN81" s="372"/>
      <c r="FO81" s="375" t="s">
        <v>850</v>
      </c>
      <c r="FP81" s="376" t="s">
        <v>1120</v>
      </c>
      <c r="FQ81" s="377" t="s">
        <v>522</v>
      </c>
      <c r="FR81" s="377" t="s">
        <v>850</v>
      </c>
      <c r="FS81" s="377" t="s">
        <v>607</v>
      </c>
      <c r="FT81" s="144">
        <f t="shared" si="2"/>
        <v>0</v>
      </c>
      <c r="FU81" s="371" t="s">
        <v>905</v>
      </c>
    </row>
    <row r="82" spans="1:177" s="371" customFormat="1">
      <c r="A82" s="368" t="s">
        <v>526</v>
      </c>
      <c r="B82" s="369" t="s">
        <v>517</v>
      </c>
      <c r="C82" s="369" t="s">
        <v>555</v>
      </c>
      <c r="D82" s="369" t="s">
        <v>8</v>
      </c>
      <c r="E82" s="370" t="s">
        <v>608</v>
      </c>
      <c r="F82" s="369" t="s">
        <v>520</v>
      </c>
      <c r="G82" s="369"/>
      <c r="BS82" s="372"/>
      <c r="CU82" s="418">
        <v>10</v>
      </c>
      <c r="DA82" s="418">
        <v>10</v>
      </c>
      <c r="DG82" s="418">
        <v>200</v>
      </c>
      <c r="DH82" s="372"/>
      <c r="DR82" s="418">
        <v>2</v>
      </c>
      <c r="DS82" s="372"/>
      <c r="EB82" s="416">
        <v>40</v>
      </c>
      <c r="EH82" s="372"/>
      <c r="ER82" s="418">
        <v>40</v>
      </c>
      <c r="EU82" s="416">
        <v>40</v>
      </c>
      <c r="EV82" s="372"/>
      <c r="FO82" s="375" t="s">
        <v>850</v>
      </c>
      <c r="FP82" s="376" t="s">
        <v>1120</v>
      </c>
      <c r="FQ82" s="377" t="s">
        <v>522</v>
      </c>
      <c r="FR82" s="377" t="s">
        <v>850</v>
      </c>
      <c r="FS82" s="377" t="s">
        <v>565</v>
      </c>
      <c r="FT82" s="144">
        <f t="shared" si="2"/>
        <v>342</v>
      </c>
      <c r="FU82" s="371" t="s">
        <v>906</v>
      </c>
    </row>
    <row r="83" spans="1:177" s="371" customFormat="1">
      <c r="A83" s="368" t="s">
        <v>526</v>
      </c>
      <c r="B83" s="369" t="s">
        <v>517</v>
      </c>
      <c r="C83" s="369" t="s">
        <v>555</v>
      </c>
      <c r="D83" s="369" t="s">
        <v>4</v>
      </c>
      <c r="E83" s="370" t="s">
        <v>608</v>
      </c>
      <c r="F83" s="369" t="s">
        <v>520</v>
      </c>
      <c r="G83" s="369"/>
      <c r="H83" s="373">
        <f>5-5+5</f>
        <v>5</v>
      </c>
      <c r="I83" s="373">
        <f>5-5</f>
        <v>0</v>
      </c>
      <c r="J83" s="373">
        <f>10-10</f>
        <v>0</v>
      </c>
      <c r="K83" s="373">
        <f>10-10</f>
        <v>0</v>
      </c>
      <c r="L83" s="373">
        <f>10-10</f>
        <v>0</v>
      </c>
      <c r="M83" s="372" t="s">
        <v>850</v>
      </c>
      <c r="N83" s="373">
        <f>10-10</f>
        <v>0</v>
      </c>
      <c r="O83" s="373">
        <f>10-10+5</f>
        <v>5</v>
      </c>
      <c r="P83" s="372"/>
      <c r="Q83" s="373">
        <f>100-100</f>
        <v>0</v>
      </c>
      <c r="R83" s="373">
        <f>100-100</f>
        <v>0</v>
      </c>
      <c r="S83" s="372"/>
      <c r="T83" s="373">
        <f>100-100</f>
        <v>0</v>
      </c>
      <c r="U83" s="373">
        <f>100-100</f>
        <v>0</v>
      </c>
      <c r="V83" s="373">
        <f>100-100+5</f>
        <v>5</v>
      </c>
      <c r="W83" s="373">
        <f>100-100</f>
        <v>0</v>
      </c>
      <c r="X83" s="372"/>
      <c r="Y83" s="373">
        <f>400-400</f>
        <v>0</v>
      </c>
      <c r="Z83" s="373">
        <f>200-200</f>
        <v>0</v>
      </c>
      <c r="AA83" s="373">
        <f>400-400</f>
        <v>0</v>
      </c>
      <c r="AB83" s="373">
        <f>100-100</f>
        <v>0</v>
      </c>
      <c r="AC83" s="373">
        <f>60-60</f>
        <v>0</v>
      </c>
      <c r="AD83" s="373">
        <f>60-60</f>
        <v>0</v>
      </c>
      <c r="AE83" s="373">
        <f>60-60</f>
        <v>0</v>
      </c>
      <c r="AF83" s="373">
        <f>100-100</f>
        <v>0</v>
      </c>
      <c r="AG83" s="373">
        <f>100-100</f>
        <v>0</v>
      </c>
      <c r="AH83" s="373">
        <f>10-10</f>
        <v>0</v>
      </c>
      <c r="AI83" s="373">
        <f>10-10+1</f>
        <v>1</v>
      </c>
      <c r="AJ83" s="373">
        <f>20-20</f>
        <v>0</v>
      </c>
      <c r="AK83" s="372" t="s">
        <v>850</v>
      </c>
      <c r="AL83" s="372" t="s">
        <v>850</v>
      </c>
      <c r="AM83" s="373">
        <f>200-200</f>
        <v>0</v>
      </c>
      <c r="AN83" s="373">
        <f>2-2</f>
        <v>0</v>
      </c>
      <c r="AO83" s="372" t="s">
        <v>850</v>
      </c>
      <c r="AP83" s="372" t="s">
        <v>850</v>
      </c>
      <c r="AQ83" s="373">
        <f>6-6</f>
        <v>0</v>
      </c>
      <c r="AR83" s="373">
        <f>2-2</f>
        <v>0</v>
      </c>
      <c r="AS83" s="373">
        <f>20-20</f>
        <v>0</v>
      </c>
      <c r="AT83" s="373">
        <f>20-20</f>
        <v>0</v>
      </c>
      <c r="AU83" s="373">
        <f>20-20+2</f>
        <v>2</v>
      </c>
      <c r="AV83" s="373">
        <f>20-20+2</f>
        <v>2</v>
      </c>
      <c r="AW83" s="373">
        <f>20-20</f>
        <v>0</v>
      </c>
      <c r="AX83" s="373">
        <f>20-20+1</f>
        <v>1</v>
      </c>
      <c r="AY83" s="372"/>
      <c r="AZ83" s="372" t="s">
        <v>850</v>
      </c>
      <c r="BA83" s="372" t="s">
        <v>850</v>
      </c>
      <c r="BB83" s="372" t="s">
        <v>850</v>
      </c>
      <c r="BC83" s="373">
        <f>10-10+2</f>
        <v>2</v>
      </c>
      <c r="BD83" s="373">
        <f>4-4+2</f>
        <v>2</v>
      </c>
      <c r="BE83" s="373">
        <f>30-30</f>
        <v>0</v>
      </c>
      <c r="BF83" s="373">
        <f>30-30</f>
        <v>0</v>
      </c>
      <c r="BG83" s="373">
        <f>30-30+2</f>
        <v>2</v>
      </c>
      <c r="BH83" s="373">
        <f>30-30</f>
        <v>0</v>
      </c>
      <c r="BI83" s="373">
        <f>30-30</f>
        <v>0</v>
      </c>
      <c r="BJ83" s="373">
        <f>30-30+5</f>
        <v>5</v>
      </c>
      <c r="BK83" s="372"/>
      <c r="BL83" s="372" t="s">
        <v>850</v>
      </c>
      <c r="BM83" s="372" t="s">
        <v>850</v>
      </c>
      <c r="BN83" s="372" t="s">
        <v>850</v>
      </c>
      <c r="BO83" s="373">
        <f>6-6</f>
        <v>0</v>
      </c>
      <c r="BP83" s="373">
        <f>2-2+2</f>
        <v>2</v>
      </c>
      <c r="BQ83" s="373">
        <f>50-50</f>
        <v>0</v>
      </c>
      <c r="BR83" s="373">
        <f>50-50</f>
        <v>0</v>
      </c>
      <c r="BS83" s="372"/>
      <c r="BT83" s="372"/>
      <c r="BU83" s="373">
        <f>50-50+10</f>
        <v>10</v>
      </c>
      <c r="BV83" s="373">
        <f>50-50+2</f>
        <v>2</v>
      </c>
      <c r="BW83" s="373">
        <f>50-50</f>
        <v>0</v>
      </c>
      <c r="BX83" s="373">
        <f>50-50</f>
        <v>0</v>
      </c>
      <c r="BY83" s="373">
        <f>50-50+5</f>
        <v>5</v>
      </c>
      <c r="BZ83" s="373">
        <f>50-50+5</f>
        <v>5</v>
      </c>
      <c r="CA83" s="373">
        <f>50-50+3</f>
        <v>3</v>
      </c>
      <c r="CB83" s="373">
        <f>50-50</f>
        <v>0</v>
      </c>
      <c r="CC83" s="373">
        <f>50-50</f>
        <v>0</v>
      </c>
      <c r="CD83" s="373">
        <f>50-50</f>
        <v>0</v>
      </c>
      <c r="CE83" s="373">
        <f>100-100+10</f>
        <v>10</v>
      </c>
      <c r="CG83" s="373">
        <f>100-100+10</f>
        <v>10</v>
      </c>
      <c r="CH83" s="373">
        <f>100-100+5</f>
        <v>5</v>
      </c>
      <c r="CI83" s="373">
        <f>100-100</f>
        <v>0</v>
      </c>
      <c r="CJ83" s="373">
        <f>100-100</f>
        <v>0</v>
      </c>
      <c r="CK83" s="373">
        <f>200-200</f>
        <v>0</v>
      </c>
      <c r="CL83" s="373">
        <f>200-200+10</f>
        <v>10</v>
      </c>
      <c r="CM83" s="373">
        <f>200-200+10</f>
        <v>10</v>
      </c>
      <c r="CN83" s="373">
        <f>200-200+20</f>
        <v>20</v>
      </c>
      <c r="CO83" s="373">
        <f>200-200+5</f>
        <v>5</v>
      </c>
      <c r="CP83" s="373">
        <f>200-200+10</f>
        <v>10</v>
      </c>
      <c r="CQ83" s="372" t="s">
        <v>850</v>
      </c>
      <c r="CR83" s="373">
        <f>200-200+1</f>
        <v>1</v>
      </c>
      <c r="CS83" s="373">
        <f>200-200</f>
        <v>0</v>
      </c>
      <c r="CT83" s="373">
        <f>200-200</f>
        <v>0</v>
      </c>
      <c r="CU83" s="373">
        <f>200-200</f>
        <v>0</v>
      </c>
      <c r="CV83" s="372" t="s">
        <v>850</v>
      </c>
      <c r="CW83" s="373">
        <f>200-200+10</f>
        <v>10</v>
      </c>
      <c r="CX83" s="373">
        <f>200-200+5</f>
        <v>5</v>
      </c>
      <c r="CY83" s="373">
        <f>200-200</f>
        <v>0</v>
      </c>
      <c r="CZ83" s="373">
        <f>200-200</f>
        <v>0</v>
      </c>
      <c r="DA83" s="373">
        <f>200-200</f>
        <v>0</v>
      </c>
      <c r="DB83" s="372" t="s">
        <v>850</v>
      </c>
      <c r="DC83" s="372" t="s">
        <v>850</v>
      </c>
      <c r="DD83" s="373">
        <f>200-200</f>
        <v>0</v>
      </c>
      <c r="DE83" s="373">
        <f>200-200</f>
        <v>0</v>
      </c>
      <c r="DF83" s="373">
        <f>200-200+15</f>
        <v>15</v>
      </c>
      <c r="DG83" s="373">
        <f>400-400</f>
        <v>0</v>
      </c>
      <c r="DH83" s="372"/>
      <c r="DI83" s="373">
        <f>50-50</f>
        <v>0</v>
      </c>
      <c r="DJ83" s="373">
        <f>100-100</f>
        <v>0</v>
      </c>
      <c r="DK83" s="372"/>
      <c r="DL83" s="373">
        <f>300-300</f>
        <v>0</v>
      </c>
      <c r="DM83" s="372" t="s">
        <v>850</v>
      </c>
      <c r="DN83" s="373">
        <f>50-50</f>
        <v>0</v>
      </c>
      <c r="DO83" s="373">
        <f>300-300</f>
        <v>0</v>
      </c>
      <c r="DP83" s="373">
        <f>300-300</f>
        <v>0</v>
      </c>
      <c r="DQ83" s="373">
        <f>300-300</f>
        <v>0</v>
      </c>
      <c r="DR83" s="373">
        <f>300-300+13</f>
        <v>13</v>
      </c>
      <c r="DS83" s="372"/>
      <c r="DT83" s="373">
        <f>300-300</f>
        <v>0</v>
      </c>
      <c r="DU83" s="373">
        <f>300-300</f>
        <v>0</v>
      </c>
      <c r="DV83" s="373">
        <f>200-200</f>
        <v>0</v>
      </c>
      <c r="DW83" s="373">
        <f>200-200</f>
        <v>0</v>
      </c>
      <c r="DX83" s="373">
        <f>200-200</f>
        <v>0</v>
      </c>
      <c r="DY83" s="373">
        <f>100-100</f>
        <v>0</v>
      </c>
      <c r="DZ83" s="373">
        <f>100-100+20</f>
        <v>20</v>
      </c>
      <c r="EB83" s="373">
        <f>100-100</f>
        <v>0</v>
      </c>
      <c r="ED83" s="373">
        <f>100-100</f>
        <v>0</v>
      </c>
      <c r="EE83" s="372" t="s">
        <v>850</v>
      </c>
      <c r="EF83" s="373">
        <f>100-100</f>
        <v>0</v>
      </c>
      <c r="EG83" s="373">
        <f>100-100</f>
        <v>0</v>
      </c>
      <c r="EH83" s="372"/>
      <c r="EI83" s="373">
        <f>100-100</f>
        <v>0</v>
      </c>
      <c r="EJ83" s="373">
        <f>60-60</f>
        <v>0</v>
      </c>
      <c r="EK83" s="373">
        <f>100-100+10</f>
        <v>10</v>
      </c>
      <c r="EL83" s="373">
        <f>100-100+10</f>
        <v>10</v>
      </c>
      <c r="EM83" s="373">
        <f>60-60</f>
        <v>0</v>
      </c>
      <c r="EN83" s="372" t="s">
        <v>850</v>
      </c>
      <c r="EO83" s="372" t="s">
        <v>850</v>
      </c>
      <c r="EP83" s="373">
        <f>60-60</f>
        <v>0</v>
      </c>
      <c r="EQ83" s="373">
        <f>200-200</f>
        <v>0</v>
      </c>
      <c r="ER83" s="373">
        <f>200-200</f>
        <v>0</v>
      </c>
      <c r="ES83" s="373">
        <f>200-200</f>
        <v>0</v>
      </c>
      <c r="ET83" s="372" t="s">
        <v>850</v>
      </c>
      <c r="EU83" s="373">
        <f>40-40</f>
        <v>0</v>
      </c>
      <c r="EV83" s="373">
        <f>20-20+20</f>
        <v>20</v>
      </c>
      <c r="EW83" s="373">
        <f>10-10</f>
        <v>0</v>
      </c>
      <c r="EX83" s="372" t="s">
        <v>850</v>
      </c>
      <c r="EY83" s="373">
        <f>40-40</f>
        <v>0</v>
      </c>
      <c r="EZ83" s="372" t="s">
        <v>850</v>
      </c>
      <c r="FA83" s="372" t="s">
        <v>850</v>
      </c>
      <c r="FB83" s="373">
        <f>20-20</f>
        <v>0</v>
      </c>
      <c r="FC83" s="372" t="s">
        <v>850</v>
      </c>
      <c r="FD83" s="373">
        <f>20-20</f>
        <v>0</v>
      </c>
      <c r="FE83" s="372" t="s">
        <v>850</v>
      </c>
      <c r="FF83" s="373">
        <f>50-50+15</f>
        <v>15</v>
      </c>
      <c r="FG83" s="372" t="s">
        <v>850</v>
      </c>
      <c r="FH83" s="372" t="s">
        <v>850</v>
      </c>
      <c r="FI83" s="372" t="s">
        <v>850</v>
      </c>
      <c r="FJ83" s="372" t="s">
        <v>850</v>
      </c>
      <c r="FK83" s="372" t="s">
        <v>850</v>
      </c>
      <c r="FL83" s="372" t="s">
        <v>850</v>
      </c>
      <c r="FM83" s="372" t="s">
        <v>850</v>
      </c>
      <c r="FN83" s="372" t="s">
        <v>850</v>
      </c>
      <c r="FO83" s="375" t="s">
        <v>850</v>
      </c>
      <c r="FP83" s="376" t="s">
        <v>1120</v>
      </c>
      <c r="FQ83" s="377" t="s">
        <v>522</v>
      </c>
      <c r="FR83" s="377" t="s">
        <v>850</v>
      </c>
      <c r="FS83" s="377" t="s">
        <v>565</v>
      </c>
      <c r="FT83" s="144">
        <f t="shared" si="2"/>
        <v>258</v>
      </c>
      <c r="FU83" s="371" t="s">
        <v>906</v>
      </c>
    </row>
    <row r="84" spans="1:177" s="371" customFormat="1" ht="10.5">
      <c r="A84" s="368" t="s">
        <v>526</v>
      </c>
      <c r="B84" s="369" t="s">
        <v>517</v>
      </c>
      <c r="C84" s="369" t="s">
        <v>555</v>
      </c>
      <c r="D84" s="369" t="s">
        <v>3</v>
      </c>
      <c r="E84" s="370" t="s">
        <v>608</v>
      </c>
      <c r="F84" s="369" t="s">
        <v>520</v>
      </c>
      <c r="G84" s="369"/>
      <c r="H84" s="372"/>
      <c r="I84" s="372"/>
      <c r="J84" s="372"/>
      <c r="K84" s="372"/>
      <c r="L84" s="372"/>
      <c r="M84" s="372"/>
      <c r="N84" s="372"/>
      <c r="O84" s="372"/>
      <c r="P84" s="372"/>
      <c r="Q84" s="372"/>
      <c r="R84" s="372"/>
      <c r="S84" s="372"/>
      <c r="T84" s="372"/>
      <c r="U84" s="372"/>
      <c r="V84" s="372"/>
      <c r="W84" s="372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2"/>
      <c r="AK84" s="372"/>
      <c r="AL84" s="372"/>
      <c r="AM84" s="372"/>
      <c r="AN84" s="443">
        <v>2</v>
      </c>
      <c r="AO84" s="372"/>
      <c r="AP84" s="372"/>
      <c r="AQ84" s="372"/>
      <c r="AR84" s="443">
        <v>2</v>
      </c>
      <c r="AS84" s="372"/>
      <c r="AT84" s="372"/>
      <c r="AU84" s="372"/>
      <c r="AV84" s="372"/>
      <c r="AW84" s="372"/>
      <c r="AX84" s="372"/>
      <c r="AY84" s="372"/>
      <c r="AZ84" s="372"/>
      <c r="BA84" s="372"/>
      <c r="BB84" s="372"/>
      <c r="BC84" s="372"/>
      <c r="BD84" s="372"/>
      <c r="BE84" s="372"/>
      <c r="BF84" s="372"/>
      <c r="BG84" s="372"/>
      <c r="BH84" s="372"/>
      <c r="BI84" s="372"/>
      <c r="BJ84" s="372"/>
      <c r="BK84" s="372"/>
      <c r="BL84" s="372"/>
      <c r="BM84" s="372"/>
      <c r="BN84" s="372"/>
      <c r="BO84" s="372"/>
      <c r="BP84" s="372"/>
      <c r="BQ84" s="372"/>
      <c r="BR84" s="372"/>
      <c r="BS84" s="372"/>
      <c r="BT84" s="372"/>
      <c r="BU84" s="372"/>
      <c r="BV84" s="372"/>
      <c r="BW84" s="372"/>
      <c r="BX84" s="372"/>
      <c r="BY84" s="372"/>
      <c r="BZ84" s="372"/>
      <c r="CA84" s="372"/>
      <c r="CB84" s="372"/>
      <c r="CC84" s="372"/>
      <c r="CD84" s="372"/>
      <c r="CE84" s="372"/>
      <c r="CG84" s="372"/>
      <c r="CH84" s="372"/>
      <c r="CI84" s="372"/>
      <c r="CJ84" s="372"/>
      <c r="CK84" s="372"/>
      <c r="CL84" s="372"/>
      <c r="CM84" s="372"/>
      <c r="CN84" s="372"/>
      <c r="CO84" s="372"/>
      <c r="CP84" s="372"/>
      <c r="CQ84" s="372"/>
      <c r="CR84" s="372"/>
      <c r="CS84" s="372"/>
      <c r="CT84" s="372"/>
      <c r="CU84" s="372"/>
      <c r="CV84" s="372"/>
      <c r="CW84" s="372"/>
      <c r="CX84" s="372"/>
      <c r="CY84" s="372"/>
      <c r="CZ84" s="372"/>
      <c r="DA84" s="372"/>
      <c r="DB84" s="372"/>
      <c r="DC84" s="372"/>
      <c r="DD84" s="372"/>
      <c r="DE84" s="372"/>
      <c r="DF84" s="372"/>
      <c r="DG84" s="372"/>
      <c r="DH84" s="372"/>
      <c r="DI84" s="372"/>
      <c r="DJ84" s="372"/>
      <c r="DK84" s="372"/>
      <c r="DL84" s="372"/>
      <c r="DM84" s="372"/>
      <c r="DN84" s="372"/>
      <c r="DO84" s="372"/>
      <c r="DP84" s="372"/>
      <c r="DQ84" s="372"/>
      <c r="DR84" s="372"/>
      <c r="DS84" s="372"/>
      <c r="DT84" s="372"/>
      <c r="DU84" s="372"/>
      <c r="DV84" s="372"/>
      <c r="DW84" s="372"/>
      <c r="DX84" s="372"/>
      <c r="DY84" s="372"/>
      <c r="DZ84" s="372"/>
      <c r="EB84" s="372"/>
      <c r="ED84" s="372"/>
      <c r="EE84" s="372"/>
      <c r="EF84" s="372"/>
      <c r="EG84" s="372"/>
      <c r="EH84" s="372"/>
      <c r="EI84" s="372"/>
      <c r="EJ84" s="372"/>
      <c r="EK84" s="372"/>
      <c r="EL84" s="372"/>
      <c r="EM84" s="372"/>
      <c r="EN84" s="372"/>
      <c r="EO84" s="372"/>
      <c r="EP84" s="372"/>
      <c r="EQ84" s="372"/>
      <c r="ER84" s="372"/>
      <c r="ES84" s="372"/>
      <c r="ET84" s="372"/>
      <c r="EU84" s="372"/>
      <c r="EV84" s="372"/>
      <c r="EW84" s="372"/>
      <c r="EX84" s="372"/>
      <c r="EY84" s="372"/>
      <c r="EZ84" s="372"/>
      <c r="FA84" s="372"/>
      <c r="FB84" s="372"/>
      <c r="FC84" s="372"/>
      <c r="FD84" s="372"/>
      <c r="FE84" s="372"/>
      <c r="FF84" s="372"/>
      <c r="FG84" s="372"/>
      <c r="FH84" s="372"/>
      <c r="FI84" s="372"/>
      <c r="FJ84" s="372"/>
      <c r="FK84" s="372"/>
      <c r="FL84" s="372"/>
      <c r="FM84" s="372"/>
      <c r="FN84" s="372"/>
      <c r="FO84" s="375" t="s">
        <v>850</v>
      </c>
      <c r="FP84" s="376" t="s">
        <v>1120</v>
      </c>
      <c r="FQ84" s="377" t="s">
        <v>522</v>
      </c>
      <c r="FR84" s="377" t="s">
        <v>850</v>
      </c>
      <c r="FS84" s="377" t="s">
        <v>565</v>
      </c>
      <c r="FT84" s="144">
        <f t="shared" si="2"/>
        <v>4</v>
      </c>
      <c r="FU84" s="371" t="s">
        <v>906</v>
      </c>
    </row>
    <row r="85" spans="1:177" s="371" customFormat="1">
      <c r="A85" s="368" t="s">
        <v>526</v>
      </c>
      <c r="B85" s="369" t="s">
        <v>517</v>
      </c>
      <c r="C85" s="369" t="s">
        <v>555</v>
      </c>
      <c r="D85" s="369" t="s">
        <v>8</v>
      </c>
      <c r="E85" s="370" t="s">
        <v>609</v>
      </c>
      <c r="F85" s="369" t="s">
        <v>520</v>
      </c>
      <c r="G85" s="369" t="s">
        <v>1139</v>
      </c>
      <c r="BS85" s="372"/>
      <c r="DA85" s="418">
        <v>10</v>
      </c>
      <c r="DG85" s="418">
        <v>1800</v>
      </c>
      <c r="DH85" s="372"/>
      <c r="DS85" s="372"/>
      <c r="EA85" s="418">
        <v>20</v>
      </c>
      <c r="EB85" s="418">
        <v>70</v>
      </c>
      <c r="EH85" s="418">
        <v>20</v>
      </c>
      <c r="ER85" s="416">
        <v>100</v>
      </c>
      <c r="EU85" s="416">
        <v>60</v>
      </c>
      <c r="EV85" s="372"/>
      <c r="FO85" s="375" t="s">
        <v>850</v>
      </c>
      <c r="FP85" s="376" t="s">
        <v>1120</v>
      </c>
      <c r="FQ85" s="377" t="s">
        <v>522</v>
      </c>
      <c r="FR85" s="377" t="s">
        <v>850</v>
      </c>
      <c r="FS85" s="377" t="s">
        <v>579</v>
      </c>
      <c r="FT85" s="144">
        <f t="shared" si="2"/>
        <v>2080</v>
      </c>
      <c r="FU85" s="371" t="s">
        <v>920</v>
      </c>
    </row>
    <row r="86" spans="1:177" s="371" customFormat="1">
      <c r="A86" s="368" t="s">
        <v>526</v>
      </c>
      <c r="B86" s="369" t="s">
        <v>517</v>
      </c>
      <c r="C86" s="369" t="s">
        <v>555</v>
      </c>
      <c r="D86" s="369" t="s">
        <v>4</v>
      </c>
      <c r="E86" s="370" t="s">
        <v>609</v>
      </c>
      <c r="F86" s="369" t="s">
        <v>520</v>
      </c>
      <c r="G86" s="369" t="s">
        <v>1139</v>
      </c>
      <c r="H86" s="373">
        <f>10-10+10</f>
        <v>10</v>
      </c>
      <c r="I86" s="373">
        <f>40-40+5</f>
        <v>5</v>
      </c>
      <c r="J86" s="373">
        <f>1000-1000</f>
        <v>0</v>
      </c>
      <c r="K86" s="373">
        <f>1000-1000+5</f>
        <v>5</v>
      </c>
      <c r="L86" s="373">
        <f>1000-1000</f>
        <v>0</v>
      </c>
      <c r="M86" s="373">
        <f>999-999</f>
        <v>0</v>
      </c>
      <c r="N86" s="373">
        <f>1000-1000</f>
        <v>0</v>
      </c>
      <c r="O86" s="373">
        <f>1000-1000+5</f>
        <v>5</v>
      </c>
      <c r="P86" s="373">
        <f>998-998+1</f>
        <v>1</v>
      </c>
      <c r="Q86" s="373">
        <f>1000-1000</f>
        <v>0</v>
      </c>
      <c r="R86" s="373">
        <f>980-980+5</f>
        <v>5</v>
      </c>
      <c r="S86" s="372"/>
      <c r="T86" s="373">
        <f>1000-1000</f>
        <v>0</v>
      </c>
      <c r="U86" s="373">
        <f>1000-1000</f>
        <v>0</v>
      </c>
      <c r="V86" s="373">
        <f>980-980</f>
        <v>0</v>
      </c>
      <c r="W86" s="373">
        <f>990-990</f>
        <v>0</v>
      </c>
      <c r="X86" s="372"/>
      <c r="Y86" s="372" t="s">
        <v>850</v>
      </c>
      <c r="Z86" s="372" t="s">
        <v>850</v>
      </c>
      <c r="AA86" s="372" t="s">
        <v>850</v>
      </c>
      <c r="AB86" s="372" t="s">
        <v>850</v>
      </c>
      <c r="AC86" s="372" t="s">
        <v>850</v>
      </c>
      <c r="AD86" s="372" t="s">
        <v>850</v>
      </c>
      <c r="AE86" s="372" t="s">
        <v>850</v>
      </c>
      <c r="AF86" s="372" t="s">
        <v>850</v>
      </c>
      <c r="AG86" s="372" t="s">
        <v>850</v>
      </c>
      <c r="AH86" s="372" t="s">
        <v>850</v>
      </c>
      <c r="AI86" s="372" t="s">
        <v>850</v>
      </c>
      <c r="AJ86" s="372" t="s">
        <v>850</v>
      </c>
      <c r="AK86" s="372" t="s">
        <v>850</v>
      </c>
      <c r="AL86" s="372" t="s">
        <v>850</v>
      </c>
      <c r="AM86" s="372" t="s">
        <v>850</v>
      </c>
      <c r="AN86" s="372"/>
      <c r="AO86" s="372" t="s">
        <v>850</v>
      </c>
      <c r="AP86" s="372" t="s">
        <v>850</v>
      </c>
      <c r="AQ86" s="373">
        <f>10-10</f>
        <v>0</v>
      </c>
      <c r="AR86" s="373">
        <f>8-8</f>
        <v>0</v>
      </c>
      <c r="AS86" s="373">
        <f>198-198+2</f>
        <v>2</v>
      </c>
      <c r="AT86" s="373">
        <f>200-200</f>
        <v>0</v>
      </c>
      <c r="AU86" s="373">
        <f>180-180+5</f>
        <v>5</v>
      </c>
      <c r="AV86" s="373">
        <f>200-200+5</f>
        <v>5</v>
      </c>
      <c r="AW86" s="373">
        <f>200-200</f>
        <v>0</v>
      </c>
      <c r="AX86" s="373">
        <f>200-200+2</f>
        <v>2</v>
      </c>
      <c r="AY86" s="373">
        <f>270-270+80</f>
        <v>80</v>
      </c>
      <c r="AZ86" s="372" t="s">
        <v>850</v>
      </c>
      <c r="BA86" s="373">
        <f>100-100</f>
        <v>0</v>
      </c>
      <c r="BB86" s="372" t="s">
        <v>850</v>
      </c>
      <c r="BC86" s="373">
        <f>40-40</f>
        <v>0</v>
      </c>
      <c r="BD86" s="373">
        <f>40-40+2</f>
        <v>2</v>
      </c>
      <c r="BE86" s="373">
        <f>1000-1000</f>
        <v>0</v>
      </c>
      <c r="BF86" s="373">
        <f>990-990</f>
        <v>0</v>
      </c>
      <c r="BG86" s="373">
        <f>960-960+20</f>
        <v>20</v>
      </c>
      <c r="BH86" s="373">
        <f>990-990</f>
        <v>0</v>
      </c>
      <c r="BI86" s="373">
        <f>1000-1000</f>
        <v>0</v>
      </c>
      <c r="BJ86" s="373">
        <f>990-990+10</f>
        <v>10</v>
      </c>
      <c r="BK86" s="373">
        <f>58-58+32</f>
        <v>32</v>
      </c>
      <c r="BL86" s="372" t="s">
        <v>850</v>
      </c>
      <c r="BM86" s="372" t="s">
        <v>850</v>
      </c>
      <c r="BN86" s="372" t="s">
        <v>850</v>
      </c>
      <c r="BO86" s="373">
        <f>35-35</f>
        <v>0</v>
      </c>
      <c r="BP86" s="373">
        <f>40-40+5</f>
        <v>5</v>
      </c>
      <c r="BQ86" s="373">
        <f>1000-1000</f>
        <v>0</v>
      </c>
      <c r="BR86" s="373">
        <f>990-990</f>
        <v>0</v>
      </c>
      <c r="BS86" s="372"/>
      <c r="BT86" s="373">
        <f>40-40</f>
        <v>0</v>
      </c>
      <c r="BU86" s="373">
        <f>980-980+70</f>
        <v>70</v>
      </c>
      <c r="BV86" s="373">
        <f>1000-1000+5</f>
        <v>5</v>
      </c>
      <c r="BW86" s="373">
        <f>1000-1000</f>
        <v>0</v>
      </c>
      <c r="BX86" s="373">
        <f>1000-1000</f>
        <v>0</v>
      </c>
      <c r="BY86" s="373">
        <f>980-980+10</f>
        <v>10</v>
      </c>
      <c r="BZ86" s="373">
        <f>987-987+20</f>
        <v>20</v>
      </c>
      <c r="CA86" s="373">
        <f>980-980+20</f>
        <v>20</v>
      </c>
      <c r="CB86" s="373">
        <f>1000-1000</f>
        <v>0</v>
      </c>
      <c r="CC86" s="373">
        <f>1000-1000</f>
        <v>0</v>
      </c>
      <c r="CD86" s="373">
        <f>997-997</f>
        <v>0</v>
      </c>
      <c r="CE86" s="373">
        <f>990-990+40</f>
        <v>40</v>
      </c>
      <c r="CG86" s="373">
        <f>960-960+75</f>
        <v>75</v>
      </c>
      <c r="CH86" s="373">
        <f>1000-1000+20</f>
        <v>20</v>
      </c>
      <c r="CI86" s="373">
        <f>999-999</f>
        <v>0</v>
      </c>
      <c r="CJ86" s="373">
        <f>1000-1000</f>
        <v>0</v>
      </c>
      <c r="CK86" s="373">
        <f>1000-1000</f>
        <v>0</v>
      </c>
      <c r="CL86" s="373">
        <f>960-960+40</f>
        <v>40</v>
      </c>
      <c r="CM86" s="373">
        <f>940-940+40</f>
        <v>40</v>
      </c>
      <c r="CN86" s="373">
        <f>930-930+100</f>
        <v>100</v>
      </c>
      <c r="CO86" s="373">
        <f>970-970+30</f>
        <v>30</v>
      </c>
      <c r="CP86" s="373">
        <f>1000-1000+20</f>
        <v>20</v>
      </c>
      <c r="CQ86" s="372" t="s">
        <v>850</v>
      </c>
      <c r="CR86" s="373">
        <f>1000-1000</f>
        <v>0</v>
      </c>
      <c r="CS86" s="373">
        <f>1000-1000</f>
        <v>0</v>
      </c>
      <c r="CT86" s="373">
        <f>1000-1000</f>
        <v>0</v>
      </c>
      <c r="CU86" s="373">
        <f>700-700</f>
        <v>0</v>
      </c>
      <c r="CV86" s="372" t="s">
        <v>850</v>
      </c>
      <c r="CW86" s="373">
        <f>1000-1000+20</f>
        <v>20</v>
      </c>
      <c r="CX86" s="373">
        <f>980-980+20</f>
        <v>20</v>
      </c>
      <c r="CY86" s="373">
        <f>980-980</f>
        <v>0</v>
      </c>
      <c r="CZ86" s="373">
        <f>980-980</f>
        <v>0</v>
      </c>
      <c r="DA86" s="373">
        <f>780-780</f>
        <v>0</v>
      </c>
      <c r="DB86" s="372" t="s">
        <v>850</v>
      </c>
      <c r="DC86" s="372" t="s">
        <v>850</v>
      </c>
      <c r="DD86" s="372" t="s">
        <v>850</v>
      </c>
      <c r="DE86" s="372" t="s">
        <v>850</v>
      </c>
      <c r="DF86" s="372" t="s">
        <v>850</v>
      </c>
      <c r="DG86" s="372"/>
      <c r="DH86" s="418">
        <v>2</v>
      </c>
      <c r="DI86" s="372" t="s">
        <v>850</v>
      </c>
      <c r="DJ86" s="372" t="s">
        <v>850</v>
      </c>
      <c r="DK86" s="373">
        <f>1000-1000+10</f>
        <v>10</v>
      </c>
      <c r="DL86" s="372" t="s">
        <v>850</v>
      </c>
      <c r="DM86" s="373">
        <f>1000-1000</f>
        <v>0</v>
      </c>
      <c r="DN86" s="372" t="s">
        <v>850</v>
      </c>
      <c r="DO86" s="373">
        <f>960-960</f>
        <v>0</v>
      </c>
      <c r="DP86" s="372" t="s">
        <v>850</v>
      </c>
      <c r="DQ86" s="373">
        <f>1000-1000</f>
        <v>0</v>
      </c>
      <c r="DR86" s="372"/>
      <c r="DS86" s="372"/>
      <c r="DT86" s="373">
        <f>900-900</f>
        <v>0</v>
      </c>
      <c r="DU86" s="373">
        <f>1000-1000</f>
        <v>0</v>
      </c>
      <c r="DV86" s="373">
        <f>1000-1000</f>
        <v>0</v>
      </c>
      <c r="DW86" s="373">
        <f>1000-1000</f>
        <v>0</v>
      </c>
      <c r="DX86" s="373">
        <f>1000-1000</f>
        <v>0</v>
      </c>
      <c r="DY86" s="372" t="s">
        <v>850</v>
      </c>
      <c r="DZ86" s="373">
        <f>1000-1000+60</f>
        <v>60</v>
      </c>
      <c r="EB86" s="373">
        <f>1000-1000</f>
        <v>0</v>
      </c>
      <c r="ED86" s="373">
        <f>1000-1000</f>
        <v>0</v>
      </c>
      <c r="EE86" s="372" t="s">
        <v>850</v>
      </c>
      <c r="EF86" s="373">
        <f>1000-1000</f>
        <v>0</v>
      </c>
      <c r="EG86" s="373">
        <f>1000-1000</f>
        <v>0</v>
      </c>
      <c r="EH86" s="372"/>
      <c r="EI86" s="373">
        <f>2000-2000</f>
        <v>0</v>
      </c>
      <c r="EJ86" s="372" t="s">
        <v>850</v>
      </c>
      <c r="EK86" s="373">
        <f>1760-1760+20</f>
        <v>20</v>
      </c>
      <c r="EL86" s="373">
        <f>1000-1000+20</f>
        <v>20</v>
      </c>
      <c r="EM86" s="373">
        <f>500-500</f>
        <v>0</v>
      </c>
      <c r="EN86" s="373">
        <f>2000-2000</f>
        <v>0</v>
      </c>
      <c r="EO86" s="373">
        <f>1000-1000</f>
        <v>0</v>
      </c>
      <c r="EP86" s="373">
        <f>500-500</f>
        <v>0</v>
      </c>
      <c r="EQ86" s="373">
        <f>1000-1000</f>
        <v>0</v>
      </c>
      <c r="ER86" s="373">
        <f>900-900</f>
        <v>0</v>
      </c>
      <c r="ES86" s="373">
        <f>1000-1000</f>
        <v>0</v>
      </c>
      <c r="ET86" s="372" t="s">
        <v>850</v>
      </c>
      <c r="EU86" s="373">
        <f>900-900</f>
        <v>0</v>
      </c>
      <c r="EV86" s="373">
        <f>900-900+280</f>
        <v>280</v>
      </c>
      <c r="EW86" s="373">
        <f>1000-1000</f>
        <v>0</v>
      </c>
      <c r="EX86" s="372" t="s">
        <v>850</v>
      </c>
      <c r="EY86" s="372" t="s">
        <v>850</v>
      </c>
      <c r="EZ86" s="372" t="s">
        <v>850</v>
      </c>
      <c r="FA86" s="372" t="s">
        <v>850</v>
      </c>
      <c r="FB86" s="373">
        <f>500-500</f>
        <v>0</v>
      </c>
      <c r="FC86" s="373">
        <f>300-300</f>
        <v>0</v>
      </c>
      <c r="FD86" s="373">
        <f>200-200</f>
        <v>0</v>
      </c>
      <c r="FE86" s="373">
        <f>500-500</f>
        <v>0</v>
      </c>
      <c r="FF86" s="373">
        <f>500-500</f>
        <v>0</v>
      </c>
      <c r="FG86" s="372" t="s">
        <v>850</v>
      </c>
      <c r="FH86" s="372" t="s">
        <v>850</v>
      </c>
      <c r="FI86" s="372" t="s">
        <v>850</v>
      </c>
      <c r="FJ86" s="372" t="s">
        <v>850</v>
      </c>
      <c r="FK86" s="372" t="s">
        <v>850</v>
      </c>
      <c r="FL86" s="372" t="s">
        <v>850</v>
      </c>
      <c r="FM86" s="372" t="s">
        <v>850</v>
      </c>
      <c r="FN86" s="372" t="s">
        <v>850</v>
      </c>
      <c r="FO86" s="375" t="s">
        <v>850</v>
      </c>
      <c r="FP86" s="376" t="s">
        <v>1120</v>
      </c>
      <c r="FQ86" s="377" t="s">
        <v>522</v>
      </c>
      <c r="FR86" s="377" t="s">
        <v>850</v>
      </c>
      <c r="FS86" s="377" t="s">
        <v>579</v>
      </c>
      <c r="FT86" s="144">
        <f t="shared" si="2"/>
        <v>1116</v>
      </c>
      <c r="FU86" s="371" t="s">
        <v>920</v>
      </c>
    </row>
    <row r="87" spans="1:177" s="371" customFormat="1" ht="10.5">
      <c r="A87" s="368" t="s">
        <v>526</v>
      </c>
      <c r="B87" s="369" t="s">
        <v>517</v>
      </c>
      <c r="C87" s="369" t="s">
        <v>555</v>
      </c>
      <c r="D87" s="369" t="s">
        <v>3</v>
      </c>
      <c r="E87" s="370" t="s">
        <v>609</v>
      </c>
      <c r="F87" s="369" t="s">
        <v>520</v>
      </c>
      <c r="G87" s="369" t="s">
        <v>1140</v>
      </c>
      <c r="H87" s="37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372"/>
      <c r="AE87" s="372"/>
      <c r="AF87" s="372"/>
      <c r="AG87" s="372"/>
      <c r="AH87" s="372"/>
      <c r="AI87" s="372"/>
      <c r="AJ87" s="372"/>
      <c r="AK87" s="372"/>
      <c r="AL87" s="372"/>
      <c r="AM87" s="372"/>
      <c r="AN87" s="372"/>
      <c r="AO87" s="372"/>
      <c r="AP87" s="372"/>
      <c r="AQ87" s="372"/>
      <c r="AR87" s="443">
        <v>3</v>
      </c>
      <c r="AS87" s="372"/>
      <c r="AT87" s="372"/>
      <c r="AU87" s="372"/>
      <c r="AV87" s="372"/>
      <c r="AW87" s="372"/>
      <c r="AX87" s="372"/>
      <c r="AY87" s="372"/>
      <c r="AZ87" s="372"/>
      <c r="BA87" s="372"/>
      <c r="BB87" s="372"/>
      <c r="BC87" s="372"/>
      <c r="BD87" s="372"/>
      <c r="BE87" s="372"/>
      <c r="BF87" s="372"/>
      <c r="BG87" s="372"/>
      <c r="BH87" s="372"/>
      <c r="BI87" s="372"/>
      <c r="BJ87" s="372"/>
      <c r="BK87" s="372"/>
      <c r="BL87" s="372"/>
      <c r="BM87" s="372"/>
      <c r="BN87" s="372"/>
      <c r="BO87" s="372"/>
      <c r="BP87" s="372"/>
      <c r="BQ87" s="372"/>
      <c r="BR87" s="372"/>
      <c r="BS87" s="372"/>
      <c r="BT87" s="443">
        <v>10</v>
      </c>
      <c r="BU87" s="372"/>
      <c r="BV87" s="372"/>
      <c r="BW87" s="372"/>
      <c r="BX87" s="372"/>
      <c r="BY87" s="372"/>
      <c r="BZ87" s="372"/>
      <c r="CA87" s="372"/>
      <c r="CB87" s="372"/>
      <c r="CC87" s="372"/>
      <c r="CD87" s="372"/>
      <c r="CE87" s="372"/>
      <c r="CG87" s="372"/>
      <c r="CH87" s="372"/>
      <c r="CI87" s="372"/>
      <c r="CJ87" s="372"/>
      <c r="CK87" s="372"/>
      <c r="CL87" s="372"/>
      <c r="CM87" s="372"/>
      <c r="CN87" s="372"/>
      <c r="CO87" s="372"/>
      <c r="CP87" s="372"/>
      <c r="CQ87" s="372"/>
      <c r="CR87" s="372"/>
      <c r="CS87" s="372"/>
      <c r="CT87" s="372"/>
      <c r="CU87" s="372"/>
      <c r="CV87" s="372"/>
      <c r="CW87" s="372"/>
      <c r="CX87" s="372"/>
      <c r="CY87" s="372"/>
      <c r="CZ87" s="372"/>
      <c r="DA87" s="372"/>
      <c r="DB87" s="372"/>
      <c r="DC87" s="372"/>
      <c r="DD87" s="372"/>
      <c r="DE87" s="372"/>
      <c r="DF87" s="372"/>
      <c r="DG87" s="372"/>
      <c r="DH87" s="372"/>
      <c r="DI87" s="372"/>
      <c r="DJ87" s="372"/>
      <c r="DK87" s="372"/>
      <c r="DL87" s="372"/>
      <c r="DM87" s="372"/>
      <c r="DN87" s="372"/>
      <c r="DO87" s="372"/>
      <c r="DP87" s="372"/>
      <c r="DQ87" s="372"/>
      <c r="DR87" s="372"/>
      <c r="DS87" s="372"/>
      <c r="DT87" s="372"/>
      <c r="DU87" s="372"/>
      <c r="DV87" s="372"/>
      <c r="DW87" s="372"/>
      <c r="DX87" s="372"/>
      <c r="DY87" s="372"/>
      <c r="DZ87" s="372"/>
      <c r="EB87" s="372"/>
      <c r="ED87" s="372"/>
      <c r="EE87" s="372"/>
      <c r="EF87" s="372"/>
      <c r="EG87" s="372"/>
      <c r="EH87" s="372"/>
      <c r="EI87" s="372"/>
      <c r="EJ87" s="372"/>
      <c r="EK87" s="372"/>
      <c r="EL87" s="372"/>
      <c r="EM87" s="372"/>
      <c r="EN87" s="372"/>
      <c r="EO87" s="372"/>
      <c r="EP87" s="372"/>
      <c r="EQ87" s="372"/>
      <c r="ER87" s="372"/>
      <c r="ES87" s="372"/>
      <c r="ET87" s="372"/>
      <c r="EU87" s="372"/>
      <c r="EV87" s="372"/>
      <c r="EW87" s="372"/>
      <c r="EX87" s="372"/>
      <c r="EY87" s="372"/>
      <c r="EZ87" s="372"/>
      <c r="FA87" s="372"/>
      <c r="FB87" s="372"/>
      <c r="FC87" s="372"/>
      <c r="FD87" s="372"/>
      <c r="FE87" s="372"/>
      <c r="FF87" s="372"/>
      <c r="FG87" s="372"/>
      <c r="FH87" s="372"/>
      <c r="FI87" s="372"/>
      <c r="FJ87" s="372"/>
      <c r="FK87" s="372"/>
      <c r="FL87" s="372"/>
      <c r="FM87" s="372"/>
      <c r="FN87" s="372"/>
      <c r="FO87" s="375" t="s">
        <v>850</v>
      </c>
      <c r="FP87" s="376" t="s">
        <v>1120</v>
      </c>
      <c r="FQ87" s="377" t="s">
        <v>522</v>
      </c>
      <c r="FR87" s="377" t="s">
        <v>850</v>
      </c>
      <c r="FS87" s="377" t="s">
        <v>579</v>
      </c>
      <c r="FT87" s="144">
        <f t="shared" si="2"/>
        <v>13</v>
      </c>
      <c r="FU87" s="371" t="s">
        <v>920</v>
      </c>
    </row>
    <row r="88" spans="1:177" s="371" customFormat="1" hidden="1">
      <c r="A88" s="368" t="s">
        <v>935</v>
      </c>
      <c r="B88" s="369" t="s">
        <v>517</v>
      </c>
      <c r="C88" s="369" t="s">
        <v>555</v>
      </c>
      <c r="D88" s="369" t="s">
        <v>8</v>
      </c>
      <c r="E88" s="370" t="s">
        <v>611</v>
      </c>
      <c r="F88" s="369" t="s">
        <v>520</v>
      </c>
      <c r="G88" s="369" t="s">
        <v>1141</v>
      </c>
      <c r="BS88" s="372"/>
      <c r="DH88" s="372"/>
      <c r="DS88" s="372"/>
      <c r="EH88" s="372" t="s">
        <v>850</v>
      </c>
      <c r="FO88" s="375" t="s">
        <v>850</v>
      </c>
      <c r="FP88" s="376" t="s">
        <v>1120</v>
      </c>
      <c r="FQ88" s="377" t="s">
        <v>522</v>
      </c>
      <c r="FR88" s="377" t="s">
        <v>850</v>
      </c>
      <c r="FS88" s="377" t="s">
        <v>592</v>
      </c>
      <c r="FT88" s="144">
        <f t="shared" si="2"/>
        <v>0</v>
      </c>
      <c r="FU88" s="371" t="s">
        <v>905</v>
      </c>
    </row>
    <row r="89" spans="1:177" s="371" customFormat="1" hidden="1">
      <c r="A89" s="368" t="s">
        <v>935</v>
      </c>
      <c r="B89" s="369" t="s">
        <v>517</v>
      </c>
      <c r="C89" s="369" t="s">
        <v>555</v>
      </c>
      <c r="D89" s="369" t="s">
        <v>4</v>
      </c>
      <c r="E89" s="370" t="s">
        <v>611</v>
      </c>
      <c r="F89" s="369" t="s">
        <v>520</v>
      </c>
      <c r="G89" s="369" t="s">
        <v>1141</v>
      </c>
      <c r="H89" s="373">
        <f>2-2+2</f>
        <v>2</v>
      </c>
      <c r="I89" s="373">
        <f>2-2</f>
        <v>0</v>
      </c>
      <c r="J89" s="372" t="s">
        <v>850</v>
      </c>
      <c r="K89" s="372" t="s">
        <v>850</v>
      </c>
      <c r="L89" s="373">
        <f>5-5</f>
        <v>0</v>
      </c>
      <c r="M89" s="372" t="s">
        <v>850</v>
      </c>
      <c r="N89" s="372" t="s">
        <v>850</v>
      </c>
      <c r="O89" s="372" t="s">
        <v>850</v>
      </c>
      <c r="P89" s="372" t="s">
        <v>850</v>
      </c>
      <c r="Q89" s="372" t="s">
        <v>850</v>
      </c>
      <c r="R89" s="372" t="s">
        <v>850</v>
      </c>
      <c r="S89" s="372" t="s">
        <v>850</v>
      </c>
      <c r="T89" s="372" t="s">
        <v>850</v>
      </c>
      <c r="U89" s="372" t="s">
        <v>850</v>
      </c>
      <c r="V89" s="373">
        <f>10-10</f>
        <v>0</v>
      </c>
      <c r="W89" s="373">
        <f>10-10</f>
        <v>0</v>
      </c>
      <c r="X89" s="372" t="s">
        <v>850</v>
      </c>
      <c r="Y89" s="372" t="s">
        <v>850</v>
      </c>
      <c r="Z89" s="372" t="s">
        <v>850</v>
      </c>
      <c r="AA89" s="372" t="s">
        <v>850</v>
      </c>
      <c r="AB89" s="372" t="s">
        <v>850</v>
      </c>
      <c r="AC89" s="372" t="s">
        <v>850</v>
      </c>
      <c r="AD89" s="372" t="s">
        <v>850</v>
      </c>
      <c r="AE89" s="372" t="s">
        <v>850</v>
      </c>
      <c r="AF89" s="372" t="s">
        <v>850</v>
      </c>
      <c r="AG89" s="372" t="s">
        <v>850</v>
      </c>
      <c r="AH89" s="372" t="s">
        <v>850</v>
      </c>
      <c r="AI89" s="372" t="s">
        <v>850</v>
      </c>
      <c r="AJ89" s="372" t="s">
        <v>850</v>
      </c>
      <c r="AK89" s="372" t="s">
        <v>850</v>
      </c>
      <c r="AL89" s="372" t="s">
        <v>850</v>
      </c>
      <c r="AM89" s="372" t="s">
        <v>850</v>
      </c>
      <c r="AN89" s="372" t="s">
        <v>850</v>
      </c>
      <c r="AO89" s="372" t="s">
        <v>850</v>
      </c>
      <c r="AP89" s="372" t="s">
        <v>850</v>
      </c>
      <c r="AQ89" s="372" t="s">
        <v>850</v>
      </c>
      <c r="AR89" s="372" t="s">
        <v>850</v>
      </c>
      <c r="AS89" s="373">
        <f>1-1</f>
        <v>0</v>
      </c>
      <c r="AT89" s="373">
        <f>1-1</f>
        <v>0</v>
      </c>
      <c r="AU89" s="373">
        <f>3-3</f>
        <v>0</v>
      </c>
      <c r="AV89" s="373">
        <f>2-2</f>
        <v>0</v>
      </c>
      <c r="AW89" s="372" t="s">
        <v>850</v>
      </c>
      <c r="AX89" s="372" t="s">
        <v>850</v>
      </c>
      <c r="AY89" s="372" t="s">
        <v>850</v>
      </c>
      <c r="AZ89" s="372" t="s">
        <v>850</v>
      </c>
      <c r="BA89" s="372" t="s">
        <v>850</v>
      </c>
      <c r="BB89" s="372" t="s">
        <v>850</v>
      </c>
      <c r="BC89" s="372" t="s">
        <v>850</v>
      </c>
      <c r="BD89" s="372" t="s">
        <v>850</v>
      </c>
      <c r="BE89" s="372" t="s">
        <v>850</v>
      </c>
      <c r="BF89" s="372" t="s">
        <v>850</v>
      </c>
      <c r="BG89" s="372" t="s">
        <v>850</v>
      </c>
      <c r="BH89" s="372" t="s">
        <v>850</v>
      </c>
      <c r="BI89" s="372" t="s">
        <v>850</v>
      </c>
      <c r="BJ89" s="373">
        <f>5-5</f>
        <v>0</v>
      </c>
      <c r="BK89" s="372" t="s">
        <v>850</v>
      </c>
      <c r="BL89" s="372" t="s">
        <v>850</v>
      </c>
      <c r="BM89" s="372" t="s">
        <v>850</v>
      </c>
      <c r="BN89" s="372" t="s">
        <v>850</v>
      </c>
      <c r="BO89" s="372" t="s">
        <v>850</v>
      </c>
      <c r="BP89" s="372" t="s">
        <v>850</v>
      </c>
      <c r="BQ89" s="373">
        <f>10-10</f>
        <v>0</v>
      </c>
      <c r="BR89" s="373">
        <f>10-10</f>
        <v>0</v>
      </c>
      <c r="BS89" s="372"/>
      <c r="BT89" s="372" t="s">
        <v>850</v>
      </c>
      <c r="BU89" s="373">
        <f>10-10</f>
        <v>0</v>
      </c>
      <c r="BV89" s="373">
        <f>5-5</f>
        <v>0</v>
      </c>
      <c r="BW89" s="372" t="s">
        <v>850</v>
      </c>
      <c r="BX89" s="373">
        <f>5-5</f>
        <v>0</v>
      </c>
      <c r="BY89" s="372" t="s">
        <v>850</v>
      </c>
      <c r="BZ89" s="373">
        <f>10-10</f>
        <v>0</v>
      </c>
      <c r="CA89" s="373">
        <f>10-10</f>
        <v>0</v>
      </c>
      <c r="CB89" s="373">
        <f>10-10</f>
        <v>0</v>
      </c>
      <c r="CC89" s="373">
        <f>10-10</f>
        <v>0</v>
      </c>
      <c r="CD89" s="372" t="s">
        <v>850</v>
      </c>
      <c r="CE89" s="373">
        <f>10-10</f>
        <v>0</v>
      </c>
      <c r="CG89" s="373">
        <f>20-20</f>
        <v>0</v>
      </c>
      <c r="CH89" s="372" t="s">
        <v>850</v>
      </c>
      <c r="CI89" s="373">
        <f>10-10</f>
        <v>0</v>
      </c>
      <c r="CJ89" s="373">
        <f>10-10</f>
        <v>0</v>
      </c>
      <c r="CK89" s="372" t="s">
        <v>850</v>
      </c>
      <c r="CL89" s="372" t="s">
        <v>850</v>
      </c>
      <c r="CM89" s="373">
        <f>20-20</f>
        <v>0</v>
      </c>
      <c r="CN89" s="373">
        <f>50-50</f>
        <v>0</v>
      </c>
      <c r="CO89" s="373">
        <f>5-5</f>
        <v>0</v>
      </c>
      <c r="CP89" s="373">
        <f>20-20</f>
        <v>0</v>
      </c>
      <c r="CQ89" s="372" t="s">
        <v>850</v>
      </c>
      <c r="CR89" s="372" t="s">
        <v>850</v>
      </c>
      <c r="CS89" s="372" t="s">
        <v>850</v>
      </c>
      <c r="CT89" s="372" t="s">
        <v>850</v>
      </c>
      <c r="CU89" s="372" t="s">
        <v>850</v>
      </c>
      <c r="CV89" s="372" t="s">
        <v>850</v>
      </c>
      <c r="CW89" s="373">
        <f>5-5</f>
        <v>0</v>
      </c>
      <c r="CX89" s="373">
        <f>20-20</f>
        <v>0</v>
      </c>
      <c r="CY89" s="373">
        <f>10-10</f>
        <v>0</v>
      </c>
      <c r="CZ89" s="373">
        <f>20-20</f>
        <v>0</v>
      </c>
      <c r="DA89" s="372" t="s">
        <v>850</v>
      </c>
      <c r="DB89" s="372" t="s">
        <v>850</v>
      </c>
      <c r="DC89" s="372" t="s">
        <v>850</v>
      </c>
      <c r="DD89" s="372" t="s">
        <v>850</v>
      </c>
      <c r="DE89" s="372" t="s">
        <v>850</v>
      </c>
      <c r="DF89" s="372" t="s">
        <v>850</v>
      </c>
      <c r="DG89" s="372" t="s">
        <v>850</v>
      </c>
      <c r="DH89" s="372"/>
      <c r="DI89" s="372" t="s">
        <v>850</v>
      </c>
      <c r="DJ89" s="372" t="s">
        <v>850</v>
      </c>
      <c r="DK89" s="372" t="s">
        <v>850</v>
      </c>
      <c r="DL89" s="372" t="s">
        <v>850</v>
      </c>
      <c r="DM89" s="372" t="s">
        <v>850</v>
      </c>
      <c r="DN89" s="372" t="s">
        <v>850</v>
      </c>
      <c r="DO89" s="372" t="s">
        <v>850</v>
      </c>
      <c r="DP89" s="372" t="s">
        <v>850</v>
      </c>
      <c r="DQ89" s="372" t="s">
        <v>850</v>
      </c>
      <c r="DR89" s="372" t="s">
        <v>850</v>
      </c>
      <c r="DS89" s="372"/>
      <c r="DT89" s="372" t="s">
        <v>850</v>
      </c>
      <c r="DU89" s="372" t="s">
        <v>850</v>
      </c>
      <c r="DV89" s="372" t="s">
        <v>850</v>
      </c>
      <c r="DW89" s="372" t="s">
        <v>850</v>
      </c>
      <c r="DX89" s="372" t="s">
        <v>850</v>
      </c>
      <c r="DY89" s="372" t="s">
        <v>850</v>
      </c>
      <c r="DZ89" s="372" t="s">
        <v>850</v>
      </c>
      <c r="EB89" s="372" t="s">
        <v>850</v>
      </c>
      <c r="ED89" s="372" t="s">
        <v>850</v>
      </c>
      <c r="EE89" s="372" t="s">
        <v>850</v>
      </c>
      <c r="EF89" s="372" t="s">
        <v>850</v>
      </c>
      <c r="EG89" s="372" t="s">
        <v>850</v>
      </c>
      <c r="EH89" s="372" t="s">
        <v>850</v>
      </c>
      <c r="EI89" s="372" t="s">
        <v>850</v>
      </c>
      <c r="EJ89" s="372" t="s">
        <v>850</v>
      </c>
      <c r="EK89" s="372" t="s">
        <v>850</v>
      </c>
      <c r="EL89" s="372" t="s">
        <v>850</v>
      </c>
      <c r="EM89" s="372" t="s">
        <v>850</v>
      </c>
      <c r="EN89" s="372" t="s">
        <v>850</v>
      </c>
      <c r="EO89" s="372" t="s">
        <v>850</v>
      </c>
      <c r="EP89" s="372" t="s">
        <v>850</v>
      </c>
      <c r="EQ89" s="372" t="s">
        <v>850</v>
      </c>
      <c r="ER89" s="372" t="s">
        <v>850</v>
      </c>
      <c r="ES89" s="372" t="s">
        <v>850</v>
      </c>
      <c r="ET89" s="372" t="s">
        <v>850</v>
      </c>
      <c r="EU89" s="372" t="s">
        <v>850</v>
      </c>
      <c r="EV89" s="372" t="s">
        <v>850</v>
      </c>
      <c r="EW89" s="372" t="s">
        <v>850</v>
      </c>
      <c r="EX89" s="372" t="s">
        <v>850</v>
      </c>
      <c r="EY89" s="372" t="s">
        <v>850</v>
      </c>
      <c r="EZ89" s="372" t="s">
        <v>850</v>
      </c>
      <c r="FA89" s="372" t="s">
        <v>850</v>
      </c>
      <c r="FB89" s="372" t="s">
        <v>850</v>
      </c>
      <c r="FC89" s="372" t="s">
        <v>850</v>
      </c>
      <c r="FD89" s="372" t="s">
        <v>850</v>
      </c>
      <c r="FE89" s="372" t="s">
        <v>850</v>
      </c>
      <c r="FF89" s="372" t="s">
        <v>850</v>
      </c>
      <c r="FG89" s="372" t="s">
        <v>850</v>
      </c>
      <c r="FH89" s="372" t="s">
        <v>850</v>
      </c>
      <c r="FI89" s="372" t="s">
        <v>850</v>
      </c>
      <c r="FJ89" s="372" t="s">
        <v>850</v>
      </c>
      <c r="FK89" s="372" t="s">
        <v>850</v>
      </c>
      <c r="FL89" s="372" t="s">
        <v>850</v>
      </c>
      <c r="FM89" s="372" t="s">
        <v>850</v>
      </c>
      <c r="FN89" s="372" t="s">
        <v>850</v>
      </c>
      <c r="FO89" s="375" t="s">
        <v>850</v>
      </c>
      <c r="FP89" s="376" t="s">
        <v>1120</v>
      </c>
      <c r="FQ89" s="377" t="s">
        <v>522</v>
      </c>
      <c r="FR89" s="377" t="s">
        <v>850</v>
      </c>
      <c r="FS89" s="377" t="s">
        <v>592</v>
      </c>
      <c r="FT89" s="144">
        <f t="shared" si="2"/>
        <v>2</v>
      </c>
      <c r="FU89" s="371" t="s">
        <v>905</v>
      </c>
    </row>
    <row r="90" spans="1:177" s="371" customFormat="1" hidden="1">
      <c r="A90" s="368" t="s">
        <v>935</v>
      </c>
      <c r="B90" s="369" t="s">
        <v>517</v>
      </c>
      <c r="C90" s="369" t="s">
        <v>555</v>
      </c>
      <c r="D90" s="369" t="s">
        <v>3</v>
      </c>
      <c r="E90" s="370" t="s">
        <v>611</v>
      </c>
      <c r="F90" s="369" t="s">
        <v>520</v>
      </c>
      <c r="G90" s="369"/>
      <c r="H90" s="372"/>
      <c r="I90" s="372"/>
      <c r="J90" s="372"/>
      <c r="K90" s="372"/>
      <c r="L90" s="372"/>
      <c r="M90" s="372"/>
      <c r="N90" s="372"/>
      <c r="O90" s="372"/>
      <c r="P90" s="372"/>
      <c r="Q90" s="372"/>
      <c r="R90" s="372"/>
      <c r="S90" s="372"/>
      <c r="T90" s="372"/>
      <c r="U90" s="372"/>
      <c r="V90" s="372"/>
      <c r="W90" s="372"/>
      <c r="X90" s="372"/>
      <c r="Y90" s="372"/>
      <c r="Z90" s="372"/>
      <c r="AA90" s="372"/>
      <c r="AB90" s="372"/>
      <c r="AC90" s="372"/>
      <c r="AD90" s="372"/>
      <c r="AE90" s="372"/>
      <c r="AF90" s="372"/>
      <c r="AG90" s="372"/>
      <c r="AH90" s="372"/>
      <c r="AI90" s="372"/>
      <c r="AJ90" s="372"/>
      <c r="AK90" s="372"/>
      <c r="AL90" s="372"/>
      <c r="AM90" s="372"/>
      <c r="AN90" s="372"/>
      <c r="AO90" s="372"/>
      <c r="AP90" s="372"/>
      <c r="AQ90" s="372"/>
      <c r="AR90" s="372"/>
      <c r="AS90" s="372"/>
      <c r="AT90" s="372"/>
      <c r="AU90" s="372"/>
      <c r="AV90" s="372"/>
      <c r="AW90" s="372"/>
      <c r="AX90" s="372"/>
      <c r="AY90" s="372"/>
      <c r="AZ90" s="372"/>
      <c r="BA90" s="372"/>
      <c r="BB90" s="372"/>
      <c r="BC90" s="372"/>
      <c r="BD90" s="372"/>
      <c r="BE90" s="372"/>
      <c r="BF90" s="372"/>
      <c r="BG90" s="372"/>
      <c r="BH90" s="372"/>
      <c r="BI90" s="372"/>
      <c r="BJ90" s="372"/>
      <c r="BK90" s="372"/>
      <c r="BL90" s="372"/>
      <c r="BM90" s="372"/>
      <c r="BN90" s="372"/>
      <c r="BO90" s="372"/>
      <c r="BP90" s="372"/>
      <c r="BQ90" s="372"/>
      <c r="BR90" s="372"/>
      <c r="BS90" s="372"/>
      <c r="BT90" s="372"/>
      <c r="BU90" s="372"/>
      <c r="BV90" s="372"/>
      <c r="BW90" s="372"/>
      <c r="BX90" s="372"/>
      <c r="BY90" s="372"/>
      <c r="BZ90" s="372"/>
      <c r="CA90" s="372"/>
      <c r="CB90" s="372"/>
      <c r="CC90" s="372"/>
      <c r="CD90" s="372"/>
      <c r="CE90" s="372"/>
      <c r="CG90" s="372"/>
      <c r="CH90" s="372"/>
      <c r="CI90" s="372"/>
      <c r="CJ90" s="372"/>
      <c r="CK90" s="372"/>
      <c r="CL90" s="372"/>
      <c r="CM90" s="372"/>
      <c r="CN90" s="372"/>
      <c r="CO90" s="372"/>
      <c r="CP90" s="372"/>
      <c r="CQ90" s="372"/>
      <c r="CR90" s="372"/>
      <c r="CS90" s="372"/>
      <c r="CT90" s="372"/>
      <c r="CU90" s="372"/>
      <c r="CV90" s="372"/>
      <c r="CW90" s="372"/>
      <c r="CX90" s="372"/>
      <c r="CY90" s="372"/>
      <c r="CZ90" s="372"/>
      <c r="DA90" s="372"/>
      <c r="DB90" s="372"/>
      <c r="DC90" s="372"/>
      <c r="DD90" s="372"/>
      <c r="DE90" s="372"/>
      <c r="DF90" s="372"/>
      <c r="DG90" s="372"/>
      <c r="DH90" s="372"/>
      <c r="DI90" s="372"/>
      <c r="DJ90" s="372"/>
      <c r="DK90" s="372"/>
      <c r="DL90" s="372"/>
      <c r="DM90" s="372"/>
      <c r="DN90" s="372"/>
      <c r="DO90" s="372"/>
      <c r="DP90" s="372"/>
      <c r="DQ90" s="372"/>
      <c r="DR90" s="372"/>
      <c r="DS90" s="372"/>
      <c r="DT90" s="372"/>
      <c r="DU90" s="372"/>
      <c r="DV90" s="372"/>
      <c r="DW90" s="372"/>
      <c r="DX90" s="372"/>
      <c r="DY90" s="372"/>
      <c r="DZ90" s="372"/>
      <c r="EB90" s="372"/>
      <c r="ED90" s="372"/>
      <c r="EE90" s="372"/>
      <c r="EF90" s="372"/>
      <c r="EG90" s="372"/>
      <c r="EH90" s="372" t="s">
        <v>850</v>
      </c>
      <c r="EI90" s="372"/>
      <c r="EJ90" s="372"/>
      <c r="EK90" s="372"/>
      <c r="EL90" s="372"/>
      <c r="EM90" s="372"/>
      <c r="EN90" s="372"/>
      <c r="EO90" s="372"/>
      <c r="EP90" s="372"/>
      <c r="EQ90" s="372"/>
      <c r="ER90" s="372"/>
      <c r="ES90" s="372"/>
      <c r="ET90" s="372"/>
      <c r="EU90" s="372"/>
      <c r="EV90" s="372"/>
      <c r="EW90" s="372"/>
      <c r="EX90" s="372"/>
      <c r="EY90" s="372"/>
      <c r="EZ90" s="372"/>
      <c r="FA90" s="372"/>
      <c r="FB90" s="372"/>
      <c r="FC90" s="372"/>
      <c r="FD90" s="372"/>
      <c r="FE90" s="372"/>
      <c r="FF90" s="372"/>
      <c r="FG90" s="372"/>
      <c r="FH90" s="372"/>
      <c r="FI90" s="372"/>
      <c r="FJ90" s="372"/>
      <c r="FK90" s="372"/>
      <c r="FL90" s="372"/>
      <c r="FM90" s="372"/>
      <c r="FN90" s="372"/>
      <c r="FO90" s="375" t="s">
        <v>850</v>
      </c>
      <c r="FP90" s="376" t="s">
        <v>1120</v>
      </c>
      <c r="FQ90" s="377" t="s">
        <v>522</v>
      </c>
      <c r="FR90" s="377" t="s">
        <v>850</v>
      </c>
      <c r="FS90" s="377" t="s">
        <v>592</v>
      </c>
      <c r="FT90" s="144">
        <f t="shared" si="2"/>
        <v>0</v>
      </c>
      <c r="FU90" s="371" t="s">
        <v>905</v>
      </c>
    </row>
    <row r="91" spans="1:177" s="371" customFormat="1" hidden="1">
      <c r="A91" s="368" t="s">
        <v>935</v>
      </c>
      <c r="B91" s="369" t="s">
        <v>525</v>
      </c>
      <c r="C91" s="369" t="s">
        <v>555</v>
      </c>
      <c r="D91" s="369" t="s">
        <v>8</v>
      </c>
      <c r="E91" s="379" t="s">
        <v>611</v>
      </c>
      <c r="F91" s="369" t="s">
        <v>520</v>
      </c>
      <c r="G91" s="369" t="s">
        <v>1142</v>
      </c>
      <c r="BS91" s="372"/>
      <c r="DH91" s="372"/>
      <c r="DS91" s="372"/>
      <c r="EH91" s="372" t="s">
        <v>850</v>
      </c>
      <c r="FO91" s="375" t="s">
        <v>850</v>
      </c>
      <c r="FP91" s="376" t="s">
        <v>1120</v>
      </c>
      <c r="FQ91" s="377" t="s">
        <v>522</v>
      </c>
      <c r="FR91" s="377" t="s">
        <v>850</v>
      </c>
      <c r="FS91" s="377" t="s">
        <v>592</v>
      </c>
      <c r="FT91" s="144">
        <f t="shared" si="2"/>
        <v>0</v>
      </c>
      <c r="FU91" s="371" t="s">
        <v>905</v>
      </c>
    </row>
    <row r="92" spans="1:177" s="371" customFormat="1" hidden="1">
      <c r="A92" s="368" t="s">
        <v>935</v>
      </c>
      <c r="B92" s="369" t="s">
        <v>525</v>
      </c>
      <c r="C92" s="369" t="s">
        <v>555</v>
      </c>
      <c r="D92" s="369" t="s">
        <v>4</v>
      </c>
      <c r="E92" s="379" t="s">
        <v>611</v>
      </c>
      <c r="F92" s="369" t="s">
        <v>520</v>
      </c>
      <c r="G92" s="369" t="s">
        <v>1142</v>
      </c>
      <c r="H92" s="372" t="s">
        <v>850</v>
      </c>
      <c r="I92" s="372" t="s">
        <v>850</v>
      </c>
      <c r="J92" s="372" t="s">
        <v>850</v>
      </c>
      <c r="K92" s="372" t="s">
        <v>850</v>
      </c>
      <c r="L92" s="372" t="s">
        <v>850</v>
      </c>
      <c r="M92" s="372" t="s">
        <v>850</v>
      </c>
      <c r="N92" s="372" t="s">
        <v>850</v>
      </c>
      <c r="O92" s="372" t="s">
        <v>850</v>
      </c>
      <c r="P92" s="372" t="s">
        <v>850</v>
      </c>
      <c r="Q92" s="372" t="s">
        <v>850</v>
      </c>
      <c r="R92" s="372" t="s">
        <v>850</v>
      </c>
      <c r="S92" s="372" t="s">
        <v>850</v>
      </c>
      <c r="T92" s="372" t="s">
        <v>850</v>
      </c>
      <c r="U92" s="372" t="s">
        <v>850</v>
      </c>
      <c r="V92" s="372" t="s">
        <v>850</v>
      </c>
      <c r="W92" s="372" t="s">
        <v>850</v>
      </c>
      <c r="X92" s="372" t="s">
        <v>850</v>
      </c>
      <c r="Y92" s="372" t="s">
        <v>850</v>
      </c>
      <c r="Z92" s="372" t="s">
        <v>850</v>
      </c>
      <c r="AA92" s="372" t="s">
        <v>850</v>
      </c>
      <c r="AB92" s="372" t="s">
        <v>850</v>
      </c>
      <c r="AC92" s="372" t="s">
        <v>850</v>
      </c>
      <c r="AD92" s="372" t="s">
        <v>850</v>
      </c>
      <c r="AE92" s="372" t="s">
        <v>850</v>
      </c>
      <c r="AF92" s="372" t="s">
        <v>850</v>
      </c>
      <c r="AG92" s="372" t="s">
        <v>850</v>
      </c>
      <c r="AH92" s="372" t="s">
        <v>850</v>
      </c>
      <c r="AI92" s="372" t="s">
        <v>850</v>
      </c>
      <c r="AJ92" s="372" t="s">
        <v>850</v>
      </c>
      <c r="AK92" s="372" t="s">
        <v>850</v>
      </c>
      <c r="AL92" s="372" t="s">
        <v>850</v>
      </c>
      <c r="AM92" s="372" t="s">
        <v>850</v>
      </c>
      <c r="AN92" s="372" t="s">
        <v>850</v>
      </c>
      <c r="AO92" s="372" t="s">
        <v>850</v>
      </c>
      <c r="AP92" s="372" t="s">
        <v>850</v>
      </c>
      <c r="AQ92" s="372" t="s">
        <v>850</v>
      </c>
      <c r="AR92" s="372" t="s">
        <v>850</v>
      </c>
      <c r="AS92" s="372" t="s">
        <v>850</v>
      </c>
      <c r="AT92" s="372" t="s">
        <v>850</v>
      </c>
      <c r="AU92" s="372" t="s">
        <v>850</v>
      </c>
      <c r="AV92" s="372" t="s">
        <v>850</v>
      </c>
      <c r="AW92" s="372" t="s">
        <v>850</v>
      </c>
      <c r="AX92" s="372" t="s">
        <v>850</v>
      </c>
      <c r="AY92" s="372" t="s">
        <v>850</v>
      </c>
      <c r="AZ92" s="372" t="s">
        <v>850</v>
      </c>
      <c r="BA92" s="372" t="s">
        <v>850</v>
      </c>
      <c r="BB92" s="372" t="s">
        <v>850</v>
      </c>
      <c r="BC92" s="372" t="s">
        <v>850</v>
      </c>
      <c r="BD92" s="372" t="s">
        <v>850</v>
      </c>
      <c r="BE92" s="372" t="s">
        <v>850</v>
      </c>
      <c r="BF92" s="372" t="s">
        <v>850</v>
      </c>
      <c r="BG92" s="372" t="s">
        <v>850</v>
      </c>
      <c r="BH92" s="372" t="s">
        <v>850</v>
      </c>
      <c r="BI92" s="372" t="s">
        <v>850</v>
      </c>
      <c r="BJ92" s="372" t="s">
        <v>850</v>
      </c>
      <c r="BK92" s="372" t="s">
        <v>850</v>
      </c>
      <c r="BL92" s="372" t="s">
        <v>850</v>
      </c>
      <c r="BM92" s="372" t="s">
        <v>850</v>
      </c>
      <c r="BN92" s="372" t="s">
        <v>850</v>
      </c>
      <c r="BO92" s="372" t="s">
        <v>850</v>
      </c>
      <c r="BP92" s="372" t="s">
        <v>850</v>
      </c>
      <c r="BQ92" s="372" t="s">
        <v>850</v>
      </c>
      <c r="BR92" s="372" t="s">
        <v>850</v>
      </c>
      <c r="BS92" s="372"/>
      <c r="BT92" s="372" t="s">
        <v>850</v>
      </c>
      <c r="BU92" s="372" t="s">
        <v>850</v>
      </c>
      <c r="BV92" s="372" t="s">
        <v>850</v>
      </c>
      <c r="BW92" s="372" t="s">
        <v>850</v>
      </c>
      <c r="BX92" s="372" t="s">
        <v>850</v>
      </c>
      <c r="BY92" s="372" t="s">
        <v>850</v>
      </c>
      <c r="BZ92" s="372" t="s">
        <v>850</v>
      </c>
      <c r="CA92" s="372" t="s">
        <v>850</v>
      </c>
      <c r="CB92" s="372" t="s">
        <v>850</v>
      </c>
      <c r="CC92" s="372" t="s">
        <v>850</v>
      </c>
      <c r="CD92" s="372" t="s">
        <v>850</v>
      </c>
      <c r="CE92" s="372" t="s">
        <v>850</v>
      </c>
      <c r="CG92" s="372" t="s">
        <v>850</v>
      </c>
      <c r="CH92" s="372" t="s">
        <v>850</v>
      </c>
      <c r="CI92" s="372" t="s">
        <v>850</v>
      </c>
      <c r="CJ92" s="372" t="s">
        <v>850</v>
      </c>
      <c r="CK92" s="372" t="s">
        <v>850</v>
      </c>
      <c r="CL92" s="372" t="s">
        <v>850</v>
      </c>
      <c r="CM92" s="372" t="s">
        <v>850</v>
      </c>
      <c r="CN92" s="372" t="s">
        <v>850</v>
      </c>
      <c r="CO92" s="372" t="s">
        <v>850</v>
      </c>
      <c r="CP92" s="372" t="s">
        <v>850</v>
      </c>
      <c r="CQ92" s="372" t="s">
        <v>850</v>
      </c>
      <c r="CR92" s="372" t="s">
        <v>850</v>
      </c>
      <c r="CS92" s="372" t="s">
        <v>850</v>
      </c>
      <c r="CT92" s="372" t="s">
        <v>850</v>
      </c>
      <c r="CU92" s="372" t="s">
        <v>850</v>
      </c>
      <c r="CV92" s="372" t="s">
        <v>850</v>
      </c>
      <c r="CW92" s="372" t="s">
        <v>850</v>
      </c>
      <c r="CX92" s="372" t="s">
        <v>850</v>
      </c>
      <c r="CY92" s="372" t="s">
        <v>850</v>
      </c>
      <c r="CZ92" s="372" t="s">
        <v>850</v>
      </c>
      <c r="DA92" s="372" t="s">
        <v>850</v>
      </c>
      <c r="DB92" s="372" t="s">
        <v>850</v>
      </c>
      <c r="DC92" s="372" t="s">
        <v>850</v>
      </c>
      <c r="DD92" s="372" t="s">
        <v>850</v>
      </c>
      <c r="DE92" s="372" t="s">
        <v>850</v>
      </c>
      <c r="DF92" s="372" t="s">
        <v>850</v>
      </c>
      <c r="DG92" s="372" t="s">
        <v>850</v>
      </c>
      <c r="DH92" s="372"/>
      <c r="DI92" s="372" t="s">
        <v>850</v>
      </c>
      <c r="DJ92" s="372" t="s">
        <v>850</v>
      </c>
      <c r="DK92" s="373">
        <f>40-40</f>
        <v>0</v>
      </c>
      <c r="DL92" s="372" t="s">
        <v>850</v>
      </c>
      <c r="DM92" s="372" t="s">
        <v>850</v>
      </c>
      <c r="DN92" s="372" t="s">
        <v>850</v>
      </c>
      <c r="DO92" s="372" t="s">
        <v>850</v>
      </c>
      <c r="DP92" s="372" t="s">
        <v>850</v>
      </c>
      <c r="DQ92" s="372" t="s">
        <v>850</v>
      </c>
      <c r="DR92" s="372" t="s">
        <v>850</v>
      </c>
      <c r="DS92" s="372"/>
      <c r="DT92" s="372" t="s">
        <v>850</v>
      </c>
      <c r="DU92" s="372" t="s">
        <v>850</v>
      </c>
      <c r="DV92" s="372" t="s">
        <v>850</v>
      </c>
      <c r="DW92" s="373">
        <f>20-20</f>
        <v>0</v>
      </c>
      <c r="DX92" s="372" t="s">
        <v>850</v>
      </c>
      <c r="DY92" s="372" t="s">
        <v>850</v>
      </c>
      <c r="DZ92" s="372" t="s">
        <v>850</v>
      </c>
      <c r="EB92" s="373">
        <f>40-40</f>
        <v>0</v>
      </c>
      <c r="ED92" s="373">
        <f>20-20</f>
        <v>0</v>
      </c>
      <c r="EE92" s="372" t="s">
        <v>850</v>
      </c>
      <c r="EF92" s="372" t="s">
        <v>850</v>
      </c>
      <c r="EG92" s="372" t="s">
        <v>850</v>
      </c>
      <c r="EH92" s="372" t="s">
        <v>850</v>
      </c>
      <c r="EI92" s="372" t="s">
        <v>850</v>
      </c>
      <c r="EJ92" s="372" t="s">
        <v>850</v>
      </c>
      <c r="EK92" s="372" t="s">
        <v>850</v>
      </c>
      <c r="EL92" s="372" t="s">
        <v>850</v>
      </c>
      <c r="EM92" s="372" t="s">
        <v>850</v>
      </c>
      <c r="EN92" s="372" t="s">
        <v>850</v>
      </c>
      <c r="EO92" s="372" t="s">
        <v>850</v>
      </c>
      <c r="EP92" s="372" t="s">
        <v>850</v>
      </c>
      <c r="EQ92" s="373">
        <f>40-40</f>
        <v>0</v>
      </c>
      <c r="ER92" s="372" t="s">
        <v>850</v>
      </c>
      <c r="ES92" s="372" t="s">
        <v>850</v>
      </c>
      <c r="ET92" s="372" t="s">
        <v>850</v>
      </c>
      <c r="EU92" s="373">
        <f>100-100</f>
        <v>0</v>
      </c>
      <c r="EV92" s="372" t="s">
        <v>850</v>
      </c>
      <c r="EW92" s="372" t="s">
        <v>850</v>
      </c>
      <c r="EX92" s="372" t="s">
        <v>850</v>
      </c>
      <c r="EY92" s="372" t="s">
        <v>850</v>
      </c>
      <c r="EZ92" s="372" t="s">
        <v>850</v>
      </c>
      <c r="FA92" s="372" t="s">
        <v>850</v>
      </c>
      <c r="FB92" s="372" t="s">
        <v>850</v>
      </c>
      <c r="FC92" s="372" t="s">
        <v>850</v>
      </c>
      <c r="FD92" s="372" t="s">
        <v>850</v>
      </c>
      <c r="FE92" s="373">
        <f>300-300</f>
        <v>0</v>
      </c>
      <c r="FF92" s="372" t="s">
        <v>850</v>
      </c>
      <c r="FG92" s="372" t="s">
        <v>850</v>
      </c>
      <c r="FH92" s="372" t="s">
        <v>850</v>
      </c>
      <c r="FI92" s="372" t="s">
        <v>850</v>
      </c>
      <c r="FJ92" s="372" t="s">
        <v>850</v>
      </c>
      <c r="FK92" s="372" t="s">
        <v>850</v>
      </c>
      <c r="FL92" s="372" t="s">
        <v>850</v>
      </c>
      <c r="FM92" s="372" t="s">
        <v>850</v>
      </c>
      <c r="FN92" s="372" t="s">
        <v>850</v>
      </c>
      <c r="FO92" s="375" t="s">
        <v>850</v>
      </c>
      <c r="FP92" s="376" t="s">
        <v>1120</v>
      </c>
      <c r="FQ92" s="377" t="s">
        <v>522</v>
      </c>
      <c r="FR92" s="377" t="s">
        <v>850</v>
      </c>
      <c r="FS92" s="377" t="s">
        <v>592</v>
      </c>
      <c r="FT92" s="144">
        <f t="shared" si="2"/>
        <v>0</v>
      </c>
      <c r="FU92" s="371" t="s">
        <v>905</v>
      </c>
    </row>
    <row r="93" spans="1:177" s="371" customFormat="1" hidden="1">
      <c r="A93" s="368" t="s">
        <v>935</v>
      </c>
      <c r="B93" s="369" t="s">
        <v>525</v>
      </c>
      <c r="C93" s="369" t="s">
        <v>555</v>
      </c>
      <c r="D93" s="369" t="s">
        <v>3</v>
      </c>
      <c r="E93" s="379" t="s">
        <v>611</v>
      </c>
      <c r="F93" s="369" t="s">
        <v>520</v>
      </c>
      <c r="G93" s="369"/>
      <c r="H93" s="372"/>
      <c r="I93" s="372"/>
      <c r="J93" s="372"/>
      <c r="K93" s="372"/>
      <c r="L93" s="372"/>
      <c r="M93" s="372"/>
      <c r="N93" s="372"/>
      <c r="O93" s="372"/>
      <c r="P93" s="372"/>
      <c r="Q93" s="372"/>
      <c r="R93" s="372"/>
      <c r="S93" s="372"/>
      <c r="T93" s="372"/>
      <c r="U93" s="372"/>
      <c r="V93" s="372"/>
      <c r="W93" s="372"/>
      <c r="X93" s="372"/>
      <c r="Y93" s="372"/>
      <c r="Z93" s="372"/>
      <c r="AA93" s="372"/>
      <c r="AB93" s="372"/>
      <c r="AC93" s="372"/>
      <c r="AD93" s="372"/>
      <c r="AE93" s="372"/>
      <c r="AF93" s="372"/>
      <c r="AG93" s="372"/>
      <c r="AH93" s="372"/>
      <c r="AI93" s="372"/>
      <c r="AJ93" s="372"/>
      <c r="AK93" s="372"/>
      <c r="AL93" s="372"/>
      <c r="AM93" s="372"/>
      <c r="AN93" s="372"/>
      <c r="AO93" s="372"/>
      <c r="AP93" s="372"/>
      <c r="AQ93" s="372"/>
      <c r="AR93" s="372"/>
      <c r="AS93" s="372"/>
      <c r="AT93" s="372"/>
      <c r="AU93" s="372"/>
      <c r="AV93" s="372"/>
      <c r="AW93" s="372"/>
      <c r="AX93" s="372"/>
      <c r="AY93" s="372"/>
      <c r="AZ93" s="372"/>
      <c r="BA93" s="372"/>
      <c r="BB93" s="372"/>
      <c r="BC93" s="372"/>
      <c r="BD93" s="372"/>
      <c r="BE93" s="372"/>
      <c r="BF93" s="372"/>
      <c r="BG93" s="372"/>
      <c r="BH93" s="372"/>
      <c r="BI93" s="372"/>
      <c r="BJ93" s="372"/>
      <c r="BK93" s="372"/>
      <c r="BL93" s="372"/>
      <c r="BM93" s="372"/>
      <c r="BN93" s="372"/>
      <c r="BO93" s="372"/>
      <c r="BP93" s="372"/>
      <c r="BQ93" s="372"/>
      <c r="BR93" s="372"/>
      <c r="BS93" s="372"/>
      <c r="BT93" s="372"/>
      <c r="BU93" s="372"/>
      <c r="BV93" s="372"/>
      <c r="BW93" s="372"/>
      <c r="BX93" s="372"/>
      <c r="BY93" s="372"/>
      <c r="BZ93" s="372"/>
      <c r="CA93" s="372"/>
      <c r="CB93" s="372"/>
      <c r="CC93" s="372"/>
      <c r="CD93" s="372"/>
      <c r="CE93" s="372"/>
      <c r="CG93" s="372"/>
      <c r="CH93" s="372"/>
      <c r="CI93" s="372"/>
      <c r="CJ93" s="372"/>
      <c r="CK93" s="372"/>
      <c r="CL93" s="372"/>
      <c r="CM93" s="372"/>
      <c r="CN93" s="372"/>
      <c r="CO93" s="372"/>
      <c r="CP93" s="372"/>
      <c r="CQ93" s="372"/>
      <c r="CR93" s="372"/>
      <c r="CS93" s="372"/>
      <c r="CT93" s="372"/>
      <c r="CU93" s="372"/>
      <c r="CV93" s="372"/>
      <c r="CW93" s="372"/>
      <c r="CX93" s="372"/>
      <c r="CY93" s="372"/>
      <c r="CZ93" s="372"/>
      <c r="DA93" s="372"/>
      <c r="DB93" s="372"/>
      <c r="DC93" s="372"/>
      <c r="DD93" s="372"/>
      <c r="DE93" s="372"/>
      <c r="DF93" s="372"/>
      <c r="DG93" s="372"/>
      <c r="DH93" s="372"/>
      <c r="DI93" s="372"/>
      <c r="DJ93" s="372"/>
      <c r="DK93" s="372"/>
      <c r="DL93" s="372"/>
      <c r="DM93" s="372"/>
      <c r="DN93" s="372"/>
      <c r="DO93" s="372"/>
      <c r="DP93" s="372"/>
      <c r="DQ93" s="372"/>
      <c r="DR93" s="372"/>
      <c r="DS93" s="372"/>
      <c r="DT93" s="372"/>
      <c r="DU93" s="372"/>
      <c r="DV93" s="372"/>
      <c r="DW93" s="372"/>
      <c r="DX93" s="372"/>
      <c r="DY93" s="372"/>
      <c r="DZ93" s="372"/>
      <c r="EB93" s="372"/>
      <c r="ED93" s="372"/>
      <c r="EE93" s="372"/>
      <c r="EF93" s="372"/>
      <c r="EG93" s="372"/>
      <c r="EH93" s="372" t="s">
        <v>850</v>
      </c>
      <c r="EI93" s="372"/>
      <c r="EJ93" s="372"/>
      <c r="EK93" s="372"/>
      <c r="EL93" s="372"/>
      <c r="EM93" s="372"/>
      <c r="EN93" s="372"/>
      <c r="EO93" s="372"/>
      <c r="EP93" s="372"/>
      <c r="EQ93" s="372"/>
      <c r="ER93" s="372"/>
      <c r="ES93" s="372"/>
      <c r="ET93" s="372"/>
      <c r="EU93" s="372"/>
      <c r="EV93" s="372"/>
      <c r="EW93" s="372"/>
      <c r="EX93" s="372"/>
      <c r="EY93" s="372"/>
      <c r="EZ93" s="372"/>
      <c r="FA93" s="372"/>
      <c r="FB93" s="372"/>
      <c r="FC93" s="372"/>
      <c r="FD93" s="372"/>
      <c r="FE93" s="372"/>
      <c r="FF93" s="372"/>
      <c r="FG93" s="372"/>
      <c r="FH93" s="372"/>
      <c r="FI93" s="372"/>
      <c r="FJ93" s="372"/>
      <c r="FK93" s="372"/>
      <c r="FL93" s="372"/>
      <c r="FM93" s="372"/>
      <c r="FN93" s="372"/>
      <c r="FO93" s="375" t="s">
        <v>850</v>
      </c>
      <c r="FP93" s="376" t="s">
        <v>1120</v>
      </c>
      <c r="FQ93" s="377" t="s">
        <v>522</v>
      </c>
      <c r="FR93" s="377" t="s">
        <v>850</v>
      </c>
      <c r="FS93" s="377" t="s">
        <v>592</v>
      </c>
      <c r="FT93" s="144">
        <f t="shared" si="2"/>
        <v>0</v>
      </c>
      <c r="FU93" s="371" t="s">
        <v>905</v>
      </c>
    </row>
    <row r="94" spans="1:177" s="371" customFormat="1">
      <c r="A94" s="368"/>
      <c r="B94" s="369"/>
      <c r="C94" s="369" t="s">
        <v>555</v>
      </c>
      <c r="D94" s="369" t="s">
        <v>8</v>
      </c>
      <c r="E94" s="422" t="s">
        <v>845</v>
      </c>
      <c r="F94" s="369"/>
      <c r="G94" s="369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AU94" s="372"/>
      <c r="AZ94" s="372"/>
      <c r="BA94" s="372"/>
      <c r="BB94" s="372"/>
      <c r="BC94" s="372"/>
      <c r="BI94" s="372"/>
      <c r="BJ94" s="372"/>
      <c r="BY94" s="372"/>
      <c r="BZ94" s="372"/>
      <c r="CA94" s="372"/>
      <c r="CB94" s="372"/>
      <c r="CI94" s="372"/>
      <c r="CJ94" s="372"/>
      <c r="CK94" s="372"/>
      <c r="CL94" s="372"/>
      <c r="CM94" s="372"/>
      <c r="CN94" s="372"/>
      <c r="CO94" s="372"/>
      <c r="CP94" s="372"/>
      <c r="CQ94" s="372"/>
      <c r="CR94" s="372"/>
      <c r="CS94" s="372"/>
      <c r="DA94" s="372"/>
      <c r="DB94" s="372"/>
      <c r="DC94" s="372"/>
      <c r="DD94" s="372"/>
      <c r="DQ94" s="372"/>
      <c r="DR94" s="372"/>
      <c r="DX94" s="372"/>
      <c r="DY94" s="372"/>
      <c r="DZ94" s="372"/>
      <c r="EA94" s="372"/>
      <c r="EB94" s="416">
        <v>40</v>
      </c>
      <c r="EC94" s="372"/>
      <c r="ED94" s="372"/>
      <c r="EE94" s="372"/>
      <c r="EF94" s="372"/>
      <c r="EH94" s="418">
        <v>20</v>
      </c>
      <c r="EN94" s="372"/>
      <c r="EO94" s="372"/>
      <c r="EP94" s="372"/>
      <c r="EQ94" s="372"/>
      <c r="ER94" s="416">
        <v>20</v>
      </c>
      <c r="ES94" s="372"/>
      <c r="ET94" s="372"/>
      <c r="EU94" s="372"/>
      <c r="EV94" s="372"/>
      <c r="EW94" s="372"/>
      <c r="EX94" s="372"/>
      <c r="EY94" s="372"/>
      <c r="EZ94" s="372"/>
      <c r="FA94" s="372"/>
      <c r="FB94" s="372"/>
      <c r="FC94" s="372"/>
      <c r="FD94" s="372"/>
      <c r="FE94" s="372"/>
      <c r="FF94" s="372"/>
      <c r="FG94" s="372"/>
      <c r="FH94" s="372"/>
      <c r="FI94" s="372"/>
      <c r="FJ94" s="372"/>
      <c r="FK94" s="372"/>
      <c r="FL94" s="372"/>
      <c r="FM94" s="372"/>
      <c r="FN94" s="372"/>
      <c r="FO94" s="375"/>
      <c r="FP94" s="376"/>
      <c r="FQ94" s="377"/>
      <c r="FR94" s="377"/>
      <c r="FS94" s="377" t="s">
        <v>579</v>
      </c>
      <c r="FT94" s="144">
        <f t="shared" ref="FT94:FT95" si="3">SUM(H94:FN94)</f>
        <v>80</v>
      </c>
      <c r="FU94" s="371" t="s">
        <v>911</v>
      </c>
    </row>
    <row r="95" spans="1:177" s="371" customFormat="1">
      <c r="A95" s="368"/>
      <c r="B95" s="369"/>
      <c r="C95" s="369" t="s">
        <v>555</v>
      </c>
      <c r="D95" s="369" t="s">
        <v>4</v>
      </c>
      <c r="E95" s="422" t="s">
        <v>845</v>
      </c>
      <c r="F95" s="369"/>
      <c r="G95" s="369"/>
      <c r="H95" s="372"/>
      <c r="I95" s="416">
        <v>5</v>
      </c>
      <c r="J95" s="372"/>
      <c r="K95" s="416">
        <v>5</v>
      </c>
      <c r="L95" s="372"/>
      <c r="M95" s="372"/>
      <c r="N95" s="372"/>
      <c r="O95" s="416">
        <v>5</v>
      </c>
      <c r="P95" s="372"/>
      <c r="Q95" s="372"/>
      <c r="R95" s="416">
        <v>5</v>
      </c>
      <c r="S95" s="372"/>
      <c r="T95" s="372"/>
      <c r="U95" s="372"/>
      <c r="V95" s="372"/>
      <c r="AU95" s="416">
        <v>3</v>
      </c>
      <c r="AV95" s="416">
        <v>5</v>
      </c>
      <c r="AX95" s="418">
        <v>2</v>
      </c>
      <c r="AZ95" s="372"/>
      <c r="BA95" s="372"/>
      <c r="BB95" s="372"/>
      <c r="BC95" s="372"/>
      <c r="BG95" s="418">
        <v>1</v>
      </c>
      <c r="BI95" s="372"/>
      <c r="BJ95" s="372"/>
      <c r="BU95" s="418">
        <v>10</v>
      </c>
      <c r="BV95" s="418">
        <v>2</v>
      </c>
      <c r="BY95" s="372"/>
      <c r="BZ95" s="372"/>
      <c r="CA95" s="372"/>
      <c r="CB95" s="372"/>
      <c r="CE95" s="418">
        <v>5</v>
      </c>
      <c r="CG95" s="418">
        <v>10</v>
      </c>
      <c r="CH95" s="418">
        <v>5</v>
      </c>
      <c r="CI95" s="372"/>
      <c r="CJ95" s="372"/>
      <c r="CK95" s="372"/>
      <c r="CL95" s="372"/>
      <c r="CM95" s="418">
        <v>10</v>
      </c>
      <c r="CN95" s="418">
        <v>20</v>
      </c>
      <c r="CO95" s="418">
        <v>10</v>
      </c>
      <c r="CP95" s="418">
        <v>10</v>
      </c>
      <c r="CQ95" s="372"/>
      <c r="CR95" s="372"/>
      <c r="CS95" s="372"/>
      <c r="CX95" s="418">
        <v>20</v>
      </c>
      <c r="DA95" s="372"/>
      <c r="DB95" s="372"/>
      <c r="DC95" s="372"/>
      <c r="DD95" s="372"/>
      <c r="DQ95" s="416">
        <v>20</v>
      </c>
      <c r="DR95" s="372"/>
      <c r="DX95" s="372"/>
      <c r="DY95" s="372"/>
      <c r="DZ95" s="416">
        <v>20</v>
      </c>
      <c r="EA95" s="372"/>
      <c r="EB95" s="372"/>
      <c r="EC95" s="372"/>
      <c r="ED95" s="372"/>
      <c r="EE95" s="372"/>
      <c r="EF95" s="372"/>
      <c r="EK95" s="418">
        <v>20</v>
      </c>
      <c r="EN95" s="372"/>
      <c r="EO95" s="372"/>
      <c r="EP95" s="372"/>
      <c r="EQ95" s="372"/>
      <c r="ER95" s="372"/>
      <c r="ES95" s="372"/>
      <c r="ET95" s="372"/>
      <c r="EU95" s="372"/>
      <c r="EV95" s="372"/>
      <c r="EW95" s="372"/>
      <c r="EX95" s="372"/>
      <c r="EY95" s="372"/>
      <c r="EZ95" s="372"/>
      <c r="FA95" s="372"/>
      <c r="FB95" s="372"/>
      <c r="FC95" s="372"/>
      <c r="FD95" s="372"/>
      <c r="FE95" s="372"/>
      <c r="FF95" s="372"/>
      <c r="FG95" s="372"/>
      <c r="FH95" s="372"/>
      <c r="FI95" s="372"/>
      <c r="FJ95" s="372"/>
      <c r="FK95" s="372"/>
      <c r="FL95" s="372"/>
      <c r="FM95" s="372"/>
      <c r="FN95" s="372"/>
      <c r="FO95" s="375"/>
      <c r="FP95" s="376"/>
      <c r="FQ95" s="377"/>
      <c r="FR95" s="377"/>
      <c r="FS95" s="377" t="s">
        <v>579</v>
      </c>
      <c r="FT95" s="144">
        <f t="shared" si="3"/>
        <v>193</v>
      </c>
      <c r="FU95" s="371" t="s">
        <v>911</v>
      </c>
    </row>
    <row r="96" spans="1:177" s="371" customFormat="1">
      <c r="A96" s="368" t="s">
        <v>526</v>
      </c>
      <c r="B96" s="369" t="s">
        <v>517</v>
      </c>
      <c r="C96" s="369" t="s">
        <v>555</v>
      </c>
      <c r="D96" s="369" t="s">
        <v>8</v>
      </c>
      <c r="E96" s="370" t="s">
        <v>1143</v>
      </c>
      <c r="F96" s="369" t="s">
        <v>520</v>
      </c>
      <c r="G96" s="369"/>
      <c r="BS96" s="372"/>
      <c r="DH96" s="372"/>
      <c r="DS96" s="461">
        <v>5</v>
      </c>
      <c r="EH96" s="372"/>
      <c r="FO96" s="375" t="s">
        <v>850</v>
      </c>
      <c r="FP96" s="376" t="s">
        <v>1120</v>
      </c>
      <c r="FQ96" s="377" t="s">
        <v>522</v>
      </c>
      <c r="FR96" s="377" t="s">
        <v>850</v>
      </c>
      <c r="FS96" s="377" t="s">
        <v>562</v>
      </c>
      <c r="FT96" s="144">
        <f t="shared" ref="FT96:FT104" si="4">SUM(H96:FN96)</f>
        <v>5</v>
      </c>
      <c r="FU96" s="371" t="s">
        <v>906</v>
      </c>
    </row>
    <row r="97" spans="1:177" s="371" customFormat="1">
      <c r="A97" s="368" t="s">
        <v>526</v>
      </c>
      <c r="B97" s="369" t="s">
        <v>517</v>
      </c>
      <c r="C97" s="369" t="s">
        <v>555</v>
      </c>
      <c r="D97" s="369" t="s">
        <v>4</v>
      </c>
      <c r="E97" s="370" t="s">
        <v>1143</v>
      </c>
      <c r="F97" s="369" t="s">
        <v>520</v>
      </c>
      <c r="G97" s="369"/>
      <c r="H97" s="372"/>
      <c r="I97" s="372"/>
      <c r="J97" s="372"/>
      <c r="K97" s="372"/>
      <c r="L97" s="372"/>
      <c r="M97" s="372"/>
      <c r="N97" s="372"/>
      <c r="O97" s="372"/>
      <c r="P97" s="372"/>
      <c r="Q97" s="372"/>
      <c r="R97" s="372"/>
      <c r="S97" s="372"/>
      <c r="T97" s="372" t="s">
        <v>850</v>
      </c>
      <c r="U97" s="372"/>
      <c r="V97" s="372"/>
      <c r="W97" s="372" t="s">
        <v>850</v>
      </c>
      <c r="X97" s="372"/>
      <c r="Y97" s="372" t="s">
        <v>850</v>
      </c>
      <c r="Z97" s="373">
        <f>200-200</f>
        <v>0</v>
      </c>
      <c r="AA97" s="372" t="s">
        <v>850</v>
      </c>
      <c r="AB97" s="372" t="s">
        <v>850</v>
      </c>
      <c r="AC97" s="372" t="s">
        <v>850</v>
      </c>
      <c r="AD97" s="372" t="s">
        <v>850</v>
      </c>
      <c r="AE97" s="372" t="s">
        <v>850</v>
      </c>
      <c r="AF97" s="372" t="s">
        <v>850</v>
      </c>
      <c r="AG97" s="372" t="s">
        <v>850</v>
      </c>
      <c r="AH97" s="372" t="s">
        <v>850</v>
      </c>
      <c r="AI97" s="372" t="s">
        <v>850</v>
      </c>
      <c r="AJ97" s="372" t="s">
        <v>850</v>
      </c>
      <c r="AK97" s="372" t="s">
        <v>850</v>
      </c>
      <c r="AL97" s="372" t="s">
        <v>850</v>
      </c>
      <c r="AM97" s="372" t="s">
        <v>850</v>
      </c>
      <c r="AN97" s="372"/>
      <c r="AO97" s="372" t="s">
        <v>850</v>
      </c>
      <c r="AP97" s="372" t="s">
        <v>850</v>
      </c>
      <c r="AQ97" s="372" t="s">
        <v>850</v>
      </c>
      <c r="AR97" s="372"/>
      <c r="AS97" s="373">
        <f>5-5+1</f>
        <v>1</v>
      </c>
      <c r="AT97" s="372" t="s">
        <v>850</v>
      </c>
      <c r="AU97" s="373">
        <f>10-10+1</f>
        <v>1</v>
      </c>
      <c r="AV97" s="372"/>
      <c r="AW97" s="373">
        <f>10-10</f>
        <v>0</v>
      </c>
      <c r="AX97" s="372"/>
      <c r="AY97" s="372"/>
      <c r="AZ97" s="372" t="s">
        <v>850</v>
      </c>
      <c r="BA97" s="372" t="s">
        <v>850</v>
      </c>
      <c r="BB97" s="372" t="s">
        <v>850</v>
      </c>
      <c r="BC97" s="372"/>
      <c r="BD97" s="372"/>
      <c r="BE97" s="372" t="s">
        <v>850</v>
      </c>
      <c r="BF97" s="372" t="s">
        <v>850</v>
      </c>
      <c r="BG97" s="373">
        <f>40-40+2</f>
        <v>2</v>
      </c>
      <c r="BH97" s="372" t="s">
        <v>850</v>
      </c>
      <c r="BI97" s="373">
        <f>40-40</f>
        <v>0</v>
      </c>
      <c r="BJ97" s="372"/>
      <c r="BK97" s="372"/>
      <c r="BL97" s="372" t="s">
        <v>850</v>
      </c>
      <c r="BM97" s="372" t="s">
        <v>850</v>
      </c>
      <c r="BN97" s="372" t="s">
        <v>850</v>
      </c>
      <c r="BO97" s="372" t="s">
        <v>850</v>
      </c>
      <c r="BP97" s="372"/>
      <c r="BQ97" s="373">
        <f>40-40</f>
        <v>0</v>
      </c>
      <c r="BR97" s="372" t="s">
        <v>850</v>
      </c>
      <c r="BS97" s="372"/>
      <c r="BT97" s="372"/>
      <c r="BU97" s="373">
        <f>40-40+5</f>
        <v>5</v>
      </c>
      <c r="BV97" s="372"/>
      <c r="BW97" s="372" t="s">
        <v>850</v>
      </c>
      <c r="BX97" s="372" t="s">
        <v>850</v>
      </c>
      <c r="BY97" s="372"/>
      <c r="BZ97" s="372"/>
      <c r="CA97" s="373">
        <f>60-60+2</f>
        <v>2</v>
      </c>
      <c r="CB97" s="372" t="s">
        <v>850</v>
      </c>
      <c r="CC97" s="373">
        <f>60-60</f>
        <v>0</v>
      </c>
      <c r="CD97" s="372" t="s">
        <v>850</v>
      </c>
      <c r="CE97" s="372"/>
      <c r="CG97" s="373">
        <f>60-60+10</f>
        <v>10</v>
      </c>
      <c r="CH97" s="372"/>
      <c r="CI97" s="373">
        <f>60-60</f>
        <v>0</v>
      </c>
      <c r="CJ97" s="372" t="s">
        <v>850</v>
      </c>
      <c r="CK97" s="372" t="s">
        <v>850</v>
      </c>
      <c r="CL97" s="372"/>
      <c r="CM97" s="372"/>
      <c r="CN97" s="372"/>
      <c r="CO97" s="372"/>
      <c r="CP97" s="372"/>
      <c r="CQ97" s="372" t="s">
        <v>850</v>
      </c>
      <c r="CR97" s="372" t="s">
        <v>850</v>
      </c>
      <c r="CS97" s="373">
        <f>100-100</f>
        <v>0</v>
      </c>
      <c r="CT97" s="372" t="s">
        <v>850</v>
      </c>
      <c r="CU97" s="372"/>
      <c r="CV97" s="372" t="s">
        <v>850</v>
      </c>
      <c r="CW97" s="372"/>
      <c r="CX97" s="373">
        <f>100-100+5</f>
        <v>5</v>
      </c>
      <c r="CY97" s="372"/>
      <c r="CZ97" s="373">
        <f>100-100</f>
        <v>0</v>
      </c>
      <c r="DA97" s="372"/>
      <c r="DB97" s="372"/>
      <c r="DC97" s="372"/>
      <c r="DD97" s="372"/>
      <c r="DE97" s="372" t="s">
        <v>850</v>
      </c>
      <c r="DF97" s="372" t="s">
        <v>850</v>
      </c>
      <c r="DG97" s="418">
        <v>300</v>
      </c>
      <c r="DH97" s="372"/>
      <c r="DI97" s="372" t="s">
        <v>850</v>
      </c>
      <c r="DJ97" s="372" t="s">
        <v>850</v>
      </c>
      <c r="DK97" s="372"/>
      <c r="DL97" s="372" t="s">
        <v>850</v>
      </c>
      <c r="DM97" s="373">
        <f>100-100+10</f>
        <v>10</v>
      </c>
      <c r="DN97" s="372" t="s">
        <v>850</v>
      </c>
      <c r="DO97" s="373">
        <f>200-200</f>
        <v>0</v>
      </c>
      <c r="DP97" s="373">
        <f>200-200</f>
        <v>0</v>
      </c>
      <c r="DQ97" s="373">
        <f>200-200+20</f>
        <v>20</v>
      </c>
      <c r="DR97" s="372"/>
      <c r="DS97" s="461">
        <v>50</v>
      </c>
      <c r="DT97" s="372" t="s">
        <v>850</v>
      </c>
      <c r="DU97" s="372" t="s">
        <v>850</v>
      </c>
      <c r="DV97" s="373">
        <f>500-500</f>
        <v>0</v>
      </c>
      <c r="DW97" s="373">
        <f>500-500</f>
        <v>0</v>
      </c>
      <c r="DX97" s="372" t="s">
        <v>850</v>
      </c>
      <c r="DY97" s="372" t="s">
        <v>850</v>
      </c>
      <c r="DZ97" s="372"/>
      <c r="EB97" s="372"/>
      <c r="ED97" s="372" t="s">
        <v>850</v>
      </c>
      <c r="EE97" s="372" t="s">
        <v>850</v>
      </c>
      <c r="EF97" s="372" t="s">
        <v>850</v>
      </c>
      <c r="EG97" s="372" t="s">
        <v>850</v>
      </c>
      <c r="EH97" s="372"/>
      <c r="EI97" s="372" t="s">
        <v>850</v>
      </c>
      <c r="EJ97" s="372" t="s">
        <v>850</v>
      </c>
      <c r="EK97" s="372"/>
      <c r="EL97" s="372"/>
      <c r="EM97" s="372" t="s">
        <v>850</v>
      </c>
      <c r="EN97" s="372" t="s">
        <v>850</v>
      </c>
      <c r="EO97" s="372" t="s">
        <v>850</v>
      </c>
      <c r="EP97" s="372" t="s">
        <v>850</v>
      </c>
      <c r="EQ97" s="372" t="s">
        <v>850</v>
      </c>
      <c r="ER97" s="372"/>
      <c r="ES97" s="372" t="s">
        <v>850</v>
      </c>
      <c r="ET97" s="372" t="s">
        <v>850</v>
      </c>
      <c r="EU97" s="372"/>
      <c r="EV97" s="372"/>
      <c r="EW97" s="372" t="s">
        <v>850</v>
      </c>
      <c r="EX97" s="372" t="s">
        <v>850</v>
      </c>
      <c r="EY97" s="372" t="s">
        <v>850</v>
      </c>
      <c r="EZ97" s="372" t="s">
        <v>850</v>
      </c>
      <c r="FA97" s="372" t="s">
        <v>850</v>
      </c>
      <c r="FB97" s="372" t="s">
        <v>850</v>
      </c>
      <c r="FC97" s="372" t="s">
        <v>850</v>
      </c>
      <c r="FD97" s="372" t="s">
        <v>850</v>
      </c>
      <c r="FE97" s="372" t="s">
        <v>850</v>
      </c>
      <c r="FF97" s="372" t="s">
        <v>850</v>
      </c>
      <c r="FG97" s="372" t="s">
        <v>850</v>
      </c>
      <c r="FH97" s="372" t="s">
        <v>850</v>
      </c>
      <c r="FI97" s="372" t="s">
        <v>850</v>
      </c>
      <c r="FJ97" s="372" t="s">
        <v>850</v>
      </c>
      <c r="FK97" s="372" t="s">
        <v>850</v>
      </c>
      <c r="FL97" s="372" t="s">
        <v>850</v>
      </c>
      <c r="FM97" s="372" t="s">
        <v>850</v>
      </c>
      <c r="FN97" s="372" t="s">
        <v>850</v>
      </c>
      <c r="FO97" s="375" t="s">
        <v>850</v>
      </c>
      <c r="FP97" s="376" t="s">
        <v>1120</v>
      </c>
      <c r="FQ97" s="377" t="s">
        <v>522</v>
      </c>
      <c r="FR97" s="377" t="s">
        <v>850</v>
      </c>
      <c r="FS97" s="377" t="s">
        <v>562</v>
      </c>
      <c r="FT97" s="144">
        <f t="shared" si="4"/>
        <v>406</v>
      </c>
      <c r="FU97" s="371" t="s">
        <v>906</v>
      </c>
    </row>
    <row r="98" spans="1:177" s="371" customFormat="1" ht="10.5" thickBot="1">
      <c r="A98" s="368" t="s">
        <v>526</v>
      </c>
      <c r="B98" s="369" t="s">
        <v>517</v>
      </c>
      <c r="C98" s="369" t="s">
        <v>555</v>
      </c>
      <c r="D98" s="369" t="s">
        <v>3</v>
      </c>
      <c r="E98" s="370" t="s">
        <v>1143</v>
      </c>
      <c r="F98" s="369" t="s">
        <v>520</v>
      </c>
      <c r="G98" s="369"/>
      <c r="H98" s="372"/>
      <c r="I98" s="372"/>
      <c r="J98" s="372"/>
      <c r="K98" s="372"/>
      <c r="L98" s="372"/>
      <c r="M98" s="372"/>
      <c r="N98" s="372"/>
      <c r="O98" s="372"/>
      <c r="P98" s="372"/>
      <c r="Q98" s="372"/>
      <c r="R98" s="372"/>
      <c r="S98" s="372"/>
      <c r="T98" s="372"/>
      <c r="U98" s="372"/>
      <c r="V98" s="372"/>
      <c r="W98" s="372"/>
      <c r="X98" s="372"/>
      <c r="Y98" s="372"/>
      <c r="Z98" s="372"/>
      <c r="AA98" s="372"/>
      <c r="AB98" s="372"/>
      <c r="AC98" s="372"/>
      <c r="AD98" s="372"/>
      <c r="AE98" s="372"/>
      <c r="AF98" s="372"/>
      <c r="AG98" s="372"/>
      <c r="AH98" s="372"/>
      <c r="AI98" s="372"/>
      <c r="AJ98" s="372"/>
      <c r="AK98" s="372"/>
      <c r="AL98" s="372"/>
      <c r="AM98" s="372"/>
      <c r="AN98" s="372"/>
      <c r="AO98" s="372"/>
      <c r="AP98" s="372"/>
      <c r="AQ98" s="372"/>
      <c r="AR98" s="372"/>
      <c r="AS98" s="372"/>
      <c r="AT98" s="372"/>
      <c r="AU98" s="372"/>
      <c r="AV98" s="372"/>
      <c r="AW98" s="372"/>
      <c r="AX98" s="372"/>
      <c r="AY98" s="372"/>
      <c r="AZ98" s="372"/>
      <c r="BA98" s="372"/>
      <c r="BB98" s="372"/>
      <c r="BC98" s="372"/>
      <c r="BD98" s="372"/>
      <c r="BE98" s="372"/>
      <c r="BF98" s="372"/>
      <c r="BG98" s="372"/>
      <c r="BH98" s="372"/>
      <c r="BI98" s="372"/>
      <c r="BJ98" s="372"/>
      <c r="BK98" s="372"/>
      <c r="BL98" s="372"/>
      <c r="BM98" s="372"/>
      <c r="BN98" s="372"/>
      <c r="BO98" s="372"/>
      <c r="BP98" s="372"/>
      <c r="BQ98" s="372"/>
      <c r="BR98" s="372"/>
      <c r="BS98" s="372"/>
      <c r="BT98" s="372"/>
      <c r="BU98" s="372"/>
      <c r="BV98" s="372"/>
      <c r="BW98" s="372"/>
      <c r="BX98" s="372"/>
      <c r="BY98" s="372"/>
      <c r="BZ98" s="372"/>
      <c r="CA98" s="372"/>
      <c r="CB98" s="372"/>
      <c r="CC98" s="372"/>
      <c r="CD98" s="372"/>
      <c r="CE98" s="372"/>
      <c r="CG98" s="372"/>
      <c r="CH98" s="372"/>
      <c r="CI98" s="372"/>
      <c r="CJ98" s="372"/>
      <c r="CK98" s="372"/>
      <c r="CL98" s="372"/>
      <c r="CM98" s="372"/>
      <c r="CN98" s="372"/>
      <c r="CO98" s="372"/>
      <c r="CP98" s="372"/>
      <c r="CQ98" s="372"/>
      <c r="CR98" s="372"/>
      <c r="CS98" s="372"/>
      <c r="CT98" s="372"/>
      <c r="CU98" s="372"/>
      <c r="CV98" s="372"/>
      <c r="CW98" s="372"/>
      <c r="CX98" s="372"/>
      <c r="CY98" s="372"/>
      <c r="CZ98" s="372"/>
      <c r="DA98" s="372"/>
      <c r="DB98" s="372"/>
      <c r="DC98" s="372"/>
      <c r="DD98" s="372"/>
      <c r="DE98" s="372"/>
      <c r="DF98" s="372"/>
      <c r="DG98" s="372"/>
      <c r="DH98" s="372"/>
      <c r="DI98" s="372"/>
      <c r="DJ98" s="372"/>
      <c r="DK98" s="372"/>
      <c r="DL98" s="372"/>
      <c r="DM98" s="372"/>
      <c r="DN98" s="372"/>
      <c r="DO98" s="372"/>
      <c r="DP98" s="372"/>
      <c r="DQ98" s="372"/>
      <c r="DR98" s="372"/>
      <c r="DS98" s="372"/>
      <c r="DT98" s="372"/>
      <c r="DU98" s="372"/>
      <c r="DV98" s="372"/>
      <c r="DW98" s="372"/>
      <c r="DX98" s="372"/>
      <c r="DY98" s="372"/>
      <c r="DZ98" s="372"/>
      <c r="EB98" s="372"/>
      <c r="ED98" s="372"/>
      <c r="EE98" s="372"/>
      <c r="EF98" s="372"/>
      <c r="EG98" s="372"/>
      <c r="EH98" s="372"/>
      <c r="EI98" s="372"/>
      <c r="EJ98" s="372"/>
      <c r="EK98" s="372"/>
      <c r="EL98" s="372"/>
      <c r="EM98" s="372"/>
      <c r="EN98" s="372"/>
      <c r="EO98" s="372"/>
      <c r="EP98" s="372"/>
      <c r="EQ98" s="372"/>
      <c r="ER98" s="372"/>
      <c r="ES98" s="372"/>
      <c r="ET98" s="372"/>
      <c r="EU98" s="372"/>
      <c r="EV98" s="372"/>
      <c r="EW98" s="372"/>
      <c r="EX98" s="372"/>
      <c r="EY98" s="372"/>
      <c r="EZ98" s="372"/>
      <c r="FA98" s="372"/>
      <c r="FB98" s="372"/>
      <c r="FC98" s="372"/>
      <c r="FD98" s="372"/>
      <c r="FE98" s="372"/>
      <c r="FF98" s="372"/>
      <c r="FG98" s="372"/>
      <c r="FH98" s="372"/>
      <c r="FI98" s="372"/>
      <c r="FJ98" s="372"/>
      <c r="FK98" s="372"/>
      <c r="FL98" s="372"/>
      <c r="FM98" s="372"/>
      <c r="FN98" s="372"/>
      <c r="FO98" s="375" t="s">
        <v>850</v>
      </c>
      <c r="FP98" s="376" t="s">
        <v>1120</v>
      </c>
      <c r="FQ98" s="377" t="s">
        <v>522</v>
      </c>
      <c r="FR98" s="377" t="s">
        <v>850</v>
      </c>
      <c r="FS98" s="377" t="s">
        <v>562</v>
      </c>
      <c r="FT98" s="144">
        <f t="shared" si="4"/>
        <v>0</v>
      </c>
      <c r="FU98" s="371" t="s">
        <v>906</v>
      </c>
    </row>
    <row r="99" spans="1:177" s="371" customFormat="1" ht="10.5" hidden="1" thickBot="1">
      <c r="A99" s="368" t="s">
        <v>526</v>
      </c>
      <c r="B99" s="369" t="s">
        <v>517</v>
      </c>
      <c r="C99" s="369" t="s">
        <v>555</v>
      </c>
      <c r="D99" s="369" t="s">
        <v>8</v>
      </c>
      <c r="E99" s="370" t="s">
        <v>614</v>
      </c>
      <c r="F99" s="369" t="s">
        <v>520</v>
      </c>
      <c r="G99" s="369" t="s">
        <v>1144</v>
      </c>
      <c r="BS99" s="372"/>
      <c r="DH99" s="372"/>
      <c r="DS99" s="372"/>
      <c r="EH99" s="372" t="s">
        <v>850</v>
      </c>
      <c r="FO99" s="375" t="s">
        <v>850</v>
      </c>
      <c r="FP99" s="376" t="s">
        <v>1120</v>
      </c>
      <c r="FQ99" s="377" t="s">
        <v>522</v>
      </c>
      <c r="FR99" s="377" t="s">
        <v>850</v>
      </c>
      <c r="FS99" s="377" t="s">
        <v>617</v>
      </c>
      <c r="FT99" s="144">
        <f t="shared" si="4"/>
        <v>0</v>
      </c>
      <c r="FU99" s="371" t="s">
        <v>905</v>
      </c>
    </row>
    <row r="100" spans="1:177" s="371" customFormat="1" ht="10.5" hidden="1" thickBot="1">
      <c r="A100" s="368" t="s">
        <v>526</v>
      </c>
      <c r="B100" s="369" t="s">
        <v>517</v>
      </c>
      <c r="C100" s="369" t="s">
        <v>555</v>
      </c>
      <c r="D100" s="369" t="s">
        <v>4</v>
      </c>
      <c r="E100" s="370" t="s">
        <v>614</v>
      </c>
      <c r="F100" s="369" t="s">
        <v>520</v>
      </c>
      <c r="G100" s="369" t="s">
        <v>1144</v>
      </c>
      <c r="H100" s="372" t="s">
        <v>850</v>
      </c>
      <c r="I100" s="372" t="s">
        <v>850</v>
      </c>
      <c r="J100" s="372" t="s">
        <v>850</v>
      </c>
      <c r="K100" s="372" t="s">
        <v>850</v>
      </c>
      <c r="L100" s="372" t="s">
        <v>850</v>
      </c>
      <c r="M100" s="372" t="s">
        <v>850</v>
      </c>
      <c r="N100" s="372" t="s">
        <v>850</v>
      </c>
      <c r="O100" s="372" t="s">
        <v>850</v>
      </c>
      <c r="P100" s="372" t="s">
        <v>850</v>
      </c>
      <c r="Q100" s="372" t="s">
        <v>850</v>
      </c>
      <c r="R100" s="372" t="s">
        <v>850</v>
      </c>
      <c r="S100" s="372" t="s">
        <v>850</v>
      </c>
      <c r="T100" s="372" t="s">
        <v>850</v>
      </c>
      <c r="U100" s="372" t="s">
        <v>850</v>
      </c>
      <c r="V100" s="372" t="s">
        <v>850</v>
      </c>
      <c r="W100" s="372" t="s">
        <v>850</v>
      </c>
      <c r="X100" s="372" t="s">
        <v>850</v>
      </c>
      <c r="Y100" s="372" t="s">
        <v>850</v>
      </c>
      <c r="Z100" s="372" t="s">
        <v>850</v>
      </c>
      <c r="AA100" s="372" t="s">
        <v>850</v>
      </c>
      <c r="AB100" s="372" t="s">
        <v>850</v>
      </c>
      <c r="AC100" s="372" t="s">
        <v>850</v>
      </c>
      <c r="AD100" s="372" t="s">
        <v>850</v>
      </c>
      <c r="AE100" s="372" t="s">
        <v>850</v>
      </c>
      <c r="AF100" s="372" t="s">
        <v>850</v>
      </c>
      <c r="AG100" s="372" t="s">
        <v>850</v>
      </c>
      <c r="AH100" s="372" t="s">
        <v>850</v>
      </c>
      <c r="AI100" s="372" t="s">
        <v>850</v>
      </c>
      <c r="AJ100" s="372" t="s">
        <v>850</v>
      </c>
      <c r="AK100" s="372" t="s">
        <v>850</v>
      </c>
      <c r="AL100" s="372" t="s">
        <v>850</v>
      </c>
      <c r="AM100" s="372" t="s">
        <v>850</v>
      </c>
      <c r="AN100" s="372" t="s">
        <v>850</v>
      </c>
      <c r="AO100" s="372" t="s">
        <v>850</v>
      </c>
      <c r="AP100" s="372" t="s">
        <v>850</v>
      </c>
      <c r="AQ100" s="372" t="s">
        <v>850</v>
      </c>
      <c r="AR100" s="372" t="s">
        <v>850</v>
      </c>
      <c r="AS100" s="372" t="s">
        <v>850</v>
      </c>
      <c r="AT100" s="372" t="s">
        <v>850</v>
      </c>
      <c r="AU100" s="372" t="s">
        <v>850</v>
      </c>
      <c r="AV100" s="372" t="s">
        <v>850</v>
      </c>
      <c r="AW100" s="372" t="s">
        <v>850</v>
      </c>
      <c r="AX100" s="372" t="s">
        <v>850</v>
      </c>
      <c r="AY100" s="372" t="s">
        <v>850</v>
      </c>
      <c r="AZ100" s="372" t="s">
        <v>850</v>
      </c>
      <c r="BA100" s="372" t="s">
        <v>850</v>
      </c>
      <c r="BB100" s="372" t="s">
        <v>850</v>
      </c>
      <c r="BC100" s="372" t="s">
        <v>850</v>
      </c>
      <c r="BD100" s="372" t="s">
        <v>850</v>
      </c>
      <c r="BE100" s="372" t="s">
        <v>850</v>
      </c>
      <c r="BF100" s="372" t="s">
        <v>850</v>
      </c>
      <c r="BG100" s="372" t="s">
        <v>850</v>
      </c>
      <c r="BH100" s="372" t="s">
        <v>850</v>
      </c>
      <c r="BI100" s="372" t="s">
        <v>850</v>
      </c>
      <c r="BJ100" s="372" t="s">
        <v>850</v>
      </c>
      <c r="BK100" s="372" t="s">
        <v>850</v>
      </c>
      <c r="BL100" s="372" t="s">
        <v>850</v>
      </c>
      <c r="BM100" s="372" t="s">
        <v>850</v>
      </c>
      <c r="BN100" s="372" t="s">
        <v>850</v>
      </c>
      <c r="BO100" s="372" t="s">
        <v>850</v>
      </c>
      <c r="BP100" s="372" t="s">
        <v>850</v>
      </c>
      <c r="BQ100" s="372" t="s">
        <v>850</v>
      </c>
      <c r="BR100" s="372" t="s">
        <v>850</v>
      </c>
      <c r="BS100" s="372"/>
      <c r="BT100" s="372" t="s">
        <v>850</v>
      </c>
      <c r="BU100" s="372" t="s">
        <v>850</v>
      </c>
      <c r="BV100" s="372" t="s">
        <v>850</v>
      </c>
      <c r="BW100" s="372" t="s">
        <v>850</v>
      </c>
      <c r="BX100" s="373">
        <f>10-10</f>
        <v>0</v>
      </c>
      <c r="BY100" s="372" t="s">
        <v>850</v>
      </c>
      <c r="BZ100" s="372" t="s">
        <v>850</v>
      </c>
      <c r="CA100" s="372" t="s">
        <v>850</v>
      </c>
      <c r="CB100" s="372" t="s">
        <v>850</v>
      </c>
      <c r="CC100" s="372" t="s">
        <v>850</v>
      </c>
      <c r="CD100" s="373">
        <f>10-10</f>
        <v>0</v>
      </c>
      <c r="CE100" s="372" t="s">
        <v>850</v>
      </c>
      <c r="CG100" s="372" t="s">
        <v>850</v>
      </c>
      <c r="CH100" s="372" t="s">
        <v>850</v>
      </c>
      <c r="CI100" s="372" t="s">
        <v>850</v>
      </c>
      <c r="CJ100" s="373">
        <f>10-10</f>
        <v>0</v>
      </c>
      <c r="CK100" s="372" t="s">
        <v>850</v>
      </c>
      <c r="CL100" s="372" t="s">
        <v>850</v>
      </c>
      <c r="CM100" s="372" t="s">
        <v>850</v>
      </c>
      <c r="CN100" s="372" t="s">
        <v>850</v>
      </c>
      <c r="CO100" s="372" t="s">
        <v>850</v>
      </c>
      <c r="CP100" s="372" t="s">
        <v>850</v>
      </c>
      <c r="CQ100" s="372" t="s">
        <v>850</v>
      </c>
      <c r="CR100" s="372" t="s">
        <v>850</v>
      </c>
      <c r="CS100" s="372" t="s">
        <v>850</v>
      </c>
      <c r="CT100" s="372" t="s">
        <v>850</v>
      </c>
      <c r="CU100" s="373">
        <f>10-10</f>
        <v>0</v>
      </c>
      <c r="CV100" s="372" t="s">
        <v>850</v>
      </c>
      <c r="CW100" s="372" t="s">
        <v>850</v>
      </c>
      <c r="CX100" s="373">
        <f>10-10</f>
        <v>0</v>
      </c>
      <c r="CY100" s="373">
        <f>10-10</f>
        <v>0</v>
      </c>
      <c r="CZ100" s="373">
        <f>20-20</f>
        <v>0</v>
      </c>
      <c r="DA100" s="372" t="s">
        <v>850</v>
      </c>
      <c r="DB100" s="372" t="s">
        <v>850</v>
      </c>
      <c r="DC100" s="372" t="s">
        <v>850</v>
      </c>
      <c r="DD100" s="372" t="s">
        <v>850</v>
      </c>
      <c r="DE100" s="372" t="s">
        <v>850</v>
      </c>
      <c r="DF100" s="372" t="s">
        <v>850</v>
      </c>
      <c r="DG100" s="372" t="s">
        <v>850</v>
      </c>
      <c r="DH100" s="372"/>
      <c r="DI100" s="372" t="s">
        <v>850</v>
      </c>
      <c r="DJ100" s="372" t="s">
        <v>850</v>
      </c>
      <c r="DK100" s="372" t="s">
        <v>850</v>
      </c>
      <c r="DL100" s="372" t="s">
        <v>850</v>
      </c>
      <c r="DM100" s="372" t="s">
        <v>850</v>
      </c>
      <c r="DN100" s="372" t="s">
        <v>850</v>
      </c>
      <c r="DO100" s="372" t="s">
        <v>850</v>
      </c>
      <c r="DP100" s="372" t="s">
        <v>850</v>
      </c>
      <c r="DQ100" s="372" t="s">
        <v>850</v>
      </c>
      <c r="DR100" s="372" t="s">
        <v>850</v>
      </c>
      <c r="DS100" s="372"/>
      <c r="DT100" s="372" t="s">
        <v>850</v>
      </c>
      <c r="DU100" s="372" t="s">
        <v>850</v>
      </c>
      <c r="DV100" s="373">
        <f>200-200</f>
        <v>0</v>
      </c>
      <c r="DW100" s="372" t="s">
        <v>850</v>
      </c>
      <c r="DX100" s="372" t="s">
        <v>850</v>
      </c>
      <c r="DY100" s="372" t="s">
        <v>850</v>
      </c>
      <c r="DZ100" s="373">
        <f>200-200</f>
        <v>0</v>
      </c>
      <c r="EB100" s="372" t="s">
        <v>850</v>
      </c>
      <c r="ED100" s="372" t="s">
        <v>850</v>
      </c>
      <c r="EE100" s="372" t="s">
        <v>850</v>
      </c>
      <c r="EF100" s="373">
        <f>200-200</f>
        <v>0</v>
      </c>
      <c r="EG100" s="373">
        <f>200-200</f>
        <v>0</v>
      </c>
      <c r="EH100" s="372" t="s">
        <v>850</v>
      </c>
      <c r="EI100" s="372" t="s">
        <v>850</v>
      </c>
      <c r="EJ100" s="372" t="s">
        <v>850</v>
      </c>
      <c r="EK100" s="373">
        <f>200-200</f>
        <v>0</v>
      </c>
      <c r="EL100" s="372" t="s">
        <v>850</v>
      </c>
      <c r="EM100" s="372" t="s">
        <v>850</v>
      </c>
      <c r="EN100" s="372" t="s">
        <v>850</v>
      </c>
      <c r="EO100" s="373">
        <f>200-200</f>
        <v>0</v>
      </c>
      <c r="EP100" s="372" t="s">
        <v>850</v>
      </c>
      <c r="EQ100" s="372" t="s">
        <v>850</v>
      </c>
      <c r="ER100" s="372" t="s">
        <v>850</v>
      </c>
      <c r="ES100" s="372" t="s">
        <v>850</v>
      </c>
      <c r="ET100" s="372" t="s">
        <v>850</v>
      </c>
      <c r="EU100" s="372" t="s">
        <v>850</v>
      </c>
      <c r="EV100" s="372" t="s">
        <v>850</v>
      </c>
      <c r="EW100" s="372" t="s">
        <v>850</v>
      </c>
      <c r="EX100" s="372" t="s">
        <v>850</v>
      </c>
      <c r="EY100" s="372" t="s">
        <v>850</v>
      </c>
      <c r="EZ100" s="372" t="s">
        <v>850</v>
      </c>
      <c r="FA100" s="372" t="s">
        <v>850</v>
      </c>
      <c r="FB100" s="372" t="s">
        <v>850</v>
      </c>
      <c r="FC100" s="372" t="s">
        <v>850</v>
      </c>
      <c r="FD100" s="372" t="s">
        <v>850</v>
      </c>
      <c r="FE100" s="372" t="s">
        <v>850</v>
      </c>
      <c r="FF100" s="372" t="s">
        <v>850</v>
      </c>
      <c r="FG100" s="372" t="s">
        <v>850</v>
      </c>
      <c r="FH100" s="372" t="s">
        <v>850</v>
      </c>
      <c r="FI100" s="372" t="s">
        <v>850</v>
      </c>
      <c r="FJ100" s="372" t="s">
        <v>850</v>
      </c>
      <c r="FK100" s="372" t="s">
        <v>850</v>
      </c>
      <c r="FL100" s="372" t="s">
        <v>850</v>
      </c>
      <c r="FM100" s="372" t="s">
        <v>850</v>
      </c>
      <c r="FN100" s="372" t="s">
        <v>850</v>
      </c>
      <c r="FO100" s="375" t="s">
        <v>850</v>
      </c>
      <c r="FP100" s="376" t="s">
        <v>1120</v>
      </c>
      <c r="FQ100" s="377" t="s">
        <v>522</v>
      </c>
      <c r="FR100" s="377" t="s">
        <v>850</v>
      </c>
      <c r="FS100" s="377" t="s">
        <v>617</v>
      </c>
      <c r="FT100" s="144">
        <f t="shared" si="4"/>
        <v>0</v>
      </c>
      <c r="FU100" s="371" t="s">
        <v>905</v>
      </c>
    </row>
    <row r="101" spans="1:177" s="371" customFormat="1" ht="10.5" hidden="1" thickBot="1">
      <c r="A101" s="368" t="s">
        <v>526</v>
      </c>
      <c r="B101" s="369" t="s">
        <v>517</v>
      </c>
      <c r="C101" s="369" t="s">
        <v>555</v>
      </c>
      <c r="D101" s="369" t="s">
        <v>3</v>
      </c>
      <c r="E101" s="370" t="s">
        <v>614</v>
      </c>
      <c r="F101" s="369" t="s">
        <v>520</v>
      </c>
      <c r="G101" s="369"/>
      <c r="H101" s="372"/>
      <c r="I101" s="372"/>
      <c r="J101" s="372"/>
      <c r="K101" s="372"/>
      <c r="L101" s="372"/>
      <c r="M101" s="372"/>
      <c r="N101" s="372"/>
      <c r="O101" s="372"/>
      <c r="P101" s="372"/>
      <c r="Q101" s="372"/>
      <c r="R101" s="372"/>
      <c r="S101" s="372"/>
      <c r="T101" s="372"/>
      <c r="U101" s="372"/>
      <c r="V101" s="372"/>
      <c r="W101" s="372"/>
      <c r="X101" s="372"/>
      <c r="Y101" s="372"/>
      <c r="Z101" s="372"/>
      <c r="AA101" s="372"/>
      <c r="AB101" s="372"/>
      <c r="AC101" s="372"/>
      <c r="AD101" s="372"/>
      <c r="AE101" s="372"/>
      <c r="AF101" s="372"/>
      <c r="AG101" s="372"/>
      <c r="AH101" s="372"/>
      <c r="AI101" s="372"/>
      <c r="AJ101" s="372"/>
      <c r="AK101" s="372"/>
      <c r="AL101" s="372"/>
      <c r="AM101" s="372"/>
      <c r="AN101" s="372"/>
      <c r="AO101" s="372"/>
      <c r="AP101" s="372"/>
      <c r="AQ101" s="372"/>
      <c r="AR101" s="372"/>
      <c r="AS101" s="372"/>
      <c r="AT101" s="372"/>
      <c r="AU101" s="372"/>
      <c r="AV101" s="372"/>
      <c r="AW101" s="372"/>
      <c r="AX101" s="372"/>
      <c r="AY101" s="372"/>
      <c r="AZ101" s="372"/>
      <c r="BA101" s="372"/>
      <c r="BB101" s="372"/>
      <c r="BC101" s="372"/>
      <c r="BD101" s="372"/>
      <c r="BE101" s="372"/>
      <c r="BF101" s="372"/>
      <c r="BG101" s="372"/>
      <c r="BH101" s="372"/>
      <c r="BI101" s="372"/>
      <c r="BJ101" s="372"/>
      <c r="BK101" s="372"/>
      <c r="BL101" s="372"/>
      <c r="BM101" s="372"/>
      <c r="BN101" s="372"/>
      <c r="BO101" s="372"/>
      <c r="BP101" s="372"/>
      <c r="BQ101" s="372"/>
      <c r="BR101" s="372"/>
      <c r="BS101" s="372"/>
      <c r="BT101" s="372"/>
      <c r="BU101" s="372"/>
      <c r="BV101" s="372"/>
      <c r="BW101" s="372"/>
      <c r="BX101" s="372"/>
      <c r="BY101" s="372"/>
      <c r="BZ101" s="372"/>
      <c r="CA101" s="372"/>
      <c r="CB101" s="372"/>
      <c r="CC101" s="372"/>
      <c r="CD101" s="372"/>
      <c r="CE101" s="372"/>
      <c r="CG101" s="372"/>
      <c r="CH101" s="372"/>
      <c r="CI101" s="372"/>
      <c r="CJ101" s="372"/>
      <c r="CK101" s="372"/>
      <c r="CL101" s="372"/>
      <c r="CM101" s="372"/>
      <c r="CN101" s="372"/>
      <c r="CO101" s="372"/>
      <c r="CP101" s="372"/>
      <c r="CQ101" s="372"/>
      <c r="CR101" s="372"/>
      <c r="CS101" s="372"/>
      <c r="CT101" s="372"/>
      <c r="CU101" s="372"/>
      <c r="CV101" s="372"/>
      <c r="CW101" s="372"/>
      <c r="CX101" s="372"/>
      <c r="CY101" s="372"/>
      <c r="CZ101" s="372"/>
      <c r="DA101" s="372"/>
      <c r="DB101" s="372"/>
      <c r="DC101" s="372"/>
      <c r="DD101" s="372"/>
      <c r="DE101" s="372"/>
      <c r="DF101" s="372"/>
      <c r="DG101" s="372"/>
      <c r="DH101" s="372"/>
      <c r="DI101" s="372"/>
      <c r="DJ101" s="372"/>
      <c r="DK101" s="372"/>
      <c r="DL101" s="372"/>
      <c r="DM101" s="372"/>
      <c r="DN101" s="372"/>
      <c r="DO101" s="372"/>
      <c r="DP101" s="372"/>
      <c r="DQ101" s="372"/>
      <c r="DR101" s="372"/>
      <c r="DS101" s="372"/>
      <c r="DT101" s="372"/>
      <c r="DU101" s="372"/>
      <c r="DV101" s="372"/>
      <c r="DW101" s="372"/>
      <c r="DX101" s="372"/>
      <c r="DY101" s="372"/>
      <c r="DZ101" s="372"/>
      <c r="EB101" s="372"/>
      <c r="EC101" s="372"/>
      <c r="ED101" s="372"/>
      <c r="EE101" s="372"/>
      <c r="EF101" s="372"/>
      <c r="EG101" s="372"/>
      <c r="EH101" s="372" t="s">
        <v>850</v>
      </c>
      <c r="EI101" s="372"/>
      <c r="EJ101" s="372"/>
      <c r="EK101" s="372"/>
      <c r="EL101" s="372"/>
      <c r="EM101" s="372"/>
      <c r="EN101" s="372"/>
      <c r="EO101" s="372"/>
      <c r="EP101" s="372"/>
      <c r="EQ101" s="372"/>
      <c r="ER101" s="372"/>
      <c r="ES101" s="372"/>
      <c r="ET101" s="372"/>
      <c r="EU101" s="372"/>
      <c r="EV101" s="372"/>
      <c r="EW101" s="372"/>
      <c r="EX101" s="372"/>
      <c r="EY101" s="372"/>
      <c r="EZ101" s="372"/>
      <c r="FA101" s="372"/>
      <c r="FB101" s="372"/>
      <c r="FC101" s="372"/>
      <c r="FD101" s="372"/>
      <c r="FE101" s="372"/>
      <c r="FF101" s="372"/>
      <c r="FG101" s="372"/>
      <c r="FH101" s="372"/>
      <c r="FI101" s="372"/>
      <c r="FJ101" s="372"/>
      <c r="FK101" s="372"/>
      <c r="FL101" s="372"/>
      <c r="FM101" s="372"/>
      <c r="FN101" s="372"/>
      <c r="FO101" s="375" t="s">
        <v>850</v>
      </c>
      <c r="FP101" s="376" t="s">
        <v>1120</v>
      </c>
      <c r="FQ101" s="377" t="s">
        <v>522</v>
      </c>
      <c r="FR101" s="377" t="s">
        <v>850</v>
      </c>
      <c r="FS101" s="377" t="s">
        <v>617</v>
      </c>
      <c r="FT101" s="144">
        <f t="shared" si="4"/>
        <v>0</v>
      </c>
      <c r="FU101" s="371" t="s">
        <v>905</v>
      </c>
    </row>
    <row r="102" spans="1:177" s="371" customFormat="1" ht="10.5" hidden="1" thickBot="1">
      <c r="A102" s="368" t="s">
        <v>540</v>
      </c>
      <c r="B102" s="369" t="s">
        <v>517</v>
      </c>
      <c r="C102" s="369" t="s">
        <v>555</v>
      </c>
      <c r="D102" s="369" t="s">
        <v>8</v>
      </c>
      <c r="E102" s="370" t="s">
        <v>618</v>
      </c>
      <c r="F102" s="369" t="s">
        <v>520</v>
      </c>
      <c r="G102" s="369" t="s">
        <v>1145</v>
      </c>
      <c r="BS102" s="372"/>
      <c r="DH102" s="372"/>
      <c r="EH102" s="372" t="s">
        <v>850</v>
      </c>
      <c r="FO102" s="375" t="s">
        <v>850</v>
      </c>
      <c r="FP102" s="376" t="s">
        <v>1120</v>
      </c>
      <c r="FQ102" s="377" t="s">
        <v>522</v>
      </c>
      <c r="FR102" s="377" t="s">
        <v>850</v>
      </c>
      <c r="FS102" s="377" t="s">
        <v>592</v>
      </c>
      <c r="FT102" s="144">
        <f t="shared" si="4"/>
        <v>0</v>
      </c>
      <c r="FU102" s="371" t="s">
        <v>905</v>
      </c>
    </row>
    <row r="103" spans="1:177" s="371" customFormat="1" ht="10.5" hidden="1" thickBot="1">
      <c r="A103" s="368" t="s">
        <v>540</v>
      </c>
      <c r="B103" s="369" t="s">
        <v>517</v>
      </c>
      <c r="C103" s="369" t="s">
        <v>555</v>
      </c>
      <c r="D103" s="369" t="s">
        <v>4</v>
      </c>
      <c r="E103" s="370" t="s">
        <v>618</v>
      </c>
      <c r="F103" s="369" t="s">
        <v>520</v>
      </c>
      <c r="G103" s="369" t="s">
        <v>1145</v>
      </c>
      <c r="H103" s="372" t="s">
        <v>850</v>
      </c>
      <c r="I103" s="372" t="s">
        <v>850</v>
      </c>
      <c r="J103" s="372" t="s">
        <v>850</v>
      </c>
      <c r="K103" s="372" t="s">
        <v>850</v>
      </c>
      <c r="L103" s="372" t="s">
        <v>850</v>
      </c>
      <c r="M103" s="372" t="s">
        <v>850</v>
      </c>
      <c r="N103" s="372" t="s">
        <v>850</v>
      </c>
      <c r="O103" s="372" t="s">
        <v>850</v>
      </c>
      <c r="P103" s="372" t="s">
        <v>850</v>
      </c>
      <c r="Q103" s="372" t="s">
        <v>850</v>
      </c>
      <c r="R103" s="372" t="s">
        <v>850</v>
      </c>
      <c r="S103" s="372" t="s">
        <v>850</v>
      </c>
      <c r="T103" s="372" t="s">
        <v>850</v>
      </c>
      <c r="U103" s="372" t="s">
        <v>850</v>
      </c>
      <c r="V103" s="372" t="s">
        <v>850</v>
      </c>
      <c r="W103" s="372" t="s">
        <v>850</v>
      </c>
      <c r="X103" s="372" t="s">
        <v>850</v>
      </c>
      <c r="Y103" s="372" t="s">
        <v>850</v>
      </c>
      <c r="Z103" s="372" t="s">
        <v>850</v>
      </c>
      <c r="AA103" s="372" t="s">
        <v>850</v>
      </c>
      <c r="AB103" s="372" t="s">
        <v>850</v>
      </c>
      <c r="AC103" s="372" t="s">
        <v>850</v>
      </c>
      <c r="AD103" s="372" t="s">
        <v>850</v>
      </c>
      <c r="AE103" s="372" t="s">
        <v>850</v>
      </c>
      <c r="AF103" s="372" t="s">
        <v>850</v>
      </c>
      <c r="AG103" s="372" t="s">
        <v>850</v>
      </c>
      <c r="AH103" s="372" t="s">
        <v>850</v>
      </c>
      <c r="AI103" s="372" t="s">
        <v>850</v>
      </c>
      <c r="AJ103" s="372" t="s">
        <v>850</v>
      </c>
      <c r="AK103" s="372" t="s">
        <v>850</v>
      </c>
      <c r="AL103" s="372" t="s">
        <v>850</v>
      </c>
      <c r="AM103" s="372" t="s">
        <v>850</v>
      </c>
      <c r="AN103" s="372" t="s">
        <v>850</v>
      </c>
      <c r="AO103" s="372" t="s">
        <v>850</v>
      </c>
      <c r="AP103" s="372" t="s">
        <v>850</v>
      </c>
      <c r="AQ103" s="372" t="s">
        <v>850</v>
      </c>
      <c r="AR103" s="372" t="s">
        <v>850</v>
      </c>
      <c r="AS103" s="372" t="s">
        <v>850</v>
      </c>
      <c r="AT103" s="372" t="s">
        <v>850</v>
      </c>
      <c r="AU103" s="373">
        <f>5-5</f>
        <v>0</v>
      </c>
      <c r="AV103" s="372" t="s">
        <v>850</v>
      </c>
      <c r="AW103" s="372" t="s">
        <v>850</v>
      </c>
      <c r="AX103" s="372" t="s">
        <v>850</v>
      </c>
      <c r="AY103" s="372" t="s">
        <v>850</v>
      </c>
      <c r="AZ103" s="372" t="s">
        <v>850</v>
      </c>
      <c r="BA103" s="372" t="s">
        <v>850</v>
      </c>
      <c r="BB103" s="372" t="s">
        <v>850</v>
      </c>
      <c r="BC103" s="372" t="s">
        <v>850</v>
      </c>
      <c r="BD103" s="372" t="s">
        <v>850</v>
      </c>
      <c r="BE103" s="372" t="s">
        <v>850</v>
      </c>
      <c r="BF103" s="372" t="s">
        <v>850</v>
      </c>
      <c r="BG103" s="373">
        <f>10-10</f>
        <v>0</v>
      </c>
      <c r="BH103" s="372" t="s">
        <v>850</v>
      </c>
      <c r="BI103" s="372" t="s">
        <v>850</v>
      </c>
      <c r="BJ103" s="372" t="s">
        <v>850</v>
      </c>
      <c r="BK103" s="372" t="s">
        <v>850</v>
      </c>
      <c r="BL103" s="372" t="s">
        <v>850</v>
      </c>
      <c r="BM103" s="372" t="s">
        <v>850</v>
      </c>
      <c r="BN103" s="372" t="s">
        <v>850</v>
      </c>
      <c r="BO103" s="372" t="s">
        <v>850</v>
      </c>
      <c r="BP103" s="372" t="s">
        <v>850</v>
      </c>
      <c r="BQ103" s="372" t="s">
        <v>850</v>
      </c>
      <c r="BR103" s="372" t="s">
        <v>850</v>
      </c>
      <c r="BS103" s="372"/>
      <c r="BT103" s="372" t="s">
        <v>850</v>
      </c>
      <c r="BU103" s="373">
        <f>20-20</f>
        <v>0</v>
      </c>
      <c r="BV103" s="372" t="s">
        <v>850</v>
      </c>
      <c r="BW103" s="372" t="s">
        <v>850</v>
      </c>
      <c r="BX103" s="372" t="s">
        <v>850</v>
      </c>
      <c r="BY103" s="372" t="s">
        <v>850</v>
      </c>
      <c r="BZ103" s="372" t="s">
        <v>850</v>
      </c>
      <c r="CA103" s="373">
        <f>20-20</f>
        <v>0</v>
      </c>
      <c r="CB103" s="372" t="s">
        <v>850</v>
      </c>
      <c r="CC103" s="372" t="s">
        <v>850</v>
      </c>
      <c r="CD103" s="372" t="s">
        <v>850</v>
      </c>
      <c r="CE103" s="372" t="s">
        <v>850</v>
      </c>
      <c r="CG103" s="372" t="s">
        <v>850</v>
      </c>
      <c r="CH103" s="372" t="s">
        <v>850</v>
      </c>
      <c r="CI103" s="372" t="s">
        <v>850</v>
      </c>
      <c r="CJ103" s="372" t="s">
        <v>850</v>
      </c>
      <c r="CK103" s="372" t="s">
        <v>850</v>
      </c>
      <c r="CL103" s="372" t="s">
        <v>850</v>
      </c>
      <c r="CM103" s="372" t="s">
        <v>850</v>
      </c>
      <c r="CN103" s="373">
        <f>50-50</f>
        <v>0</v>
      </c>
      <c r="CO103" s="372" t="s">
        <v>850</v>
      </c>
      <c r="CP103" s="372" t="s">
        <v>850</v>
      </c>
      <c r="CQ103" s="372" t="s">
        <v>850</v>
      </c>
      <c r="CR103" s="372" t="s">
        <v>850</v>
      </c>
      <c r="CS103" s="372" t="s">
        <v>850</v>
      </c>
      <c r="CT103" s="372" t="s">
        <v>850</v>
      </c>
      <c r="CU103" s="372" t="s">
        <v>850</v>
      </c>
      <c r="CV103" s="372" t="s">
        <v>850</v>
      </c>
      <c r="CW103" s="372" t="s">
        <v>850</v>
      </c>
      <c r="CX103" s="372" t="s">
        <v>850</v>
      </c>
      <c r="CY103" s="372" t="s">
        <v>850</v>
      </c>
      <c r="CZ103" s="372" t="s">
        <v>850</v>
      </c>
      <c r="DA103" s="372" t="s">
        <v>850</v>
      </c>
      <c r="DB103" s="372" t="s">
        <v>850</v>
      </c>
      <c r="DC103" s="372" t="s">
        <v>850</v>
      </c>
      <c r="DD103" s="372" t="s">
        <v>850</v>
      </c>
      <c r="DE103" s="372" t="s">
        <v>850</v>
      </c>
      <c r="DF103" s="372" t="s">
        <v>850</v>
      </c>
      <c r="DG103" s="372" t="s">
        <v>850</v>
      </c>
      <c r="DH103" s="372"/>
      <c r="DI103" s="372" t="s">
        <v>850</v>
      </c>
      <c r="DJ103" s="372" t="s">
        <v>850</v>
      </c>
      <c r="DK103" s="372" t="s">
        <v>850</v>
      </c>
      <c r="DL103" s="372" t="s">
        <v>850</v>
      </c>
      <c r="DM103" s="372" t="s">
        <v>850</v>
      </c>
      <c r="DN103" s="372" t="s">
        <v>850</v>
      </c>
      <c r="DO103" s="372" t="s">
        <v>850</v>
      </c>
      <c r="DP103" s="372" t="s">
        <v>850</v>
      </c>
      <c r="DQ103" s="372" t="s">
        <v>850</v>
      </c>
      <c r="DR103" s="372" t="s">
        <v>850</v>
      </c>
      <c r="DS103" s="372"/>
      <c r="DT103" s="372" t="s">
        <v>850</v>
      </c>
      <c r="DU103" s="372" t="s">
        <v>850</v>
      </c>
      <c r="DV103" s="372" t="s">
        <v>850</v>
      </c>
      <c r="DW103" s="373">
        <f>100-100</f>
        <v>0</v>
      </c>
      <c r="DX103" s="372" t="s">
        <v>850</v>
      </c>
      <c r="DY103" s="372" t="s">
        <v>850</v>
      </c>
      <c r="DZ103" s="372" t="s">
        <v>850</v>
      </c>
      <c r="EA103" s="372" t="s">
        <v>850</v>
      </c>
      <c r="EB103" s="372" t="s">
        <v>850</v>
      </c>
      <c r="EC103" s="372" t="s">
        <v>850</v>
      </c>
      <c r="ED103" s="372" t="s">
        <v>850</v>
      </c>
      <c r="EE103" s="372" t="s">
        <v>850</v>
      </c>
      <c r="EF103" s="372" t="s">
        <v>850</v>
      </c>
      <c r="EG103" s="372" t="s">
        <v>850</v>
      </c>
      <c r="EH103" s="372" t="s">
        <v>850</v>
      </c>
      <c r="EI103" s="372" t="s">
        <v>850</v>
      </c>
      <c r="EJ103" s="372" t="s">
        <v>850</v>
      </c>
      <c r="EK103" s="373">
        <f>100-100</f>
        <v>0</v>
      </c>
      <c r="EL103" s="372" t="s">
        <v>850</v>
      </c>
      <c r="EM103" s="372" t="s">
        <v>850</v>
      </c>
      <c r="EN103" s="372" t="s">
        <v>850</v>
      </c>
      <c r="EO103" s="372" t="s">
        <v>850</v>
      </c>
      <c r="EP103" s="372" t="s">
        <v>850</v>
      </c>
      <c r="EQ103" s="372" t="s">
        <v>850</v>
      </c>
      <c r="ER103" s="372" t="s">
        <v>850</v>
      </c>
      <c r="ES103" s="372" t="s">
        <v>850</v>
      </c>
      <c r="ET103" s="372" t="s">
        <v>850</v>
      </c>
      <c r="EU103" s="372" t="s">
        <v>850</v>
      </c>
      <c r="EV103" s="372" t="s">
        <v>850</v>
      </c>
      <c r="EW103" s="372" t="s">
        <v>850</v>
      </c>
      <c r="EX103" s="372" t="s">
        <v>850</v>
      </c>
      <c r="EY103" s="372" t="s">
        <v>850</v>
      </c>
      <c r="EZ103" s="372" t="s">
        <v>850</v>
      </c>
      <c r="FA103" s="372" t="s">
        <v>850</v>
      </c>
      <c r="FB103" s="372" t="s">
        <v>850</v>
      </c>
      <c r="FC103" s="372" t="s">
        <v>850</v>
      </c>
      <c r="FD103" s="372" t="s">
        <v>850</v>
      </c>
      <c r="FE103" s="372" t="s">
        <v>850</v>
      </c>
      <c r="FF103" s="372" t="s">
        <v>850</v>
      </c>
      <c r="FG103" s="372" t="s">
        <v>850</v>
      </c>
      <c r="FH103" s="372" t="s">
        <v>850</v>
      </c>
      <c r="FI103" s="372" t="s">
        <v>850</v>
      </c>
      <c r="FJ103" s="372" t="s">
        <v>850</v>
      </c>
      <c r="FK103" s="372" t="s">
        <v>850</v>
      </c>
      <c r="FL103" s="372" t="s">
        <v>850</v>
      </c>
      <c r="FM103" s="372" t="s">
        <v>850</v>
      </c>
      <c r="FN103" s="372" t="s">
        <v>850</v>
      </c>
      <c r="FO103" s="375" t="s">
        <v>850</v>
      </c>
      <c r="FP103" s="376" t="s">
        <v>1120</v>
      </c>
      <c r="FQ103" s="377" t="s">
        <v>522</v>
      </c>
      <c r="FR103" s="377" t="s">
        <v>850</v>
      </c>
      <c r="FS103" s="377" t="s">
        <v>592</v>
      </c>
      <c r="FT103" s="144">
        <f t="shared" si="4"/>
        <v>0</v>
      </c>
      <c r="FU103" s="371" t="s">
        <v>905</v>
      </c>
    </row>
    <row r="104" spans="1:177" s="371" customFormat="1" ht="10.5" hidden="1" thickBot="1">
      <c r="A104" s="368" t="s">
        <v>540</v>
      </c>
      <c r="B104" s="369" t="s">
        <v>517</v>
      </c>
      <c r="C104" s="369" t="s">
        <v>555</v>
      </c>
      <c r="D104" s="369" t="s">
        <v>3</v>
      </c>
      <c r="E104" s="370" t="s">
        <v>618</v>
      </c>
      <c r="F104" s="369" t="s">
        <v>520</v>
      </c>
      <c r="G104" s="369"/>
      <c r="H104" s="372"/>
      <c r="I104" s="372"/>
      <c r="J104" s="372"/>
      <c r="K104" s="372"/>
      <c r="L104" s="372"/>
      <c r="M104" s="372"/>
      <c r="N104" s="372"/>
      <c r="O104" s="372"/>
      <c r="P104" s="372"/>
      <c r="Q104" s="372"/>
      <c r="R104" s="372"/>
      <c r="S104" s="372"/>
      <c r="T104" s="372"/>
      <c r="U104" s="372"/>
      <c r="V104" s="372"/>
      <c r="W104" s="372"/>
      <c r="X104" s="372"/>
      <c r="Y104" s="372"/>
      <c r="Z104" s="372"/>
      <c r="AA104" s="372"/>
      <c r="AB104" s="372"/>
      <c r="AC104" s="372"/>
      <c r="AD104" s="372"/>
      <c r="AE104" s="372"/>
      <c r="AF104" s="372"/>
      <c r="AG104" s="372"/>
      <c r="AH104" s="372"/>
      <c r="AI104" s="372"/>
      <c r="AJ104" s="372"/>
      <c r="AK104" s="372"/>
      <c r="AL104" s="372"/>
      <c r="AM104" s="372"/>
      <c r="AN104" s="372"/>
      <c r="AO104" s="372"/>
      <c r="AP104" s="372"/>
      <c r="AQ104" s="372"/>
      <c r="AR104" s="372"/>
      <c r="AS104" s="372"/>
      <c r="AT104" s="372"/>
      <c r="AU104" s="372"/>
      <c r="AV104" s="372"/>
      <c r="AW104" s="372"/>
      <c r="AX104" s="372"/>
      <c r="AY104" s="372"/>
      <c r="AZ104" s="372"/>
      <c r="BA104" s="372"/>
      <c r="BB104" s="372"/>
      <c r="BC104" s="372"/>
      <c r="BD104" s="372"/>
      <c r="BE104" s="372"/>
      <c r="BF104" s="372"/>
      <c r="BG104" s="372"/>
      <c r="BH104" s="372"/>
      <c r="BI104" s="372"/>
      <c r="BJ104" s="372"/>
      <c r="BK104" s="372"/>
      <c r="BL104" s="372"/>
      <c r="BM104" s="372"/>
      <c r="BN104" s="372"/>
      <c r="BO104" s="372"/>
      <c r="BP104" s="372"/>
      <c r="BQ104" s="372"/>
      <c r="BR104" s="372"/>
      <c r="BS104" s="372"/>
      <c r="BT104" s="372"/>
      <c r="BU104" s="372"/>
      <c r="BV104" s="372"/>
      <c r="BW104" s="372"/>
      <c r="BX104" s="372"/>
      <c r="BY104" s="372"/>
      <c r="BZ104" s="372"/>
      <c r="CA104" s="372"/>
      <c r="CB104" s="372"/>
      <c r="CC104" s="372"/>
      <c r="CD104" s="372"/>
      <c r="CE104" s="372"/>
      <c r="CG104" s="372"/>
      <c r="CH104" s="372"/>
      <c r="CI104" s="372"/>
      <c r="CJ104" s="372"/>
      <c r="CK104" s="372"/>
      <c r="CL104" s="372"/>
      <c r="CM104" s="372"/>
      <c r="CN104" s="372"/>
      <c r="CO104" s="372"/>
      <c r="CP104" s="372"/>
      <c r="CQ104" s="372"/>
      <c r="CR104" s="372"/>
      <c r="CS104" s="372"/>
      <c r="CT104" s="372"/>
      <c r="CU104" s="372"/>
      <c r="CV104" s="372"/>
      <c r="CW104" s="372"/>
      <c r="CX104" s="372"/>
      <c r="CY104" s="372"/>
      <c r="CZ104" s="372"/>
      <c r="DA104" s="372"/>
      <c r="DB104" s="372"/>
      <c r="DC104" s="372"/>
      <c r="DD104" s="372"/>
      <c r="DE104" s="372"/>
      <c r="DF104" s="372"/>
      <c r="DG104" s="372"/>
      <c r="DH104" s="372"/>
      <c r="DI104" s="372"/>
      <c r="DJ104" s="372"/>
      <c r="DK104" s="372"/>
      <c r="DL104" s="372"/>
      <c r="DM104" s="372"/>
      <c r="DN104" s="372"/>
      <c r="DO104" s="372"/>
      <c r="DP104" s="372"/>
      <c r="DQ104" s="372"/>
      <c r="DR104" s="372"/>
      <c r="DS104" s="372"/>
      <c r="DT104" s="372"/>
      <c r="DU104" s="372"/>
      <c r="DV104" s="372"/>
      <c r="DW104" s="372"/>
      <c r="DX104" s="372"/>
      <c r="DY104" s="372"/>
      <c r="DZ104" s="372"/>
      <c r="EA104" s="372"/>
      <c r="EB104" s="372"/>
      <c r="EC104" s="372"/>
      <c r="ED104" s="372"/>
      <c r="EE104" s="372"/>
      <c r="EF104" s="372"/>
      <c r="EG104" s="372"/>
      <c r="EH104" s="372"/>
      <c r="EI104" s="372"/>
      <c r="EJ104" s="372"/>
      <c r="EK104" s="372"/>
      <c r="EL104" s="372"/>
      <c r="EM104" s="372"/>
      <c r="EN104" s="372"/>
      <c r="EO104" s="372"/>
      <c r="EP104" s="372"/>
      <c r="EQ104" s="372"/>
      <c r="ER104" s="372"/>
      <c r="ES104" s="372"/>
      <c r="ET104" s="372"/>
      <c r="EU104" s="372"/>
      <c r="EV104" s="372"/>
      <c r="EW104" s="372"/>
      <c r="EX104" s="372"/>
      <c r="EY104" s="372"/>
      <c r="EZ104" s="372"/>
      <c r="FA104" s="372"/>
      <c r="FB104" s="372"/>
      <c r="FC104" s="372"/>
      <c r="FD104" s="372"/>
      <c r="FE104" s="372"/>
      <c r="FF104" s="372"/>
      <c r="FG104" s="372"/>
      <c r="FH104" s="372"/>
      <c r="FI104" s="372"/>
      <c r="FJ104" s="372"/>
      <c r="FK104" s="372"/>
      <c r="FL104" s="372"/>
      <c r="FM104" s="372"/>
      <c r="FN104" s="372"/>
      <c r="FO104" s="375" t="s">
        <v>850</v>
      </c>
      <c r="FP104" s="376" t="s">
        <v>1120</v>
      </c>
      <c r="FQ104" s="377" t="s">
        <v>522</v>
      </c>
      <c r="FR104" s="377" t="s">
        <v>850</v>
      </c>
      <c r="FS104" s="377" t="s">
        <v>592</v>
      </c>
      <c r="FT104" s="144">
        <f t="shared" si="4"/>
        <v>0</v>
      </c>
      <c r="FU104" s="371" t="s">
        <v>905</v>
      </c>
    </row>
    <row r="105" spans="1:177" s="371" customFormat="1">
      <c r="A105" s="462"/>
      <c r="B105" s="463"/>
      <c r="C105" s="369" t="s">
        <v>555</v>
      </c>
      <c r="D105" s="463" t="s">
        <v>8</v>
      </c>
      <c r="E105" s="464" t="s">
        <v>621</v>
      </c>
      <c r="F105" s="463"/>
      <c r="G105" s="463"/>
      <c r="H105" s="465"/>
      <c r="I105" s="465"/>
      <c r="J105" s="465"/>
      <c r="K105" s="465"/>
      <c r="L105" s="465"/>
      <c r="M105" s="465"/>
      <c r="N105" s="465"/>
      <c r="O105" s="465"/>
      <c r="P105" s="465"/>
      <c r="Q105" s="465"/>
      <c r="R105" s="465"/>
      <c r="S105" s="465"/>
      <c r="T105" s="465"/>
      <c r="U105" s="465"/>
      <c r="V105" s="465"/>
      <c r="W105" s="465"/>
      <c r="X105" s="465"/>
      <c r="Y105" s="465"/>
      <c r="Z105" s="465"/>
      <c r="AA105" s="465"/>
      <c r="AB105" s="465"/>
      <c r="AC105" s="465"/>
      <c r="AD105" s="465"/>
      <c r="AE105" s="465"/>
      <c r="AF105" s="465"/>
      <c r="AG105" s="465"/>
      <c r="AH105" s="465"/>
      <c r="AI105" s="465"/>
      <c r="AJ105" s="465"/>
      <c r="AK105" s="465"/>
      <c r="AL105" s="465"/>
      <c r="AM105" s="465"/>
      <c r="AN105" s="465"/>
      <c r="AO105" s="465"/>
      <c r="AP105" s="465"/>
      <c r="AQ105" s="465"/>
      <c r="AR105" s="465"/>
      <c r="AS105" s="465"/>
      <c r="AT105" s="465"/>
      <c r="AU105" s="465"/>
      <c r="AV105" s="465"/>
      <c r="AW105" s="465"/>
      <c r="AX105" s="465"/>
      <c r="AY105" s="465"/>
      <c r="AZ105" s="465"/>
      <c r="BA105" s="465"/>
      <c r="BB105" s="465"/>
      <c r="BC105" s="465"/>
      <c r="BD105" s="465"/>
      <c r="BE105" s="465"/>
      <c r="BF105" s="465"/>
      <c r="BG105" s="465"/>
      <c r="BH105" s="465"/>
      <c r="BI105" s="465"/>
      <c r="BJ105" s="465"/>
      <c r="BK105" s="465"/>
      <c r="BL105" s="465"/>
      <c r="BM105" s="465"/>
      <c r="BN105" s="465"/>
      <c r="BO105" s="465"/>
      <c r="BP105" s="465"/>
      <c r="BQ105" s="465"/>
      <c r="BR105" s="465"/>
      <c r="BS105" s="465"/>
      <c r="BT105" s="465"/>
      <c r="BU105" s="465"/>
      <c r="BV105" s="465"/>
      <c r="BW105" s="465"/>
      <c r="BX105" s="465"/>
      <c r="BY105" s="465"/>
      <c r="BZ105" s="465"/>
      <c r="CA105" s="465"/>
      <c r="CB105" s="465"/>
      <c r="CC105" s="465"/>
      <c r="CD105" s="465"/>
      <c r="CE105" s="465"/>
      <c r="CF105" s="466"/>
      <c r="CG105" s="465"/>
      <c r="CH105" s="465"/>
      <c r="CI105" s="465"/>
      <c r="CJ105" s="465"/>
      <c r="CK105" s="465"/>
      <c r="CL105" s="465"/>
      <c r="CM105" s="465"/>
      <c r="CN105" s="465"/>
      <c r="CO105" s="465"/>
      <c r="CP105" s="465"/>
      <c r="CQ105" s="465"/>
      <c r="CR105" s="465"/>
      <c r="CS105" s="465"/>
      <c r="CT105" s="465"/>
      <c r="CU105" s="465">
        <v>170</v>
      </c>
      <c r="CV105" s="465"/>
      <c r="CW105" s="465"/>
      <c r="CX105" s="465"/>
      <c r="CY105" s="465"/>
      <c r="CZ105" s="465"/>
      <c r="DA105" s="465">
        <v>70</v>
      </c>
      <c r="DB105" s="465"/>
      <c r="DC105" s="465"/>
      <c r="DD105" s="465"/>
      <c r="DE105" s="465"/>
      <c r="DF105" s="465"/>
      <c r="DG105" s="465">
        <v>2500</v>
      </c>
      <c r="DH105" s="465"/>
      <c r="DI105" s="465"/>
      <c r="DJ105" s="465"/>
      <c r="DK105" s="465"/>
      <c r="DL105" s="465"/>
      <c r="DM105" s="465"/>
      <c r="DN105" s="465"/>
      <c r="DO105" s="465"/>
      <c r="DP105" s="465"/>
      <c r="DQ105" s="465"/>
      <c r="DR105" s="465">
        <v>2</v>
      </c>
      <c r="DS105" s="465"/>
      <c r="DT105" s="465"/>
      <c r="DU105" s="465">
        <v>20</v>
      </c>
      <c r="DV105" s="465"/>
      <c r="DW105" s="465"/>
      <c r="DX105" s="465"/>
      <c r="DY105" s="465"/>
      <c r="DZ105" s="465"/>
      <c r="EA105" s="465">
        <v>30</v>
      </c>
      <c r="EB105" s="465">
        <v>850</v>
      </c>
      <c r="EC105" s="465"/>
      <c r="ED105" s="465"/>
      <c r="EE105" s="465"/>
      <c r="EF105" s="465"/>
      <c r="EG105" s="465"/>
      <c r="EH105" s="465">
        <v>70</v>
      </c>
      <c r="EI105" s="465"/>
      <c r="EJ105" s="465"/>
      <c r="EK105" s="465"/>
      <c r="EL105" s="465"/>
      <c r="EM105" s="465"/>
      <c r="EN105" s="465"/>
      <c r="EO105" s="465"/>
      <c r="EP105" s="465"/>
      <c r="EQ105" s="465"/>
      <c r="ER105" s="465">
        <v>500</v>
      </c>
      <c r="ES105" s="465"/>
      <c r="ET105" s="465"/>
      <c r="EU105" s="465">
        <v>200</v>
      </c>
      <c r="EV105" s="465"/>
      <c r="EW105" s="465"/>
      <c r="EX105" s="465">
        <v>400</v>
      </c>
      <c r="EY105" s="465"/>
      <c r="EZ105" s="465"/>
      <c r="FA105" s="465"/>
      <c r="FB105" s="465"/>
      <c r="FC105" s="465"/>
      <c r="FD105" s="465"/>
      <c r="FE105" s="465"/>
      <c r="FF105" s="465"/>
      <c r="FG105" s="465"/>
      <c r="FH105" s="465"/>
      <c r="FI105" s="465"/>
      <c r="FJ105" s="465"/>
      <c r="FK105" s="465"/>
      <c r="FL105" s="465"/>
      <c r="FM105" s="465"/>
      <c r="FN105" s="465"/>
      <c r="FO105" s="467"/>
      <c r="FP105" s="468"/>
      <c r="FQ105" s="469"/>
      <c r="FR105" s="469"/>
      <c r="FS105" s="469"/>
      <c r="FT105" s="470">
        <f t="shared" ref="FT105:FT114" si="5">SUM(H105:FN105)</f>
        <v>4812</v>
      </c>
    </row>
    <row r="106" spans="1:177" s="371" customFormat="1">
      <c r="A106" s="471"/>
      <c r="B106" s="472"/>
      <c r="C106" s="369" t="s">
        <v>555</v>
      </c>
      <c r="D106" s="472" t="s">
        <v>4</v>
      </c>
      <c r="E106" s="473" t="s">
        <v>621</v>
      </c>
      <c r="F106" s="472"/>
      <c r="G106" s="472"/>
      <c r="H106" s="474">
        <f>H86+H83+H74+H50</f>
        <v>45</v>
      </c>
      <c r="I106" s="474">
        <v>10</v>
      </c>
      <c r="J106" s="474"/>
      <c r="K106" s="474">
        <v>20</v>
      </c>
      <c r="L106" s="474">
        <v>20</v>
      </c>
      <c r="M106" s="474"/>
      <c r="N106" s="474"/>
      <c r="O106" s="474">
        <v>40</v>
      </c>
      <c r="P106" s="474">
        <v>1</v>
      </c>
      <c r="Q106" s="474"/>
      <c r="R106" s="474">
        <v>10</v>
      </c>
      <c r="S106" s="474">
        <v>10</v>
      </c>
      <c r="T106" s="474"/>
      <c r="U106" s="474">
        <v>10</v>
      </c>
      <c r="V106" s="474">
        <v>20</v>
      </c>
      <c r="W106" s="474"/>
      <c r="X106" s="474">
        <v>200</v>
      </c>
      <c r="Y106" s="474"/>
      <c r="Z106" s="474"/>
      <c r="AA106" s="474"/>
      <c r="AB106" s="474"/>
      <c r="AC106" s="474"/>
      <c r="AD106" s="474"/>
      <c r="AE106" s="474"/>
      <c r="AF106" s="474"/>
      <c r="AG106" s="474"/>
      <c r="AH106" s="474"/>
      <c r="AI106" s="474"/>
      <c r="AJ106" s="474"/>
      <c r="AK106" s="474"/>
      <c r="AL106" s="474"/>
      <c r="AM106" s="474"/>
      <c r="AN106" s="474"/>
      <c r="AO106" s="474"/>
      <c r="AP106" s="474"/>
      <c r="AQ106" s="474"/>
      <c r="AR106" s="474"/>
      <c r="AS106" s="474">
        <v>7</v>
      </c>
      <c r="AT106" s="474"/>
      <c r="AU106" s="474">
        <v>30</v>
      </c>
      <c r="AV106" s="474">
        <v>50</v>
      </c>
      <c r="AW106" s="474"/>
      <c r="AX106" s="474">
        <v>13</v>
      </c>
      <c r="AY106" s="474">
        <v>130</v>
      </c>
      <c r="AZ106" s="474"/>
      <c r="BA106" s="474"/>
      <c r="BB106" s="474"/>
      <c r="BC106" s="474">
        <v>4</v>
      </c>
      <c r="BD106" s="474">
        <v>5</v>
      </c>
      <c r="BE106" s="474"/>
      <c r="BF106" s="474"/>
      <c r="BG106" s="474">
        <v>126</v>
      </c>
      <c r="BH106" s="474"/>
      <c r="BI106" s="474"/>
      <c r="BJ106" s="474">
        <v>70</v>
      </c>
      <c r="BK106" s="474">
        <v>92</v>
      </c>
      <c r="BL106" s="474"/>
      <c r="BM106" s="474"/>
      <c r="BN106" s="474"/>
      <c r="BO106" s="474"/>
      <c r="BP106" s="474">
        <v>20</v>
      </c>
      <c r="BQ106" s="474"/>
      <c r="BR106" s="474"/>
      <c r="BS106" s="474"/>
      <c r="BT106" s="474"/>
      <c r="BU106" s="474">
        <v>325</v>
      </c>
      <c r="BV106" s="474">
        <v>50</v>
      </c>
      <c r="BW106" s="474"/>
      <c r="BX106" s="474"/>
      <c r="BY106" s="474">
        <v>50</v>
      </c>
      <c r="BZ106" s="474">
        <v>110</v>
      </c>
      <c r="CA106" s="474">
        <v>110</v>
      </c>
      <c r="CB106" s="474"/>
      <c r="CC106" s="474"/>
      <c r="CD106" s="474"/>
      <c r="CE106" s="474">
        <v>200</v>
      </c>
      <c r="CF106" s="474">
        <v>6</v>
      </c>
      <c r="CG106" s="474">
        <v>455</v>
      </c>
      <c r="CH106" s="474">
        <v>130</v>
      </c>
      <c r="CI106" s="474">
        <v>1</v>
      </c>
      <c r="CJ106" s="474">
        <v>1</v>
      </c>
      <c r="CK106" s="474"/>
      <c r="CL106" s="474">
        <v>290</v>
      </c>
      <c r="CM106" s="474">
        <v>250</v>
      </c>
      <c r="CN106" s="474">
        <v>560</v>
      </c>
      <c r="CO106" s="474">
        <v>170</v>
      </c>
      <c r="CP106" s="474">
        <v>250</v>
      </c>
      <c r="CQ106" s="474"/>
      <c r="CR106" s="474">
        <v>1</v>
      </c>
      <c r="CS106" s="474"/>
      <c r="CT106" s="474"/>
      <c r="CU106" s="474"/>
      <c r="CV106" s="474"/>
      <c r="CW106" s="474">
        <v>140</v>
      </c>
      <c r="CX106" s="474">
        <v>150</v>
      </c>
      <c r="CY106" s="474">
        <v>10</v>
      </c>
      <c r="CZ106" s="474"/>
      <c r="DA106" s="474"/>
      <c r="DB106" s="474"/>
      <c r="DC106" s="474"/>
      <c r="DD106" s="474"/>
      <c r="DE106" s="474"/>
      <c r="DF106" s="474">
        <v>15</v>
      </c>
      <c r="DG106" s="474"/>
      <c r="DH106" s="474">
        <v>2</v>
      </c>
      <c r="DI106" s="474"/>
      <c r="DJ106" s="474"/>
      <c r="DK106" s="474">
        <v>60</v>
      </c>
      <c r="DL106" s="474"/>
      <c r="DM106" s="474">
        <v>10</v>
      </c>
      <c r="DN106" s="474"/>
      <c r="DO106" s="474"/>
      <c r="DP106" s="474"/>
      <c r="DQ106" s="474">
        <v>60</v>
      </c>
      <c r="DR106" s="474">
        <v>13</v>
      </c>
      <c r="DS106" s="474"/>
      <c r="DT106" s="474"/>
      <c r="DU106" s="474"/>
      <c r="DV106" s="474"/>
      <c r="DW106" s="474"/>
      <c r="DX106" s="474"/>
      <c r="DY106" s="474"/>
      <c r="DZ106" s="474">
        <v>400</v>
      </c>
      <c r="EA106" s="474"/>
      <c r="EB106" s="474"/>
      <c r="EC106" s="474"/>
      <c r="ED106" s="474"/>
      <c r="EE106" s="474"/>
      <c r="EF106" s="474"/>
      <c r="EG106" s="474"/>
      <c r="EH106" s="474"/>
      <c r="EI106" s="474"/>
      <c r="EJ106" s="474"/>
      <c r="EK106" s="474">
        <v>200</v>
      </c>
      <c r="EL106" s="474">
        <v>100</v>
      </c>
      <c r="EM106" s="474"/>
      <c r="EN106" s="474"/>
      <c r="EO106" s="474"/>
      <c r="EP106" s="474"/>
      <c r="EQ106" s="474"/>
      <c r="ER106" s="474"/>
      <c r="ES106" s="474"/>
      <c r="ET106" s="474"/>
      <c r="EU106" s="474"/>
      <c r="EV106" s="474">
        <v>400</v>
      </c>
      <c r="EW106" s="474"/>
      <c r="EX106" s="474"/>
      <c r="EY106" s="474"/>
      <c r="EZ106" s="474"/>
      <c r="FA106" s="474"/>
      <c r="FB106" s="474"/>
      <c r="FC106" s="474"/>
      <c r="FD106" s="474"/>
      <c r="FE106" s="474"/>
      <c r="FF106" s="474">
        <v>15</v>
      </c>
      <c r="FG106" s="474"/>
      <c r="FH106" s="474"/>
      <c r="FI106" s="474"/>
      <c r="FJ106" s="474"/>
      <c r="FK106" s="474"/>
      <c r="FL106" s="474"/>
      <c r="FM106" s="474"/>
      <c r="FN106" s="474"/>
      <c r="FO106" s="475"/>
      <c r="FP106" s="476"/>
      <c r="FQ106" s="477"/>
      <c r="FR106" s="477"/>
      <c r="FS106" s="477"/>
      <c r="FT106" s="478">
        <f t="shared" si="5"/>
        <v>5467</v>
      </c>
    </row>
    <row r="107" spans="1:177" s="400" customFormat="1" ht="11" thickBot="1">
      <c r="A107" s="479"/>
      <c r="B107" s="392"/>
      <c r="C107" s="369" t="s">
        <v>555</v>
      </c>
      <c r="D107" s="392" t="s">
        <v>3</v>
      </c>
      <c r="E107" s="393" t="s">
        <v>621</v>
      </c>
      <c r="F107" s="392"/>
      <c r="G107" s="392"/>
      <c r="H107" s="394"/>
      <c r="I107" s="394"/>
      <c r="J107" s="394"/>
      <c r="K107" s="394"/>
      <c r="L107" s="394"/>
      <c r="M107" s="394"/>
      <c r="N107" s="394"/>
      <c r="O107" s="394"/>
      <c r="P107" s="394"/>
      <c r="Q107" s="394">
        <v>2</v>
      </c>
      <c r="R107" s="394"/>
      <c r="S107" s="394"/>
      <c r="T107" s="394"/>
      <c r="U107" s="394"/>
      <c r="V107" s="394"/>
      <c r="W107" s="394"/>
      <c r="X107" s="394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4">
        <v>10</v>
      </c>
      <c r="AO107" s="394"/>
      <c r="AP107" s="394"/>
      <c r="AQ107" s="394"/>
      <c r="AR107" s="394">
        <v>10</v>
      </c>
      <c r="AS107" s="394"/>
      <c r="AT107" s="394"/>
      <c r="AU107" s="394"/>
      <c r="AV107" s="394"/>
      <c r="AW107" s="394"/>
      <c r="AX107" s="394"/>
      <c r="AY107" s="394"/>
      <c r="AZ107" s="394"/>
      <c r="BA107" s="394"/>
      <c r="BB107" s="394"/>
      <c r="BC107" s="394"/>
      <c r="BD107" s="394"/>
      <c r="BE107" s="394"/>
      <c r="BF107" s="394"/>
      <c r="BG107" s="394"/>
      <c r="BH107" s="394"/>
      <c r="BI107" s="394"/>
      <c r="BJ107" s="394"/>
      <c r="BK107" s="394"/>
      <c r="BL107" s="394"/>
      <c r="BM107" s="394"/>
      <c r="BN107" s="394"/>
      <c r="BO107" s="394"/>
      <c r="BP107" s="394"/>
      <c r="BQ107" s="394"/>
      <c r="BR107" s="394"/>
      <c r="BS107" s="394"/>
      <c r="BT107" s="394">
        <v>55</v>
      </c>
      <c r="BU107" s="394"/>
      <c r="BV107" s="394"/>
      <c r="BW107" s="394"/>
      <c r="BX107" s="394"/>
      <c r="BY107" s="394"/>
      <c r="BZ107" s="394"/>
      <c r="CA107" s="394"/>
      <c r="CB107" s="394"/>
      <c r="CC107" s="394"/>
      <c r="CD107" s="394"/>
      <c r="CE107" s="394"/>
      <c r="CF107" s="394"/>
      <c r="CG107" s="394"/>
      <c r="CH107" s="394"/>
      <c r="CI107" s="394"/>
      <c r="CJ107" s="394"/>
      <c r="CK107" s="394"/>
      <c r="CL107" s="394"/>
      <c r="CM107" s="394"/>
      <c r="CN107" s="394"/>
      <c r="CO107" s="394"/>
      <c r="CP107" s="394"/>
      <c r="CQ107" s="394"/>
      <c r="CR107" s="394"/>
      <c r="CS107" s="394"/>
      <c r="CT107" s="394"/>
      <c r="CU107" s="394"/>
      <c r="CV107" s="394"/>
      <c r="CW107" s="394"/>
      <c r="CX107" s="394"/>
      <c r="CY107" s="394"/>
      <c r="CZ107" s="394"/>
      <c r="DA107" s="394"/>
      <c r="DB107" s="394"/>
      <c r="DC107" s="394"/>
      <c r="DD107" s="394"/>
      <c r="DE107" s="394"/>
      <c r="DF107" s="394"/>
      <c r="DG107" s="394"/>
      <c r="DH107" s="394"/>
      <c r="DI107" s="394"/>
      <c r="DJ107" s="394"/>
      <c r="DK107" s="394"/>
      <c r="DL107" s="394"/>
      <c r="DM107" s="394"/>
      <c r="DN107" s="394"/>
      <c r="DO107" s="394"/>
      <c r="DP107" s="394"/>
      <c r="DQ107" s="394"/>
      <c r="DR107" s="394"/>
      <c r="DS107" s="394"/>
      <c r="DT107" s="394"/>
      <c r="DU107" s="394"/>
      <c r="DV107" s="394"/>
      <c r="DW107" s="394"/>
      <c r="DX107" s="394"/>
      <c r="DY107" s="394"/>
      <c r="DZ107" s="394"/>
      <c r="EA107" s="394"/>
      <c r="EB107" s="394"/>
      <c r="EC107" s="394"/>
      <c r="ED107" s="394"/>
      <c r="EE107" s="394"/>
      <c r="EF107" s="394"/>
      <c r="EG107" s="394"/>
      <c r="EH107" s="394"/>
      <c r="EI107" s="394"/>
      <c r="EJ107" s="394"/>
      <c r="EK107" s="394"/>
      <c r="EL107" s="394"/>
      <c r="EM107" s="394"/>
      <c r="EN107" s="394"/>
      <c r="EO107" s="394"/>
      <c r="EP107" s="394"/>
      <c r="EQ107" s="394"/>
      <c r="ER107" s="394"/>
      <c r="ES107" s="394"/>
      <c r="ET107" s="394"/>
      <c r="EU107" s="394"/>
      <c r="EV107" s="394"/>
      <c r="EW107" s="394"/>
      <c r="EX107" s="394"/>
      <c r="EY107" s="394"/>
      <c r="EZ107" s="394"/>
      <c r="FA107" s="394"/>
      <c r="FB107" s="394"/>
      <c r="FC107" s="394"/>
      <c r="FD107" s="394"/>
      <c r="FE107" s="394"/>
      <c r="FF107" s="394"/>
      <c r="FG107" s="394"/>
      <c r="FH107" s="394"/>
      <c r="FI107" s="394"/>
      <c r="FJ107" s="394"/>
      <c r="FK107" s="394"/>
      <c r="FL107" s="394"/>
      <c r="FM107" s="394"/>
      <c r="FN107" s="394"/>
      <c r="FO107" s="396"/>
      <c r="FP107" s="397"/>
      <c r="FQ107" s="398"/>
      <c r="FR107" s="398"/>
      <c r="FS107" s="398"/>
      <c r="FT107" s="480">
        <f t="shared" si="5"/>
        <v>77</v>
      </c>
    </row>
    <row r="109" spans="1:177">
      <c r="E109" s="85" t="s">
        <v>623</v>
      </c>
      <c r="H109" s="190">
        <f>H37+H38+H39+H49+H50+H51+H55+H56+H57+H73+H74+H75+H85+H86+H87+H94+H95</f>
        <v>40</v>
      </c>
      <c r="I109" s="190">
        <f>I37+I38+I39+I49+I50+I51+I55+I56+I57+I73+I74+I75+I85+I86+I87+I94+I95</f>
        <v>10</v>
      </c>
      <c r="K109" s="190">
        <f>K37+K38+K39+K49+K50+K51+K55+K56+K57+K73+K74+K75+K85+K86+K87+K94+K95</f>
        <v>20</v>
      </c>
      <c r="L109" s="190">
        <f>L37+L38+L39+L49+L50+L51+L55+L56+L57+L73+L74+L75+L85+L86+L87+L94+L95</f>
        <v>0</v>
      </c>
      <c r="O109" s="190">
        <f>O37+O38+O39+O49+O50+O51+O55+O56+O57+O73+O74+O75+O85+O86+O87+O94+O95</f>
        <v>15</v>
      </c>
      <c r="P109" s="190">
        <f>P37+P38+P39+P49+P50+P51+P55+P56+P57+P73+P74+P75+P85+P86+P87+P94+P95</f>
        <v>1</v>
      </c>
      <c r="Q109" s="190">
        <f>Q37+Q38+Q39+Q49+Q50+Q51+Q55+Q56+Q57+Q73+Q74+Q75+Q85+Q86+Q87+Q94+Q95</f>
        <v>2</v>
      </c>
      <c r="R109" s="190">
        <f>R37+R38+R39+R49+R50+R51+R55+R56+R57+R73+R74+R75+R85+R86+R87+R94+R95</f>
        <v>10</v>
      </c>
      <c r="S109" s="190">
        <f>S37+S38+S39+S49+S50+S51+S55+S56+S57+S73+S74+S75+S85+S86+S87+S94+S95</f>
        <v>0</v>
      </c>
      <c r="U109" s="190">
        <f>U37+U38+U39+U49+U50+U51+U55+U56+U57+U73+U74+U75+U85+U86+U87+U94+U95</f>
        <v>10</v>
      </c>
      <c r="V109" s="190">
        <f>V37+V38+V39+V49+V50+V51+V55+V56+V57+V73+V74+V75+V85+V86+V87+V94+V95</f>
        <v>0</v>
      </c>
      <c r="X109" s="190">
        <v>0</v>
      </c>
      <c r="AN109" s="190">
        <f>AN37+AN38+AN39+AN49+AN50+AN51+AN55+AN56+AN57+AN73+AN74+AN75+AN85+AN86+AN87+AN94+AN95</f>
        <v>8</v>
      </c>
      <c r="AR109" s="190">
        <f>AR37+AR38+AR39+AR49+AR50+AR51+AR55+AR56+AR57+AR73+AR74+AR75+AR85+AR86+AR87+AR94+AR95</f>
        <v>8</v>
      </c>
      <c r="AS109" s="190">
        <f>AS37+AS38+AS39+AS49+AS50+AS51+AS55+AS56+AS57+AS73+AS74+AS75+AS85+AS86+AS87+AS94+AS95</f>
        <v>4</v>
      </c>
      <c r="AU109" s="190">
        <f>AU37+AU38+AU39+AU49+AU50+AU51+AU55+AU56+AU57+AU73+AU74+AU75+AU85+AU86+AU87+AU94+AU95</f>
        <v>18</v>
      </c>
      <c r="AV109" s="190">
        <f>AV37+AV38+AV39+AV49+AV50+AV51+AV55+AV56+AV57+AV73+AV74+AV75+AV85+AV86+AV87+AV94+AV95</f>
        <v>31</v>
      </c>
      <c r="AX109" s="190">
        <f t="shared" ref="AX109:AY109" si="6">AX37+AX38+AX39+AX49+AX50+AX51+AX55+AX56+AX57+AX73+AX74+AX75+AX85+AX86+AX87+AX94+AX95</f>
        <v>9</v>
      </c>
      <c r="AY109" s="190">
        <f t="shared" si="6"/>
        <v>130</v>
      </c>
      <c r="BC109" s="190">
        <f t="shared" ref="BC109:BD109" si="7">BC37+BC38+BC39+BC49+BC50+BC51+BC55+BC56+BC57+BC73+BC74+BC75+BC85+BC86+BC87+BC94+BC95</f>
        <v>2</v>
      </c>
      <c r="BD109" s="190">
        <f t="shared" si="7"/>
        <v>3</v>
      </c>
      <c r="BG109" s="190">
        <f t="shared" ref="BG109" si="8">BG37+BG38+BG39+BG49+BG50+BG51+BG55+BG56+BG57+BG73+BG74+BG75+BG85+BG86+BG87+BG94+BG95</f>
        <v>96</v>
      </c>
      <c r="BJ109" s="190">
        <f t="shared" ref="BJ109:BK109" si="9">BJ37+BJ38+BJ39+BJ49+BJ50+BJ51+BJ55+BJ56+BJ57+BJ73+BJ74+BJ75+BJ85+BJ86+BJ87+BJ94+BJ95</f>
        <v>45</v>
      </c>
      <c r="BK109" s="190">
        <f t="shared" si="9"/>
        <v>92</v>
      </c>
      <c r="BP109" s="190">
        <f t="shared" ref="BP109" si="10">BP37+BP38+BP39+BP49+BP50+BP51+BP55+BP56+BP57+BP73+BP74+BP75+BP85+BP86+BP87+BP94+BP95</f>
        <v>18</v>
      </c>
      <c r="BT109" s="190">
        <f t="shared" ref="BT109:BV109" si="11">BT37+BT38+BT39+BT49+BT50+BT51+BT55+BT56+BT57+BT73+BT74+BT75+BT85+BT86+BT87+BT94+BT95</f>
        <v>55</v>
      </c>
      <c r="BU109" s="190">
        <f t="shared" si="11"/>
        <v>230</v>
      </c>
      <c r="BV109" s="190">
        <f t="shared" si="11"/>
        <v>32</v>
      </c>
      <c r="BY109" s="190">
        <f t="shared" ref="BY109:CA109" si="12">BY37+BY38+BY39+BY49+BY50+BY51+BY55+BY56+BY57+BY73+BY74+BY75+BY85+BY86+BY87+BY94+BY95</f>
        <v>30</v>
      </c>
      <c r="BZ109" s="190">
        <f t="shared" si="12"/>
        <v>80</v>
      </c>
      <c r="CA109" s="190">
        <f t="shared" si="12"/>
        <v>70</v>
      </c>
      <c r="CE109" s="190">
        <f t="shared" ref="CE109:CH109" si="13">CE37+CE38+CE39+CE49+CE50+CE51+CE55+CE56+CE57+CE73+CE74+CE75+CE85+CE86+CE87+CE94+CE95</f>
        <v>145</v>
      </c>
      <c r="CF109" s="190">
        <f t="shared" si="13"/>
        <v>6</v>
      </c>
      <c r="CG109" s="190">
        <f t="shared" si="13"/>
        <v>325</v>
      </c>
      <c r="CH109" s="190">
        <f t="shared" si="13"/>
        <v>85</v>
      </c>
      <c r="CL109" s="190">
        <f t="shared" ref="CL109" si="14">CL37+CL38+CL39+CL49+CL50+CL51+CL55+CL56+CL57+CL73+CL74+CL75+CL85+CL86+CL87+CL94+CL95</f>
        <v>220</v>
      </c>
      <c r="CM109" s="190">
        <f t="shared" ref="CM109:CP109" si="15">CM37+CM38+CM39+CM49+CM50+CM51+CM55+CM56+CM57+CM73+CM74+CM75+CM85+CM86+CM87+CM94+CM95</f>
        <v>190</v>
      </c>
      <c r="CN109" s="190">
        <f t="shared" si="15"/>
        <v>390</v>
      </c>
      <c r="CO109" s="190">
        <f t="shared" si="15"/>
        <v>130</v>
      </c>
      <c r="CP109" s="190">
        <f t="shared" si="15"/>
        <v>180</v>
      </c>
      <c r="CU109" s="190">
        <f t="shared" ref="CU109" si="16">CU37+CU38+CU39+CU49+CU50+CU51+CU55+CU56+CU57+CU73+CU74+CU75+CU85+CU86+CU87+CU94+CU95</f>
        <v>110</v>
      </c>
      <c r="CW109" s="190">
        <f t="shared" ref="CW109:CY109" si="17">CW37+CW38+CW39+CW49+CW50+CW51+CW55+CW56+CW57+CW73+CW74+CW75+CW85+CW86+CW87+CW94+CW95</f>
        <v>100</v>
      </c>
      <c r="CX109" s="190">
        <f t="shared" si="17"/>
        <v>100</v>
      </c>
      <c r="CY109" s="190">
        <f t="shared" si="17"/>
        <v>10</v>
      </c>
      <c r="DA109" s="190">
        <f t="shared" ref="DA109" si="18">DA37+DA38+DA39+DA49+DA50+DA51+DA55+DA56+DA57+DA73+DA74+DA75+DA85+DA86+DA87+DA94+DA95</f>
        <v>35</v>
      </c>
      <c r="DG109" s="190">
        <f t="shared" ref="DG109" si="19">DG37+DG38+DG39+DG49+DG50+DG51+DG55+DG56+DG57+DG73+DG74+DG75+DG85+DG86+DG87+DG94+DG95</f>
        <v>1900</v>
      </c>
      <c r="DH109" s="92">
        <v>2</v>
      </c>
      <c r="DK109" s="190">
        <f t="shared" ref="DK109" si="20">DK37+DK38+DK39+DK49+DK50+DK51+DK55+DK56+DK57+DK73+DK74+DK75+DK85+DK86+DK87+DK94+DK95</f>
        <v>30</v>
      </c>
      <c r="DQ109" s="190">
        <f t="shared" ref="DQ109:DR109" si="21">DQ37+DQ38+DQ39+DQ49+DQ50+DQ51+DQ55+DQ56+DQ57+DQ73+DQ74+DQ75+DQ85+DQ86+DQ87+DQ94+DQ95</f>
        <v>20</v>
      </c>
      <c r="DR109" s="190">
        <f t="shared" si="21"/>
        <v>0</v>
      </c>
      <c r="DZ109" s="190">
        <f t="shared" ref="DZ109:EA109" si="22">DZ37+DZ38+DZ39+DZ49+DZ50+DZ51+DZ55+DZ56+DZ57+DZ73+DZ74+DZ75+DZ85+DZ86+DZ87+DZ94+DZ95</f>
        <v>240</v>
      </c>
      <c r="EA109" s="190">
        <f t="shared" si="22"/>
        <v>20</v>
      </c>
      <c r="EB109" s="190">
        <f t="shared" ref="EB109" si="23">EB37+EB38+EB39+EB49+EB50+EB51+EB55+EB56+EB57+EB73+EB74+EB75+EB85+EB86+EB87+EB94+EB95</f>
        <v>290</v>
      </c>
      <c r="EH109" s="190">
        <f t="shared" ref="EH109" si="24">EH37+EH38+EH39+EH49+EH50+EH51+EH55+EH56+EH57+EH73+EH74+EH75+EH85+EH86+EH87+EH94+EH95</f>
        <v>40</v>
      </c>
      <c r="EK109" s="190">
        <f t="shared" ref="EK109:EL109" si="25">EK37+EK38+EK39+EK49+EK50+EK51+EK55+EK56+EK57+EK73+EK74+EK75+EK85+EK86+EK87+EK94+EK95</f>
        <v>140</v>
      </c>
      <c r="EL109" s="190">
        <f t="shared" si="25"/>
        <v>40</v>
      </c>
      <c r="ER109" s="190">
        <f t="shared" ref="ER109" si="26">ER37+ER38+ER39+ER49+ER50+ER51+ER55+ER56+ER57+ER73+ER74+ER75+ER85+ER86+ER87+ER94+ER95</f>
        <v>300</v>
      </c>
      <c r="EU109" s="190">
        <f t="shared" ref="EU109:EV109" si="27">EU37+EU38+EU39+EU49+EU50+EU51+EU55+EU56+EU57+EU73+EU74+EU75+EU85+EU86+EU87+EU94+EU95</f>
        <v>60</v>
      </c>
      <c r="EV109" s="190">
        <f t="shared" si="27"/>
        <v>380</v>
      </c>
      <c r="EX109" s="92">
        <v>400</v>
      </c>
      <c r="FT109" s="92">
        <f t="shared" si="5"/>
        <v>6957</v>
      </c>
    </row>
    <row r="110" spans="1:177">
      <c r="E110" s="87" t="s">
        <v>624</v>
      </c>
      <c r="H110" s="190">
        <f>H31+H32+H33+H34+H35+H36+H58+H59+H60+H82+H83+H84+H96+H97+H98</f>
        <v>5</v>
      </c>
      <c r="I110" s="190">
        <f>I31+I32+I33+I34+I35+I36+I58+I59+I60+I82+I83+I84+I96+I97+I98</f>
        <v>0</v>
      </c>
      <c r="K110" s="190">
        <f>K31+K32+K33+K34+K35+K36+K58+K59+K60+K82+K83+K84+K96+K97+K98</f>
        <v>0</v>
      </c>
      <c r="L110" s="190">
        <f>L31+L32+L33+L34+L35+L36+L58+L59+L60+L82+L83+L84+L96+L97+L98</f>
        <v>0</v>
      </c>
      <c r="O110" s="190">
        <f>O31+O32+O33+O34+O35+O36+O58+O59+O60+O82+O83+O84+O96+O97+O98</f>
        <v>5</v>
      </c>
      <c r="P110" s="190">
        <f>P31+P32+P33+P34+P35+P36+P58+P59+P60+P82+P83+P84+P96+P97+P98</f>
        <v>0</v>
      </c>
      <c r="Q110" s="190">
        <f>Q31+Q32+Q33+Q34+Q35+Q36+Q58+Q59+Q60+Q82+Q83+Q84+Q96+Q97+Q98</f>
        <v>0</v>
      </c>
      <c r="R110" s="190">
        <f>R31+R32+R33+R34+R35+R36+R58+R59+R60+R82+R83+R84+R96+R97+R98</f>
        <v>0</v>
      </c>
      <c r="S110" s="190">
        <f>S31+S32+S33+S34+S35+S36+S58+S59+S60+S82+S83+S84+S96+S97+S98</f>
        <v>0</v>
      </c>
      <c r="U110" s="190">
        <f>U31+U32+U33+U34+U35+U36+U58+U59+U60+U82+U83+U84+U96+U97+U98</f>
        <v>0</v>
      </c>
      <c r="V110" s="190">
        <f>V31+V32+V33+V34+V35+V36+V58+V59+V60+V82+V83+V84+V96+V97+V98</f>
        <v>5</v>
      </c>
      <c r="X110" s="190">
        <v>0</v>
      </c>
      <c r="AN110" s="190">
        <f>AN31+AN32+AN33+AN34+AN35+AN36+AN58+AN59+AN60+AN82+AN83+AN84+AN96+AN97+AN98</f>
        <v>2</v>
      </c>
      <c r="AR110" s="190">
        <f>AR31+AR32+AR33+AR34+AR35+AR36+AR58+AR59+AR60+AR82+AR83+AR84+AR96+AR97+AR98</f>
        <v>2</v>
      </c>
      <c r="AS110" s="190">
        <f>AS31+AS32+AS33+AS34+AS35+AS36+AS58+AS59+AS60+AS82+AS83+AS84+AS96+AS97+AS98</f>
        <v>1</v>
      </c>
      <c r="AU110" s="190">
        <f>AU31+AU32+AU33+AU34+AU35+AU36+AU58+AU59+AU60+AU82+AU83+AU84+AU96+AU97+AU98</f>
        <v>5</v>
      </c>
      <c r="AV110" s="190">
        <f>AV31+AV32+AV33+AV34+AV35+AV36+AV58+AV59+AV60+AV82+AV83+AV84+AV96+AV97+AV98</f>
        <v>4</v>
      </c>
      <c r="AX110" s="190">
        <f t="shared" ref="AX110:AY110" si="28">AX31+AX32+AX33+AX34+AX35+AX36+AX58+AX59+AX60+AX82+AX83+AX84+AX96+AX97+AX98</f>
        <v>2</v>
      </c>
      <c r="AY110" s="190">
        <f t="shared" si="28"/>
        <v>0</v>
      </c>
      <c r="BC110" s="190">
        <f t="shared" ref="BC110:BD110" si="29">BC31+BC32+BC33+BC34+BC35+BC36+BC58+BC59+BC60+BC82+BC83+BC84+BC96+BC97+BC98</f>
        <v>2</v>
      </c>
      <c r="BD110" s="190">
        <f t="shared" si="29"/>
        <v>2</v>
      </c>
      <c r="BG110" s="190">
        <f t="shared" ref="BG110" si="30">BG31+BG32+BG33+BG34+BG35+BG36+BG58+BG59+BG60+BG82+BG83+BG84+BG96+BG97+BG98</f>
        <v>8</v>
      </c>
      <c r="BJ110" s="190">
        <f t="shared" ref="BJ110:BK110" si="31">BJ31+BJ32+BJ33+BJ34+BJ35+BJ36+BJ58+BJ59+BJ60+BJ82+BJ83+BJ84+BJ96+BJ97+BJ98</f>
        <v>10</v>
      </c>
      <c r="BK110" s="190">
        <f t="shared" si="31"/>
        <v>0</v>
      </c>
      <c r="BP110" s="190">
        <f t="shared" ref="BP110" si="32">BP31+BP32+BP33+BP34+BP35+BP36+BP58+BP59+BP60+BP82+BP83+BP84+BP96+BP97+BP98</f>
        <v>2</v>
      </c>
      <c r="BT110" s="190">
        <f t="shared" ref="BT110:BV110" si="33">BT31+BT32+BT33+BT34+BT35+BT36+BT58+BT59+BT60+BT82+BT83+BT84+BT96+BT97+BT98</f>
        <v>0</v>
      </c>
      <c r="BU110" s="190">
        <f t="shared" si="33"/>
        <v>30</v>
      </c>
      <c r="BV110" s="190">
        <f t="shared" si="33"/>
        <v>3</v>
      </c>
      <c r="BY110" s="190">
        <f t="shared" ref="BY110:CA110" si="34">BY31+BY32+BY33+BY34+BY35+BY36+BY58+BY59+BY60+BY82+BY83+BY84+BY96+BY97+BY98</f>
        <v>5</v>
      </c>
      <c r="BZ110" s="190">
        <f t="shared" si="34"/>
        <v>5</v>
      </c>
      <c r="CA110" s="190">
        <f t="shared" si="34"/>
        <v>10</v>
      </c>
      <c r="CE110" s="190">
        <f t="shared" ref="CE110:CH110" si="35">CE31+CE32+CE33+CE34+CE35+CE36+CE58+CE59+CE60+CE82+CE83+CE84+CE96+CE97+CE98</f>
        <v>10</v>
      </c>
      <c r="CF110" s="190">
        <f t="shared" si="35"/>
        <v>0</v>
      </c>
      <c r="CG110" s="190">
        <f t="shared" si="35"/>
        <v>35</v>
      </c>
      <c r="CH110" s="190">
        <f t="shared" si="35"/>
        <v>15</v>
      </c>
      <c r="CL110" s="190">
        <f t="shared" ref="CL110" si="36">CL31+CL32+CL33+CL34+CL35+CL36+CL58+CL59+CL60+CL82+CL83+CL84+CL96+CL97+CL98</f>
        <v>10</v>
      </c>
      <c r="CM110" s="190">
        <f t="shared" ref="CM110:CP110" si="37">CM31+CM32+CM33+CM34+CM35+CM36+CM58+CM59+CM60+CM82+CM83+CM84+CM96+CM97+CM98</f>
        <v>10</v>
      </c>
      <c r="CN110" s="190">
        <f t="shared" si="37"/>
        <v>40</v>
      </c>
      <c r="CO110" s="190">
        <f t="shared" si="37"/>
        <v>10</v>
      </c>
      <c r="CP110" s="190">
        <f t="shared" si="37"/>
        <v>20</v>
      </c>
      <c r="CR110" s="92">
        <v>1</v>
      </c>
      <c r="CU110" s="190">
        <f t="shared" ref="CU110" si="38">CU31+CU32+CU33+CU34+CU35+CU36+CU58+CU59+CU60+CU82+CU83+CU84+CU96+CU97+CU98</f>
        <v>20</v>
      </c>
      <c r="CW110" s="190">
        <f t="shared" ref="CW110:CY110" si="39">CW31+CW32+CW33+CW34+CW35+CW36+CW58+CW59+CW60+CW82+CW83+CW84+CW96+CW97+CW98</f>
        <v>10</v>
      </c>
      <c r="CX110" s="190">
        <f t="shared" si="39"/>
        <v>20</v>
      </c>
      <c r="CY110" s="190">
        <f t="shared" si="39"/>
        <v>0</v>
      </c>
      <c r="DA110" s="190">
        <f t="shared" ref="DA110" si="40">DA31+DA32+DA33+DA34+DA35+DA36+DA58+DA59+DA60+DA82+DA83+DA84+DA96+DA97+DA98</f>
        <v>10</v>
      </c>
      <c r="DF110" s="92">
        <v>15</v>
      </c>
      <c r="DG110" s="190">
        <f t="shared" ref="DG110" si="41">DG31+DG32+DG33+DG34+DG35+DG36+DG58+DG59+DG60+DG82+DG83+DG84+DG96+DG97+DG98</f>
        <v>540</v>
      </c>
      <c r="DK110" s="190">
        <f t="shared" ref="DK110" si="42">DK31+DK32+DK33+DK34+DK35+DK36+DK58+DK59+DK60+DK82+DK83+DK84+DK96+DK97+DK98</f>
        <v>20</v>
      </c>
      <c r="DM110" s="92">
        <v>10</v>
      </c>
      <c r="DQ110" s="190">
        <f t="shared" ref="DQ110:DR110" si="43">DQ31+DQ32+DQ33+DQ34+DQ35+DQ36+DQ58+DQ59+DQ60+DQ82+DQ83+DQ84+DQ96+DQ97+DQ98</f>
        <v>20</v>
      </c>
      <c r="DR110" s="190">
        <f t="shared" si="43"/>
        <v>15</v>
      </c>
      <c r="DZ110" s="190">
        <f t="shared" ref="DZ110:EA110" si="44">DZ31+DZ32+DZ33+DZ34+DZ35+DZ36+DZ58+DZ59+DZ60+DZ82+DZ83+DZ84+DZ96+DZ97+DZ98</f>
        <v>60</v>
      </c>
      <c r="EA110" s="190">
        <f t="shared" si="44"/>
        <v>0</v>
      </c>
      <c r="EB110" s="190">
        <f t="shared" ref="EB110" si="45">EB31+EB32+EB33+EB34+EB35+EB36+EB58+EB59+EB60+EB82+EB83+EB84+EB96+EB97+EB98</f>
        <v>380</v>
      </c>
      <c r="EH110" s="190">
        <f t="shared" ref="EH110" si="46">EH31+EH32+EH33+EH34+EH35+EH36+EH58+EH59+EH60+EH82+EH83+EH84+EH96+EH97+EH98</f>
        <v>0</v>
      </c>
      <c r="EK110" s="190">
        <f t="shared" ref="EK110:EL110" si="47">EK31+EK32+EK33+EK34+EK35+EK36+EK58+EK59+EK60+EK82+EK83+EK84+EK96+EK97+EK98</f>
        <v>30</v>
      </c>
      <c r="EL110" s="190">
        <f t="shared" si="47"/>
        <v>40</v>
      </c>
      <c r="ER110" s="190">
        <f t="shared" ref="ER110" si="48">ER31+ER32+ER33+ER34+ER35+ER36+ER58+ER59+ER60+ER82+ER83+ER84+ER96+ER97+ER98</f>
        <v>140</v>
      </c>
      <c r="EU110" s="190">
        <f t="shared" ref="EU110:EV110" si="49">EU31+EU32+EU33+EU34+EU35+EU36+EU58+EU59+EU60+EU82+EU83+EU84+EU96+EU97+EU98</f>
        <v>40</v>
      </c>
      <c r="EV110" s="190">
        <f t="shared" si="49"/>
        <v>20</v>
      </c>
      <c r="FF110" s="92">
        <v>15</v>
      </c>
      <c r="FT110" s="92">
        <f t="shared" si="5"/>
        <v>1664</v>
      </c>
    </row>
    <row r="111" spans="1:177">
      <c r="E111" s="87" t="s">
        <v>625</v>
      </c>
      <c r="H111" s="190">
        <f>H28+H29+H30+H52+H53+H54</f>
        <v>0</v>
      </c>
      <c r="I111" s="190">
        <f>I28+I29+I30+I52+I53+I54</f>
        <v>0</v>
      </c>
      <c r="K111" s="190">
        <f>K28+K29+K30+K52+K53+K54</f>
        <v>0</v>
      </c>
      <c r="L111" s="190">
        <f>L28+L29+L30+L52+L53+L54</f>
        <v>0</v>
      </c>
      <c r="O111" s="190">
        <f>O28+O29+O30+O52+O53+O54</f>
        <v>10</v>
      </c>
      <c r="P111" s="190">
        <f>P28+P29+P30+P52+P53+P54</f>
        <v>0</v>
      </c>
      <c r="Q111" s="190">
        <f>Q28+Q29+Q30+Q52+Q53+Q54</f>
        <v>0</v>
      </c>
      <c r="R111" s="190">
        <f>R28+R29+R30+R52+R53+R54</f>
        <v>0</v>
      </c>
      <c r="S111" s="190">
        <f>S28+S29+S30+S52+S53+S54</f>
        <v>0</v>
      </c>
      <c r="U111" s="190">
        <f>U28+U29+U30+U52+U53+U54</f>
        <v>0</v>
      </c>
      <c r="V111" s="190">
        <f>V28+V29+V30+V52+V53+V54</f>
        <v>5</v>
      </c>
      <c r="X111" s="190">
        <v>0</v>
      </c>
      <c r="AN111" s="190">
        <f>AN28+AN29+AN30+AN52+AN53+AN54</f>
        <v>0</v>
      </c>
      <c r="AR111" s="190">
        <f>AR28+AR29+AR30+AR52+AR53+AR54</f>
        <v>0</v>
      </c>
      <c r="AS111" s="190">
        <f>AS28+AS29+AS30+AS52+AS53+AS54</f>
        <v>0</v>
      </c>
      <c r="AU111" s="190">
        <f>AU28+AU29+AU30+AU52+AU53+AU54</f>
        <v>2</v>
      </c>
      <c r="AV111" s="190">
        <f>AV28+AV29+AV30+AV52+AV53+AV54</f>
        <v>5</v>
      </c>
      <c r="AX111" s="190">
        <f t="shared" ref="AX111:AY111" si="50">AX28+AX29+AX30+AX52+AX53+AX54</f>
        <v>0</v>
      </c>
      <c r="AY111" s="190">
        <f t="shared" si="50"/>
        <v>0</v>
      </c>
      <c r="BC111" s="190">
        <f t="shared" ref="BC111:BD111" si="51">BC28+BC29+BC30+BC52+BC53+BC54</f>
        <v>0</v>
      </c>
      <c r="BD111" s="190">
        <f t="shared" si="51"/>
        <v>0</v>
      </c>
      <c r="BG111" s="190">
        <f t="shared" ref="BG111" si="52">BG28+BG29+BG30+BG52+BG53+BG54</f>
        <v>7</v>
      </c>
      <c r="BJ111" s="190">
        <f t="shared" ref="BJ111:BK111" si="53">BJ28+BJ29+BJ30+BJ52+BJ53+BJ54</f>
        <v>5</v>
      </c>
      <c r="BK111" s="190">
        <f t="shared" si="53"/>
        <v>0</v>
      </c>
      <c r="BP111" s="190">
        <f t="shared" ref="BP111" si="54">BP28+BP29+BP30+BP52+BP53+BP54</f>
        <v>0</v>
      </c>
      <c r="BT111" s="190">
        <f t="shared" ref="BT111:BV111" si="55">BT28+BT29+BT30+BT52+BT53+BT54</f>
        <v>0</v>
      </c>
      <c r="BU111" s="190">
        <f t="shared" si="55"/>
        <v>15</v>
      </c>
      <c r="BV111" s="190">
        <f t="shared" si="55"/>
        <v>7</v>
      </c>
      <c r="BY111" s="190">
        <f t="shared" ref="BY111:CA111" si="56">BY28+BY29+BY30+BY52+BY53+BY54</f>
        <v>5</v>
      </c>
      <c r="BZ111" s="190">
        <f t="shared" si="56"/>
        <v>5</v>
      </c>
      <c r="CA111" s="190">
        <f t="shared" si="56"/>
        <v>10</v>
      </c>
      <c r="CE111" s="190">
        <f t="shared" ref="CE111:CH111" si="57">CE28+CE29+CE30+CE52+CE53+CE54</f>
        <v>15</v>
      </c>
      <c r="CF111" s="190">
        <f t="shared" si="57"/>
        <v>0</v>
      </c>
      <c r="CG111" s="190">
        <f t="shared" si="57"/>
        <v>30</v>
      </c>
      <c r="CH111" s="190">
        <f t="shared" si="57"/>
        <v>10</v>
      </c>
      <c r="CL111" s="190">
        <f t="shared" ref="CL111" si="58">CL28+CL29+CL30+CL52+CL53+CL54</f>
        <v>20</v>
      </c>
      <c r="CM111" s="190">
        <f t="shared" ref="CM111:CP111" si="59">CM28+CM29+CM30+CM52+CM53+CM54</f>
        <v>20</v>
      </c>
      <c r="CN111" s="190">
        <f t="shared" si="59"/>
        <v>40</v>
      </c>
      <c r="CO111" s="190">
        <f t="shared" si="59"/>
        <v>10</v>
      </c>
      <c r="CP111" s="190">
        <f t="shared" si="59"/>
        <v>20</v>
      </c>
      <c r="CU111" s="190">
        <f t="shared" ref="CU111" si="60">CU28+CU29+CU30+CU52+CU53+CU54</f>
        <v>20</v>
      </c>
      <c r="CW111" s="190">
        <f t="shared" ref="CW111:CY111" si="61">CW28+CW29+CW30+CW52+CW53+CW54</f>
        <v>10</v>
      </c>
      <c r="CX111" s="190">
        <f t="shared" si="61"/>
        <v>10</v>
      </c>
      <c r="CY111" s="190">
        <f t="shared" si="61"/>
        <v>0</v>
      </c>
      <c r="DA111" s="190">
        <f t="shared" ref="DA111" si="62">DA28+DA29+DA30+DA52+DA53+DA54</f>
        <v>10</v>
      </c>
      <c r="DG111" s="190">
        <f t="shared" ref="DG111" si="63">DG28+DG29+DG30+DG52+DG53+DG54</f>
        <v>60</v>
      </c>
      <c r="DK111" s="190">
        <f t="shared" ref="DK111" si="64">DK28+DK29+DK30+DK52+DK53+DK54</f>
        <v>10</v>
      </c>
      <c r="DQ111" s="190">
        <f t="shared" ref="DQ111:DR111" si="65">DQ28+DQ29+DQ30+DQ52+DQ53+DQ54</f>
        <v>0</v>
      </c>
      <c r="DR111" s="190">
        <f t="shared" si="65"/>
        <v>0</v>
      </c>
      <c r="DZ111" s="190">
        <f t="shared" ref="DZ111:EA111" si="66">DZ28+DZ29+DZ30+DZ52+DZ53+DZ54</f>
        <v>40</v>
      </c>
      <c r="EA111" s="190">
        <f t="shared" si="66"/>
        <v>0</v>
      </c>
      <c r="EB111" s="190">
        <f t="shared" ref="EB111" si="67">EB28+EB29+EB30+EB52+EB53+EB54</f>
        <v>40</v>
      </c>
      <c r="EH111" s="190">
        <f t="shared" ref="EH111" si="68">EH28+EH29+EH30+EH52+EH53+EH54</f>
        <v>0</v>
      </c>
      <c r="EK111" s="190">
        <f t="shared" ref="EK111:EL111" si="69">EK28+EK29+EK30+EK52+EK53+EK54</f>
        <v>0</v>
      </c>
      <c r="EL111" s="190">
        <f t="shared" si="69"/>
        <v>0</v>
      </c>
      <c r="ER111" s="190">
        <f t="shared" ref="ER111" si="70">ER28+ER29+ER30+ER52+ER53+ER54</f>
        <v>40</v>
      </c>
      <c r="EU111" s="190">
        <f t="shared" ref="EU111:EV111" si="71">EU28+EU29+EU30+EU52+EU53+EU54</f>
        <v>0</v>
      </c>
      <c r="EV111" s="190">
        <f t="shared" si="71"/>
        <v>0</v>
      </c>
      <c r="FT111" s="92">
        <f t="shared" si="5"/>
        <v>481</v>
      </c>
    </row>
    <row r="112" spans="1:177">
      <c r="E112" s="87" t="s">
        <v>626</v>
      </c>
      <c r="H112" s="92">
        <v>0</v>
      </c>
      <c r="I112" s="92">
        <v>0</v>
      </c>
      <c r="K112" s="92">
        <v>0</v>
      </c>
      <c r="L112" s="92">
        <v>10</v>
      </c>
      <c r="O112" s="92">
        <v>5</v>
      </c>
      <c r="P112" s="92">
        <v>0</v>
      </c>
      <c r="Q112" s="92">
        <v>0</v>
      </c>
      <c r="R112" s="92">
        <v>0</v>
      </c>
      <c r="S112" s="92">
        <v>5</v>
      </c>
      <c r="U112" s="92">
        <v>0</v>
      </c>
      <c r="V112" s="92">
        <v>5</v>
      </c>
      <c r="X112" s="92">
        <v>120</v>
      </c>
      <c r="AN112" s="92">
        <v>0</v>
      </c>
      <c r="AR112" s="92">
        <v>0</v>
      </c>
      <c r="AS112" s="92">
        <v>1</v>
      </c>
      <c r="AU112" s="92">
        <v>3</v>
      </c>
      <c r="AV112" s="92">
        <v>5</v>
      </c>
      <c r="AX112" s="92">
        <v>1</v>
      </c>
      <c r="AY112" s="92">
        <v>0</v>
      </c>
      <c r="BC112" s="92">
        <v>0</v>
      </c>
      <c r="BD112" s="92">
        <v>0</v>
      </c>
      <c r="BG112" s="92">
        <v>10</v>
      </c>
      <c r="BJ112" s="92">
        <v>5</v>
      </c>
      <c r="BK112" s="92">
        <v>0</v>
      </c>
      <c r="BP112" s="92">
        <v>0</v>
      </c>
      <c r="BT112" s="92">
        <v>0</v>
      </c>
      <c r="BU112" s="92">
        <v>30</v>
      </c>
      <c r="BV112" s="92">
        <v>5</v>
      </c>
      <c r="BY112" s="92">
        <v>5</v>
      </c>
      <c r="BZ112" s="92">
        <v>10</v>
      </c>
      <c r="CA112" s="92">
        <v>10</v>
      </c>
      <c r="CE112" s="92">
        <v>20</v>
      </c>
      <c r="CF112" s="92">
        <v>0</v>
      </c>
      <c r="CG112" s="92">
        <v>35</v>
      </c>
      <c r="CH112" s="92">
        <v>10</v>
      </c>
      <c r="CI112" s="92">
        <v>1</v>
      </c>
      <c r="CL112" s="92">
        <v>20</v>
      </c>
      <c r="CM112" s="92">
        <v>20</v>
      </c>
      <c r="CN112" s="92">
        <v>50</v>
      </c>
      <c r="CO112" s="92">
        <v>10</v>
      </c>
      <c r="CP112" s="92">
        <v>20</v>
      </c>
      <c r="CU112" s="92">
        <v>10</v>
      </c>
      <c r="CW112" s="92">
        <v>10</v>
      </c>
      <c r="CX112" s="92">
        <v>10</v>
      </c>
      <c r="CY112" s="92">
        <v>0</v>
      </c>
      <c r="DA112" s="92">
        <v>10</v>
      </c>
      <c r="DG112" s="92">
        <v>0</v>
      </c>
      <c r="DK112" s="92">
        <v>0</v>
      </c>
      <c r="DQ112" s="92">
        <v>10</v>
      </c>
      <c r="DR112" s="92">
        <v>0</v>
      </c>
      <c r="DU112" s="92">
        <v>10</v>
      </c>
      <c r="DZ112" s="92">
        <v>40</v>
      </c>
      <c r="EA112" s="92">
        <v>5</v>
      </c>
      <c r="EB112" s="92">
        <v>80</v>
      </c>
      <c r="EH112" s="92">
        <v>20</v>
      </c>
      <c r="EK112" s="92">
        <v>20</v>
      </c>
      <c r="EL112" s="92">
        <v>10</v>
      </c>
      <c r="ER112" s="92">
        <v>0</v>
      </c>
      <c r="EU112" s="92">
        <v>0</v>
      </c>
      <c r="EV112" s="92">
        <v>0</v>
      </c>
      <c r="FT112" s="92">
        <f t="shared" si="5"/>
        <v>651</v>
      </c>
    </row>
    <row r="113" spans="1:176" ht="10.5" thickBot="1">
      <c r="A113" s="189"/>
      <c r="B113" s="189"/>
      <c r="C113" s="189"/>
      <c r="D113" s="189"/>
      <c r="E113" s="89" t="s">
        <v>627</v>
      </c>
      <c r="F113" s="189"/>
      <c r="G113" s="189"/>
      <c r="H113" s="189">
        <v>0</v>
      </c>
      <c r="I113" s="189">
        <v>0</v>
      </c>
      <c r="J113" s="189"/>
      <c r="K113" s="189">
        <v>0</v>
      </c>
      <c r="L113" s="189">
        <v>10</v>
      </c>
      <c r="M113" s="189"/>
      <c r="N113" s="189"/>
      <c r="O113" s="189">
        <v>5</v>
      </c>
      <c r="P113" s="189">
        <v>0</v>
      </c>
      <c r="Q113" s="189">
        <v>0</v>
      </c>
      <c r="R113" s="189">
        <v>0</v>
      </c>
      <c r="S113" s="189">
        <v>5</v>
      </c>
      <c r="T113" s="189"/>
      <c r="U113" s="189">
        <v>0</v>
      </c>
      <c r="V113" s="189">
        <v>5</v>
      </c>
      <c r="W113" s="189"/>
      <c r="X113" s="189">
        <v>80</v>
      </c>
      <c r="Y113" s="189"/>
      <c r="Z113" s="189"/>
      <c r="AA113" s="189"/>
      <c r="AB113" s="189"/>
      <c r="AC113" s="189"/>
      <c r="AD113" s="189"/>
      <c r="AE113" s="189"/>
      <c r="AF113" s="189"/>
      <c r="AG113" s="189"/>
      <c r="AH113" s="189"/>
      <c r="AI113" s="189"/>
      <c r="AJ113" s="189"/>
      <c r="AK113" s="189"/>
      <c r="AL113" s="189"/>
      <c r="AM113" s="189"/>
      <c r="AN113" s="189">
        <v>0</v>
      </c>
      <c r="AO113" s="189"/>
      <c r="AP113" s="189"/>
      <c r="AQ113" s="189"/>
      <c r="AR113" s="189">
        <v>0</v>
      </c>
      <c r="AS113" s="189">
        <v>1</v>
      </c>
      <c r="AT113" s="189"/>
      <c r="AU113" s="189">
        <v>2</v>
      </c>
      <c r="AV113" s="189">
        <v>5</v>
      </c>
      <c r="AW113" s="189"/>
      <c r="AX113" s="189">
        <v>1</v>
      </c>
      <c r="AY113" s="189">
        <v>0</v>
      </c>
      <c r="AZ113" s="189"/>
      <c r="BA113" s="189"/>
      <c r="BB113" s="189"/>
      <c r="BC113" s="189">
        <v>0</v>
      </c>
      <c r="BD113" s="189">
        <v>0</v>
      </c>
      <c r="BE113" s="189"/>
      <c r="BF113" s="189"/>
      <c r="BG113" s="189">
        <v>5</v>
      </c>
      <c r="BH113" s="189"/>
      <c r="BI113" s="189"/>
      <c r="BJ113" s="189">
        <v>5</v>
      </c>
      <c r="BK113" s="189">
        <v>0</v>
      </c>
      <c r="BL113" s="189"/>
      <c r="BM113" s="189"/>
      <c r="BN113" s="189"/>
      <c r="BO113" s="189"/>
      <c r="BP113" s="189">
        <v>0</v>
      </c>
      <c r="BQ113" s="189"/>
      <c r="BR113" s="189"/>
      <c r="BS113" s="189"/>
      <c r="BT113" s="189">
        <v>0</v>
      </c>
      <c r="BU113" s="189">
        <v>20</v>
      </c>
      <c r="BV113" s="189">
        <v>3</v>
      </c>
      <c r="BW113" s="189"/>
      <c r="BX113" s="189"/>
      <c r="BY113" s="189">
        <v>5</v>
      </c>
      <c r="BZ113" s="189">
        <v>10</v>
      </c>
      <c r="CA113" s="189">
        <v>10</v>
      </c>
      <c r="CB113" s="189"/>
      <c r="CC113" s="189"/>
      <c r="CD113" s="189"/>
      <c r="CE113" s="189">
        <v>10</v>
      </c>
      <c r="CF113" s="189">
        <v>0</v>
      </c>
      <c r="CG113" s="189">
        <v>30</v>
      </c>
      <c r="CH113" s="189">
        <v>10</v>
      </c>
      <c r="CI113" s="189"/>
      <c r="CJ113" s="189">
        <v>1</v>
      </c>
      <c r="CK113" s="189"/>
      <c r="CL113" s="189">
        <v>20</v>
      </c>
      <c r="CM113" s="189">
        <v>10</v>
      </c>
      <c r="CN113" s="189">
        <v>40</v>
      </c>
      <c r="CO113" s="189">
        <v>10</v>
      </c>
      <c r="CP113" s="189">
        <v>10</v>
      </c>
      <c r="CQ113" s="189"/>
      <c r="CR113" s="189"/>
      <c r="CS113" s="189"/>
      <c r="CT113" s="189"/>
      <c r="CU113" s="189">
        <v>10</v>
      </c>
      <c r="CV113" s="189"/>
      <c r="CW113" s="189">
        <v>10</v>
      </c>
      <c r="CX113" s="189">
        <v>10</v>
      </c>
      <c r="CY113" s="189">
        <v>0</v>
      </c>
      <c r="CZ113" s="189"/>
      <c r="DA113" s="189">
        <v>5</v>
      </c>
      <c r="DB113" s="189"/>
      <c r="DC113" s="189"/>
      <c r="DD113" s="189"/>
      <c r="DE113" s="189"/>
      <c r="DF113" s="189"/>
      <c r="DG113" s="189">
        <v>0</v>
      </c>
      <c r="DH113" s="189"/>
      <c r="DI113" s="189"/>
      <c r="DJ113" s="189"/>
      <c r="DK113" s="189">
        <v>0</v>
      </c>
      <c r="DL113" s="189"/>
      <c r="DM113" s="189"/>
      <c r="DN113" s="189"/>
      <c r="DO113" s="189"/>
      <c r="DP113" s="189"/>
      <c r="DQ113" s="189">
        <v>10</v>
      </c>
      <c r="DR113" s="189">
        <v>0</v>
      </c>
      <c r="DS113" s="189"/>
      <c r="DT113" s="189"/>
      <c r="DU113" s="189">
        <v>10</v>
      </c>
      <c r="DV113" s="189"/>
      <c r="DW113" s="189"/>
      <c r="DX113" s="189"/>
      <c r="DY113" s="189"/>
      <c r="DZ113" s="189">
        <v>20</v>
      </c>
      <c r="EA113" s="189">
        <v>5</v>
      </c>
      <c r="EB113" s="189">
        <v>60</v>
      </c>
      <c r="EC113" s="189"/>
      <c r="ED113" s="189"/>
      <c r="EE113" s="189"/>
      <c r="EF113" s="189"/>
      <c r="EG113" s="189"/>
      <c r="EH113" s="189">
        <v>10</v>
      </c>
      <c r="EI113" s="189"/>
      <c r="EJ113" s="189"/>
      <c r="EK113" s="189">
        <v>10</v>
      </c>
      <c r="EL113" s="189">
        <v>10</v>
      </c>
      <c r="EM113" s="189"/>
      <c r="EN113" s="189"/>
      <c r="EO113" s="189"/>
      <c r="EP113" s="189"/>
      <c r="EQ113" s="189"/>
      <c r="ER113" s="189">
        <v>20</v>
      </c>
      <c r="ES113" s="189"/>
      <c r="ET113" s="189"/>
      <c r="EU113" s="189">
        <v>100</v>
      </c>
      <c r="EV113" s="189">
        <v>0</v>
      </c>
      <c r="EW113" s="189"/>
      <c r="EX113" s="189"/>
      <c r="EY113" s="189"/>
      <c r="EZ113" s="189"/>
      <c r="FA113" s="189"/>
      <c r="FB113" s="189"/>
      <c r="FC113" s="189"/>
      <c r="FD113" s="189"/>
      <c r="FE113" s="189"/>
      <c r="FF113" s="189"/>
      <c r="FG113" s="189"/>
      <c r="FH113" s="189"/>
      <c r="FI113" s="189"/>
      <c r="FJ113" s="189"/>
      <c r="FK113" s="189"/>
      <c r="FL113" s="189"/>
      <c r="FM113" s="189"/>
      <c r="FN113" s="189"/>
      <c r="FO113" s="189"/>
      <c r="FP113" s="189"/>
      <c r="FQ113" s="189"/>
      <c r="FR113" s="189"/>
      <c r="FS113" s="189"/>
      <c r="FT113" s="189">
        <f t="shared" si="5"/>
        <v>603</v>
      </c>
    </row>
    <row r="114" spans="1:176" ht="10.5">
      <c r="E114" s="91" t="s">
        <v>628</v>
      </c>
      <c r="H114" s="92">
        <f>SUBTOTAL(9,H109:H113)</f>
        <v>45</v>
      </c>
      <c r="I114" s="92">
        <f>SUBTOTAL(9,I109:I113)</f>
        <v>10</v>
      </c>
      <c r="K114" s="92">
        <f t="shared" ref="K114:L114" si="72">SUBTOTAL(9,K109:K113)</f>
        <v>20</v>
      </c>
      <c r="L114" s="92">
        <f t="shared" si="72"/>
        <v>20</v>
      </c>
      <c r="O114" s="92">
        <f t="shared" ref="O114" si="73">SUBTOTAL(9,O109:O113)</f>
        <v>40</v>
      </c>
      <c r="P114" s="92">
        <f t="shared" ref="P114" si="74">SUBTOTAL(9,P109:P113)</f>
        <v>1</v>
      </c>
      <c r="Q114" s="92">
        <f t="shared" ref="Q114" si="75">SUBTOTAL(9,Q109:Q113)</f>
        <v>2</v>
      </c>
      <c r="R114" s="92">
        <f t="shared" ref="R114" si="76">SUBTOTAL(9,R109:R113)</f>
        <v>10</v>
      </c>
      <c r="S114" s="92">
        <f t="shared" ref="S114" si="77">SUBTOTAL(9,S109:S113)</f>
        <v>10</v>
      </c>
      <c r="U114" s="92">
        <f t="shared" ref="U114" si="78">SUBTOTAL(9,U109:U113)</f>
        <v>10</v>
      </c>
      <c r="V114" s="92">
        <f t="shared" ref="V114:X114" si="79">SUBTOTAL(9,V109:V113)</f>
        <v>20</v>
      </c>
      <c r="X114" s="92">
        <f t="shared" si="79"/>
        <v>200</v>
      </c>
      <c r="AN114" s="92">
        <f t="shared" ref="AN114" si="80">SUBTOTAL(9,AN109:AN113)</f>
        <v>10</v>
      </c>
      <c r="AR114" s="92">
        <f t="shared" ref="AR114" si="81">SUBTOTAL(9,AR109:AR113)</f>
        <v>10</v>
      </c>
      <c r="AS114" s="92">
        <f t="shared" ref="AS114" si="82">SUBTOTAL(9,AS109:AS113)</f>
        <v>7</v>
      </c>
      <c r="AU114" s="92">
        <f t="shared" ref="AU114" si="83">SUBTOTAL(9,AU109:AU113)</f>
        <v>30</v>
      </c>
      <c r="AV114" s="92">
        <f t="shared" ref="AV114" si="84">SUBTOTAL(9,AV109:AV113)</f>
        <v>50</v>
      </c>
      <c r="AX114" s="92">
        <f t="shared" ref="AX114" si="85">SUBTOTAL(9,AX109:AX113)</f>
        <v>13</v>
      </c>
      <c r="AY114" s="92">
        <f t="shared" ref="AY114" si="86">SUBTOTAL(9,AY109:AY113)</f>
        <v>130</v>
      </c>
      <c r="BC114" s="92">
        <f t="shared" ref="BC114:BD114" si="87">SUBTOTAL(9,BC109:BC113)</f>
        <v>4</v>
      </c>
      <c r="BD114" s="92">
        <f t="shared" si="87"/>
        <v>5</v>
      </c>
      <c r="BG114" s="92">
        <f t="shared" ref="BG114" si="88">SUBTOTAL(9,BG109:BG113)</f>
        <v>126</v>
      </c>
      <c r="BJ114" s="92">
        <f t="shared" ref="BJ114:BK114" si="89">SUBTOTAL(9,BJ109:BJ113)</f>
        <v>70</v>
      </c>
      <c r="BK114" s="92">
        <f t="shared" si="89"/>
        <v>92</v>
      </c>
      <c r="BP114" s="92">
        <f t="shared" ref="BP114" si="90">SUBTOTAL(9,BP109:BP113)</f>
        <v>20</v>
      </c>
      <c r="BT114" s="92">
        <f t="shared" ref="BT114" si="91">SUBTOTAL(9,BT109:BT113)</f>
        <v>55</v>
      </c>
      <c r="BU114" s="92">
        <f t="shared" ref="BU114" si="92">SUBTOTAL(9,BU109:BU113)</f>
        <v>325</v>
      </c>
      <c r="BV114" s="92">
        <f t="shared" ref="BV114" si="93">SUBTOTAL(9,BV109:BV113)</f>
        <v>50</v>
      </c>
      <c r="BY114" s="92">
        <f t="shared" ref="BY114" si="94">SUBTOTAL(9,BY109:BY113)</f>
        <v>50</v>
      </c>
      <c r="BZ114" s="92">
        <f t="shared" ref="BZ114" si="95">SUBTOTAL(9,BZ109:BZ113)</f>
        <v>110</v>
      </c>
      <c r="CA114" s="92">
        <f t="shared" ref="CA114" si="96">SUBTOTAL(9,CA109:CA113)</f>
        <v>110</v>
      </c>
      <c r="CE114" s="92">
        <f t="shared" ref="CE114" si="97">SUBTOTAL(9,CE109:CE113)</f>
        <v>200</v>
      </c>
      <c r="CF114" s="92">
        <f t="shared" ref="CF114" si="98">SUBTOTAL(9,CF109:CF113)</f>
        <v>6</v>
      </c>
      <c r="CG114" s="92">
        <f t="shared" ref="CG114" si="99">SUBTOTAL(9,CG109:CG113)</f>
        <v>455</v>
      </c>
      <c r="CH114" s="92">
        <f t="shared" ref="CH114" si="100">SUBTOTAL(9,CH109:CH113)</f>
        <v>130</v>
      </c>
      <c r="CI114" s="92">
        <f t="shared" ref="CI114" si="101">SUBTOTAL(9,CI109:CI113)</f>
        <v>1</v>
      </c>
      <c r="CJ114" s="92">
        <f t="shared" ref="CJ114" si="102">SUBTOTAL(9,CJ109:CJ113)</f>
        <v>1</v>
      </c>
      <c r="CL114" s="92">
        <f t="shared" ref="CL114" si="103">SUBTOTAL(9,CL109:CL113)</f>
        <v>290</v>
      </c>
      <c r="CM114" s="92">
        <f t="shared" ref="CM114" si="104">SUBTOTAL(9,CM109:CM113)</f>
        <v>250</v>
      </c>
      <c r="CN114" s="92">
        <f t="shared" ref="CN114" si="105">SUBTOTAL(9,CN109:CN113)</f>
        <v>560</v>
      </c>
      <c r="CO114" s="92">
        <f t="shared" ref="CO114" si="106">SUBTOTAL(9,CO109:CO113)</f>
        <v>170</v>
      </c>
      <c r="CP114" s="92">
        <f t="shared" ref="CP114:CR114" si="107">SUBTOTAL(9,CP109:CP113)</f>
        <v>250</v>
      </c>
      <c r="CR114" s="92">
        <f t="shared" si="107"/>
        <v>1</v>
      </c>
      <c r="CU114" s="92">
        <f t="shared" ref="CU114" si="108">SUBTOTAL(9,CU109:CU113)</f>
        <v>170</v>
      </c>
      <c r="CW114" s="92">
        <f t="shared" ref="CW114" si="109">SUBTOTAL(9,CW109:CW113)</f>
        <v>140</v>
      </c>
      <c r="CX114" s="92">
        <f t="shared" ref="CX114" si="110">SUBTOTAL(9,CX109:CX113)</f>
        <v>150</v>
      </c>
      <c r="CY114" s="92">
        <f t="shared" ref="CY114:DA114" si="111">SUBTOTAL(9,CY109:CY113)</f>
        <v>10</v>
      </c>
      <c r="DA114" s="92">
        <f t="shared" si="111"/>
        <v>70</v>
      </c>
      <c r="DF114" s="92">
        <f t="shared" ref="DF114:DG114" si="112">SUBTOTAL(9,DF109:DF113)</f>
        <v>15</v>
      </c>
      <c r="DG114" s="92">
        <f t="shared" si="112"/>
        <v>2500</v>
      </c>
      <c r="DH114" s="92">
        <f t="shared" ref="DH114" si="113">SUBTOTAL(9,DH109:DH113)</f>
        <v>2</v>
      </c>
      <c r="DK114" s="92">
        <f t="shared" ref="DK114:DM114" si="114">SUBTOTAL(9,DK109:DK113)</f>
        <v>60</v>
      </c>
      <c r="DM114" s="92">
        <f t="shared" si="114"/>
        <v>10</v>
      </c>
      <c r="DQ114" s="92">
        <f t="shared" ref="DQ114:DR114" si="115">SUBTOTAL(9,DQ109:DQ113)</f>
        <v>60</v>
      </c>
      <c r="DR114" s="92">
        <f t="shared" si="115"/>
        <v>15</v>
      </c>
      <c r="DU114" s="92">
        <f t="shared" ref="DU114" si="116">SUBTOTAL(9,DU109:DU113)</f>
        <v>20</v>
      </c>
      <c r="DZ114" s="92">
        <f t="shared" ref="DZ114:EB114" si="117">SUBTOTAL(9,DZ109:DZ113)</f>
        <v>400</v>
      </c>
      <c r="EA114" s="92">
        <f t="shared" si="117"/>
        <v>30</v>
      </c>
      <c r="EB114" s="92">
        <f t="shared" si="117"/>
        <v>850</v>
      </c>
      <c r="EH114" s="92">
        <f t="shared" ref="EH114" si="118">SUBTOTAL(9,EH109:EH113)</f>
        <v>70</v>
      </c>
      <c r="EK114" s="92">
        <f t="shared" ref="EK114" si="119">SUBTOTAL(9,EK109:EK113)</f>
        <v>200</v>
      </c>
      <c r="EL114" s="92">
        <f t="shared" ref="EL114" si="120">SUBTOTAL(9,EL109:EL113)</f>
        <v>100</v>
      </c>
      <c r="ER114" s="92">
        <f t="shared" ref="ER114" si="121">SUBTOTAL(9,ER109:ER113)</f>
        <v>500</v>
      </c>
      <c r="EU114" s="92">
        <f t="shared" ref="EU114:EX114" si="122">SUBTOTAL(9,EU109:EU113)</f>
        <v>200</v>
      </c>
      <c r="EV114" s="92">
        <f t="shared" si="122"/>
        <v>400</v>
      </c>
      <c r="EX114" s="92">
        <f t="shared" si="122"/>
        <v>400</v>
      </c>
      <c r="FF114" s="92">
        <f t="shared" ref="FF114" si="123">SUBTOTAL(9,FF109:FF113)</f>
        <v>15</v>
      </c>
      <c r="FT114" s="92">
        <f t="shared" si="5"/>
        <v>10356</v>
      </c>
    </row>
  </sheetData>
  <autoFilter ref="A6:FU107" xr:uid="{00000000-0009-0000-0000-000006000000}">
    <filterColumn colId="2">
      <filters blank="1">
        <filter val="UA1J"/>
        <filter val="UA1K"/>
      </filters>
    </filterColumn>
    <filterColumn colId="174">
      <filters blank="1">
        <filter val="BELARUS"/>
        <filter val="KAZAKHSTAN"/>
        <filter val="LATVIA"/>
        <filter val="LATVIA/LATVIA"/>
        <filter val="LITHUANIA"/>
        <filter val="NETHERLANDS"/>
        <filter val="RUSSIA"/>
        <filter val="RUSSIA/RUSSIA"/>
        <filter val="UKRAINE"/>
      </filters>
    </filterColumn>
  </autoFilter>
  <phoneticPr fontId="3" type="noConversion"/>
  <conditionalFormatting sqref="F5:F6">
    <cfRule type="cellIs" dxfId="226" priority="218" stopIfTrue="1" operator="equal">
      <formula>"E7"</formula>
    </cfRule>
    <cfRule type="cellIs" dxfId="225" priority="219" stopIfTrue="1" operator="equal">
      <formula>"E7A"</formula>
    </cfRule>
  </conditionalFormatting>
  <conditionalFormatting sqref="F107">
    <cfRule type="cellIs" dxfId="224" priority="216" stopIfTrue="1" operator="equal">
      <formula>"E7"</formula>
    </cfRule>
    <cfRule type="cellIs" dxfId="223" priority="217" stopIfTrue="1" operator="equal">
      <formula>"E7A"</formula>
    </cfRule>
  </conditionalFormatting>
  <conditionalFormatting sqref="F7">
    <cfRule type="cellIs" dxfId="222" priority="214" stopIfTrue="1" operator="equal">
      <formula>"E7"</formula>
    </cfRule>
    <cfRule type="cellIs" dxfId="221" priority="215" stopIfTrue="1" operator="equal">
      <formula>"E7A"</formula>
    </cfRule>
  </conditionalFormatting>
  <conditionalFormatting sqref="F10">
    <cfRule type="cellIs" dxfId="220" priority="212" stopIfTrue="1" operator="equal">
      <formula>"E7"</formula>
    </cfRule>
    <cfRule type="cellIs" dxfId="219" priority="213" stopIfTrue="1" operator="equal">
      <formula>"E7A"</formula>
    </cfRule>
  </conditionalFormatting>
  <conditionalFormatting sqref="F67">
    <cfRule type="cellIs" dxfId="218" priority="210" stopIfTrue="1" operator="equal">
      <formula>"E7"</formula>
    </cfRule>
    <cfRule type="cellIs" dxfId="217" priority="211" stopIfTrue="1" operator="equal">
      <formula>"E7A"</formula>
    </cfRule>
  </conditionalFormatting>
  <conditionalFormatting sqref="F13">
    <cfRule type="cellIs" dxfId="216" priority="206" stopIfTrue="1" operator="equal">
      <formula>"E7"</formula>
    </cfRule>
    <cfRule type="cellIs" dxfId="215" priority="207" stopIfTrue="1" operator="equal">
      <formula>"E7A"</formula>
    </cfRule>
  </conditionalFormatting>
  <conditionalFormatting sqref="F64">
    <cfRule type="cellIs" dxfId="214" priority="208" stopIfTrue="1" operator="equal">
      <formula>"E7"</formula>
    </cfRule>
    <cfRule type="cellIs" dxfId="213" priority="209" stopIfTrue="1" operator="equal">
      <formula>"E7A"</formula>
    </cfRule>
  </conditionalFormatting>
  <conditionalFormatting sqref="F28">
    <cfRule type="cellIs" dxfId="212" priority="204" stopIfTrue="1" operator="equal">
      <formula>"E7"</formula>
    </cfRule>
    <cfRule type="cellIs" dxfId="211" priority="205" stopIfTrue="1" operator="equal">
      <formula>"E7A"</formula>
    </cfRule>
  </conditionalFormatting>
  <conditionalFormatting sqref="F70">
    <cfRule type="cellIs" dxfId="210" priority="202" stopIfTrue="1" operator="equal">
      <formula>"E7"</formula>
    </cfRule>
    <cfRule type="cellIs" dxfId="209" priority="203" stopIfTrue="1" operator="equal">
      <formula>"E7A"</formula>
    </cfRule>
  </conditionalFormatting>
  <conditionalFormatting sqref="B7 B16 B96 B19 B22 B25 B99 B102 B105:B107">
    <cfRule type="expression" dxfId="208" priority="201">
      <formula>$B7="A"</formula>
    </cfRule>
  </conditionalFormatting>
  <conditionalFormatting sqref="B10 B28 B64 B13 B67 B70">
    <cfRule type="expression" dxfId="207" priority="200">
      <formula>$B10="A"</formula>
    </cfRule>
  </conditionalFormatting>
  <conditionalFormatting sqref="H6 EI6:FN6 BT6:CE6 CG6:DG6 DI6:DZ6 EB6 ED6:EG6">
    <cfRule type="expression" dxfId="206" priority="175">
      <formula>H310=0</formula>
    </cfRule>
  </conditionalFormatting>
  <conditionalFormatting sqref="F96">
    <cfRule type="cellIs" dxfId="205" priority="198" stopIfTrue="1" operator="equal">
      <formula>"E7"</formula>
    </cfRule>
    <cfRule type="cellIs" dxfId="204" priority="199" stopIfTrue="1" operator="equal">
      <formula>"E7A"</formula>
    </cfRule>
  </conditionalFormatting>
  <conditionalFormatting sqref="F99">
    <cfRule type="cellIs" dxfId="203" priority="196" stopIfTrue="1" operator="equal">
      <formula>"E7"</formula>
    </cfRule>
    <cfRule type="cellIs" dxfId="202" priority="197" stopIfTrue="1" operator="equal">
      <formula>"E7A"</formula>
    </cfRule>
  </conditionalFormatting>
  <conditionalFormatting sqref="F102">
    <cfRule type="cellIs" dxfId="201" priority="194" stopIfTrue="1" operator="equal">
      <formula>"E7"</formula>
    </cfRule>
    <cfRule type="cellIs" dxfId="200" priority="195" stopIfTrue="1" operator="equal">
      <formula>"E7A"</formula>
    </cfRule>
  </conditionalFormatting>
  <conditionalFormatting sqref="F105">
    <cfRule type="cellIs" dxfId="199" priority="192" stopIfTrue="1" operator="equal">
      <formula>"E7"</formula>
    </cfRule>
    <cfRule type="cellIs" dxfId="198" priority="193" stopIfTrue="1" operator="equal">
      <formula>"E7A"</formula>
    </cfRule>
  </conditionalFormatting>
  <conditionalFormatting sqref="B73">
    <cfRule type="expression" dxfId="197" priority="191">
      <formula>$B73="A"</formula>
    </cfRule>
  </conditionalFormatting>
  <conditionalFormatting sqref="F73">
    <cfRule type="cellIs" dxfId="196" priority="189" stopIfTrue="1" operator="equal">
      <formula>"E7"</formula>
    </cfRule>
    <cfRule type="cellIs" dxfId="195" priority="190" stopIfTrue="1" operator="equal">
      <formula>"E7A"</formula>
    </cfRule>
  </conditionalFormatting>
  <conditionalFormatting sqref="F85">
    <cfRule type="cellIs" dxfId="194" priority="187" stopIfTrue="1" operator="equal">
      <formula>"E7"</formula>
    </cfRule>
    <cfRule type="cellIs" dxfId="193" priority="188" stopIfTrue="1" operator="equal">
      <formula>"E7A"</formula>
    </cfRule>
  </conditionalFormatting>
  <conditionalFormatting sqref="F88">
    <cfRule type="cellIs" dxfId="192" priority="185" stopIfTrue="1" operator="equal">
      <formula>"E7"</formula>
    </cfRule>
    <cfRule type="cellIs" dxfId="191" priority="186" stopIfTrue="1" operator="equal">
      <formula>"E7A"</formula>
    </cfRule>
  </conditionalFormatting>
  <conditionalFormatting sqref="F91">
    <cfRule type="cellIs" dxfId="190" priority="183" stopIfTrue="1" operator="equal">
      <formula>"E7"</formula>
    </cfRule>
    <cfRule type="cellIs" dxfId="189" priority="184" stopIfTrue="1" operator="equal">
      <formula>"E7A"</formula>
    </cfRule>
  </conditionalFormatting>
  <conditionalFormatting sqref="B76 B79 B82 B85 B88 B91">
    <cfRule type="expression" dxfId="188" priority="182">
      <formula>$B76="A"</formula>
    </cfRule>
  </conditionalFormatting>
  <conditionalFormatting sqref="F76">
    <cfRule type="cellIs" dxfId="187" priority="180" stopIfTrue="1" operator="equal">
      <formula>"E7"</formula>
    </cfRule>
    <cfRule type="cellIs" dxfId="186" priority="181" stopIfTrue="1" operator="equal">
      <formula>"E7A"</formula>
    </cfRule>
  </conditionalFormatting>
  <conditionalFormatting sqref="F79">
    <cfRule type="cellIs" dxfId="185" priority="178" stopIfTrue="1" operator="equal">
      <formula>"E7"</formula>
    </cfRule>
    <cfRule type="cellIs" dxfId="184" priority="179" stopIfTrue="1" operator="equal">
      <formula>"E7A"</formula>
    </cfRule>
  </conditionalFormatting>
  <conditionalFormatting sqref="F82">
    <cfRule type="cellIs" dxfId="183" priority="176" stopIfTrue="1" operator="equal">
      <formula>"E7"</formula>
    </cfRule>
    <cfRule type="cellIs" dxfId="182" priority="177" stopIfTrue="1" operator="equal">
      <formula>"E7A"</formula>
    </cfRule>
  </conditionalFormatting>
  <conditionalFormatting sqref="I6:BR6">
    <cfRule type="expression" dxfId="181" priority="174">
      <formula>I310=0</formula>
    </cfRule>
  </conditionalFormatting>
  <conditionalFormatting sqref="H1:BF1 BT1:CE1 CG1:CL1 DI1:DZ1 EB1 ED1:EF1 BH1:BJ1 BO1:BR1 CN1:DG1">
    <cfRule type="duplicateValues" dxfId="180" priority="173"/>
  </conditionalFormatting>
  <conditionalFormatting sqref="I1:K1">
    <cfRule type="duplicateValues" dxfId="179" priority="172"/>
  </conditionalFormatting>
  <conditionalFormatting sqref="O1">
    <cfRule type="duplicateValues" dxfId="178" priority="171"/>
  </conditionalFormatting>
  <conditionalFormatting sqref="F22">
    <cfRule type="cellIs" dxfId="177" priority="169" stopIfTrue="1" operator="equal">
      <formula>"E7"</formula>
    </cfRule>
    <cfRule type="cellIs" dxfId="176" priority="170" stopIfTrue="1" operator="equal">
      <formula>"E7A"</formula>
    </cfRule>
  </conditionalFormatting>
  <conditionalFormatting sqref="F19">
    <cfRule type="cellIs" dxfId="175" priority="167" stopIfTrue="1" operator="equal">
      <formula>"E7"</formula>
    </cfRule>
    <cfRule type="cellIs" dxfId="174" priority="168" stopIfTrue="1" operator="equal">
      <formula>"E7A"</formula>
    </cfRule>
  </conditionalFormatting>
  <conditionalFormatting sqref="F16">
    <cfRule type="cellIs" dxfId="173" priority="165" stopIfTrue="1" operator="equal">
      <formula>"E7"</formula>
    </cfRule>
    <cfRule type="cellIs" dxfId="172" priority="166" stopIfTrue="1" operator="equal">
      <formula>"E7A"</formula>
    </cfRule>
  </conditionalFormatting>
  <conditionalFormatting sqref="F25">
    <cfRule type="cellIs" dxfId="171" priority="163" stopIfTrue="1" operator="equal">
      <formula>"E7"</formula>
    </cfRule>
    <cfRule type="cellIs" dxfId="170" priority="164" stopIfTrue="1" operator="equal">
      <formula>"E7A"</formula>
    </cfRule>
  </conditionalFormatting>
  <conditionalFormatting sqref="H4">
    <cfRule type="duplicateValues" dxfId="169" priority="162"/>
  </conditionalFormatting>
  <conditionalFormatting sqref="I4:BR4 BT4:CE4 CG4:DG4 DI4:DZ4 EB4 ED4:EF4">
    <cfRule type="duplicateValues" dxfId="168" priority="161"/>
  </conditionalFormatting>
  <conditionalFormatting sqref="F106">
    <cfRule type="cellIs" dxfId="167" priority="159" stopIfTrue="1" operator="equal">
      <formula>"E7"</formula>
    </cfRule>
    <cfRule type="cellIs" dxfId="166" priority="160" stopIfTrue="1" operator="equal">
      <formula>"E7A"</formula>
    </cfRule>
  </conditionalFormatting>
  <conditionalFormatting sqref="F61">
    <cfRule type="cellIs" dxfId="165" priority="157" stopIfTrue="1" operator="equal">
      <formula>"E7"</formula>
    </cfRule>
    <cfRule type="cellIs" dxfId="164" priority="158" stopIfTrue="1" operator="equal">
      <formula>"E7A"</formula>
    </cfRule>
  </conditionalFormatting>
  <conditionalFormatting sqref="B61">
    <cfRule type="expression" dxfId="163" priority="156">
      <formula>$B61="A"</formula>
    </cfRule>
  </conditionalFormatting>
  <conditionalFormatting sqref="F37">
    <cfRule type="cellIs" dxfId="162" priority="154" stopIfTrue="1" operator="equal">
      <formula>"E7"</formula>
    </cfRule>
    <cfRule type="cellIs" dxfId="161" priority="155" stopIfTrue="1" operator="equal">
      <formula>"E7A"</formula>
    </cfRule>
  </conditionalFormatting>
  <conditionalFormatting sqref="F34">
    <cfRule type="cellIs" dxfId="160" priority="152" stopIfTrue="1" operator="equal">
      <formula>"E7"</formula>
    </cfRule>
    <cfRule type="cellIs" dxfId="159" priority="153" stopIfTrue="1" operator="equal">
      <formula>"E7A"</formula>
    </cfRule>
  </conditionalFormatting>
  <conditionalFormatting sqref="F31">
    <cfRule type="cellIs" dxfId="158" priority="150" stopIfTrue="1" operator="equal">
      <formula>"E7"</formula>
    </cfRule>
    <cfRule type="cellIs" dxfId="157" priority="151" stopIfTrue="1" operator="equal">
      <formula>"E7A"</formula>
    </cfRule>
  </conditionalFormatting>
  <conditionalFormatting sqref="F40">
    <cfRule type="cellIs" dxfId="156" priority="148" stopIfTrue="1" operator="equal">
      <formula>"E7"</formula>
    </cfRule>
    <cfRule type="cellIs" dxfId="155" priority="149" stopIfTrue="1" operator="equal">
      <formula>"E7A"</formula>
    </cfRule>
  </conditionalFormatting>
  <conditionalFormatting sqref="B31 B34 B37 B40">
    <cfRule type="expression" dxfId="154" priority="147">
      <formula>$B31="A"</formula>
    </cfRule>
  </conditionalFormatting>
  <conditionalFormatting sqref="B43">
    <cfRule type="expression" dxfId="153" priority="146">
      <formula>$B43="A"</formula>
    </cfRule>
  </conditionalFormatting>
  <conditionalFormatting sqref="F43">
    <cfRule type="cellIs" dxfId="152" priority="144" stopIfTrue="1" operator="equal">
      <formula>"E7"</formula>
    </cfRule>
    <cfRule type="cellIs" dxfId="151" priority="145" stopIfTrue="1" operator="equal">
      <formula>"E7A"</formula>
    </cfRule>
  </conditionalFormatting>
  <conditionalFormatting sqref="F55">
    <cfRule type="cellIs" dxfId="150" priority="142" stopIfTrue="1" operator="equal">
      <formula>"E7"</formula>
    </cfRule>
    <cfRule type="cellIs" dxfId="149" priority="143" stopIfTrue="1" operator="equal">
      <formula>"E7A"</formula>
    </cfRule>
  </conditionalFormatting>
  <conditionalFormatting sqref="F58">
    <cfRule type="cellIs" dxfId="148" priority="140" stopIfTrue="1" operator="equal">
      <formula>"E7"</formula>
    </cfRule>
    <cfRule type="cellIs" dxfId="147" priority="141" stopIfTrue="1" operator="equal">
      <formula>"E7A"</formula>
    </cfRule>
  </conditionalFormatting>
  <conditionalFormatting sqref="B46 B49 B52 B55 B58">
    <cfRule type="expression" dxfId="146" priority="139">
      <formula>$B46="A"</formula>
    </cfRule>
  </conditionalFormatting>
  <conditionalFormatting sqref="F46">
    <cfRule type="cellIs" dxfId="145" priority="137" stopIfTrue="1" operator="equal">
      <formula>"E7"</formula>
    </cfRule>
    <cfRule type="cellIs" dxfId="144" priority="138" stopIfTrue="1" operator="equal">
      <formula>"E7A"</formula>
    </cfRule>
  </conditionalFormatting>
  <conditionalFormatting sqref="F49">
    <cfRule type="cellIs" dxfId="143" priority="135" stopIfTrue="1" operator="equal">
      <formula>"E7"</formula>
    </cfRule>
    <cfRule type="cellIs" dxfId="142" priority="136" stopIfTrue="1" operator="equal">
      <formula>"E7A"</formula>
    </cfRule>
  </conditionalFormatting>
  <conditionalFormatting sqref="F52">
    <cfRule type="cellIs" dxfId="141" priority="133" stopIfTrue="1" operator="equal">
      <formula>"E7"</formula>
    </cfRule>
    <cfRule type="cellIs" dxfId="140" priority="134" stopIfTrue="1" operator="equal">
      <formula>"E7A"</formula>
    </cfRule>
  </conditionalFormatting>
  <conditionalFormatting sqref="EG1 FJ1:FL1 FN1 EI1:FH1">
    <cfRule type="duplicateValues" dxfId="139" priority="220"/>
  </conditionalFormatting>
  <conditionalFormatting sqref="EG4 EI4:FN4">
    <cfRule type="duplicateValues" dxfId="138" priority="221"/>
  </conditionalFormatting>
  <conditionalFormatting sqref="F8:F9">
    <cfRule type="cellIs" dxfId="137" priority="131" stopIfTrue="1" operator="equal">
      <formula>"E7"</formula>
    </cfRule>
    <cfRule type="cellIs" dxfId="136" priority="132" stopIfTrue="1" operator="equal">
      <formula>"E7A"</formula>
    </cfRule>
  </conditionalFormatting>
  <conditionalFormatting sqref="B8:B9">
    <cfRule type="expression" dxfId="135" priority="130">
      <formula>$B8="A"</formula>
    </cfRule>
  </conditionalFormatting>
  <conditionalFormatting sqref="F11:F12">
    <cfRule type="cellIs" dxfId="134" priority="128" stopIfTrue="1" operator="equal">
      <formula>"E7"</formula>
    </cfRule>
    <cfRule type="cellIs" dxfId="133" priority="129" stopIfTrue="1" operator="equal">
      <formula>"E7A"</formula>
    </cfRule>
  </conditionalFormatting>
  <conditionalFormatting sqref="B11:B12">
    <cfRule type="expression" dxfId="132" priority="127">
      <formula>$B11="A"</formula>
    </cfRule>
  </conditionalFormatting>
  <conditionalFormatting sqref="F14:F15">
    <cfRule type="cellIs" dxfId="131" priority="125" stopIfTrue="1" operator="equal">
      <formula>"E7"</formula>
    </cfRule>
    <cfRule type="cellIs" dxfId="130" priority="126" stopIfTrue="1" operator="equal">
      <formula>"E7A"</formula>
    </cfRule>
  </conditionalFormatting>
  <conditionalFormatting sqref="B14:B15">
    <cfRule type="expression" dxfId="129" priority="124">
      <formula>$B14="A"</formula>
    </cfRule>
  </conditionalFormatting>
  <conditionalFormatting sqref="B17:B18">
    <cfRule type="expression" dxfId="128" priority="123">
      <formula>$B17="A"</formula>
    </cfRule>
  </conditionalFormatting>
  <conditionalFormatting sqref="F17:F18">
    <cfRule type="cellIs" dxfId="127" priority="121" stopIfTrue="1" operator="equal">
      <formula>"E7"</formula>
    </cfRule>
    <cfRule type="cellIs" dxfId="126" priority="122" stopIfTrue="1" operator="equal">
      <formula>"E7A"</formula>
    </cfRule>
  </conditionalFormatting>
  <conditionalFormatting sqref="B20:B21">
    <cfRule type="expression" dxfId="125" priority="120">
      <formula>$B20="A"</formula>
    </cfRule>
  </conditionalFormatting>
  <conditionalFormatting sqref="F20:F21">
    <cfRule type="cellIs" dxfId="124" priority="118" stopIfTrue="1" operator="equal">
      <formula>"E7"</formula>
    </cfRule>
    <cfRule type="cellIs" dxfId="123" priority="119" stopIfTrue="1" operator="equal">
      <formula>"E7A"</formula>
    </cfRule>
  </conditionalFormatting>
  <conditionalFormatting sqref="B23:B24">
    <cfRule type="expression" dxfId="122" priority="117">
      <formula>$B23="A"</formula>
    </cfRule>
  </conditionalFormatting>
  <conditionalFormatting sqref="F23:F24">
    <cfRule type="cellIs" dxfId="121" priority="115" stopIfTrue="1" operator="equal">
      <formula>"E7"</formula>
    </cfRule>
    <cfRule type="cellIs" dxfId="120" priority="116" stopIfTrue="1" operator="equal">
      <formula>"E7A"</formula>
    </cfRule>
  </conditionalFormatting>
  <conditionalFormatting sqref="B26:B27">
    <cfRule type="expression" dxfId="119" priority="114">
      <formula>$B26="A"</formula>
    </cfRule>
  </conditionalFormatting>
  <conditionalFormatting sqref="F26:F27">
    <cfRule type="cellIs" dxfId="118" priority="112" stopIfTrue="1" operator="equal">
      <formula>"E7"</formula>
    </cfRule>
    <cfRule type="cellIs" dxfId="117" priority="113" stopIfTrue="1" operator="equal">
      <formula>"E7A"</formula>
    </cfRule>
  </conditionalFormatting>
  <conditionalFormatting sqref="F29:F30">
    <cfRule type="cellIs" dxfId="116" priority="110" stopIfTrue="1" operator="equal">
      <formula>"E7"</formula>
    </cfRule>
    <cfRule type="cellIs" dxfId="115" priority="111" stopIfTrue="1" operator="equal">
      <formula>"E7A"</formula>
    </cfRule>
  </conditionalFormatting>
  <conditionalFormatting sqref="B29:B30">
    <cfRule type="expression" dxfId="114" priority="109">
      <formula>$B29="A"</formula>
    </cfRule>
  </conditionalFormatting>
  <conditionalFormatting sqref="F32:F33">
    <cfRule type="cellIs" dxfId="113" priority="107" stopIfTrue="1" operator="equal">
      <formula>"E7"</formula>
    </cfRule>
    <cfRule type="cellIs" dxfId="112" priority="108" stopIfTrue="1" operator="equal">
      <formula>"E7A"</formula>
    </cfRule>
  </conditionalFormatting>
  <conditionalFormatting sqref="B32:B33">
    <cfRule type="expression" dxfId="111" priority="106">
      <formula>$B32="A"</formula>
    </cfRule>
  </conditionalFormatting>
  <conditionalFormatting sqref="F35:F36">
    <cfRule type="cellIs" dxfId="110" priority="104" stopIfTrue="1" operator="equal">
      <formula>"E7"</formula>
    </cfRule>
    <cfRule type="cellIs" dxfId="109" priority="105" stopIfTrue="1" operator="equal">
      <formula>"E7A"</formula>
    </cfRule>
  </conditionalFormatting>
  <conditionalFormatting sqref="B35:B36">
    <cfRule type="expression" dxfId="108" priority="103">
      <formula>$B35="A"</formula>
    </cfRule>
  </conditionalFormatting>
  <conditionalFormatting sqref="F38:F39">
    <cfRule type="cellIs" dxfId="107" priority="101" stopIfTrue="1" operator="equal">
      <formula>"E7"</formula>
    </cfRule>
    <cfRule type="cellIs" dxfId="106" priority="102" stopIfTrue="1" operator="equal">
      <formula>"E7A"</formula>
    </cfRule>
  </conditionalFormatting>
  <conditionalFormatting sqref="B38:B39">
    <cfRule type="expression" dxfId="105" priority="100">
      <formula>$B38="A"</formula>
    </cfRule>
  </conditionalFormatting>
  <conditionalFormatting sqref="F41:F42">
    <cfRule type="cellIs" dxfId="104" priority="98" stopIfTrue="1" operator="equal">
      <formula>"E7"</formula>
    </cfRule>
    <cfRule type="cellIs" dxfId="103" priority="99" stopIfTrue="1" operator="equal">
      <formula>"E7A"</formula>
    </cfRule>
  </conditionalFormatting>
  <conditionalFormatting sqref="B41:B42">
    <cfRule type="expression" dxfId="102" priority="97">
      <formula>$B41="A"</formula>
    </cfRule>
  </conditionalFormatting>
  <conditionalFormatting sqref="B44:B45">
    <cfRule type="expression" dxfId="101" priority="96">
      <formula>$B44="A"</formula>
    </cfRule>
  </conditionalFormatting>
  <conditionalFormatting sqref="F44:F45">
    <cfRule type="cellIs" dxfId="100" priority="94" stopIfTrue="1" operator="equal">
      <formula>"E7"</formula>
    </cfRule>
    <cfRule type="cellIs" dxfId="99" priority="95" stopIfTrue="1" operator="equal">
      <formula>"E7A"</formula>
    </cfRule>
  </conditionalFormatting>
  <conditionalFormatting sqref="B47:B48">
    <cfRule type="expression" dxfId="98" priority="93">
      <formula>$B47="A"</formula>
    </cfRule>
  </conditionalFormatting>
  <conditionalFormatting sqref="F47:F48">
    <cfRule type="cellIs" dxfId="97" priority="91" stopIfTrue="1" operator="equal">
      <formula>"E7"</formula>
    </cfRule>
    <cfRule type="cellIs" dxfId="96" priority="92" stopIfTrue="1" operator="equal">
      <formula>"E7A"</formula>
    </cfRule>
  </conditionalFormatting>
  <conditionalFormatting sqref="B50:B51">
    <cfRule type="expression" dxfId="95" priority="90">
      <formula>$B50="A"</formula>
    </cfRule>
  </conditionalFormatting>
  <conditionalFormatting sqref="F50:F51">
    <cfRule type="cellIs" dxfId="94" priority="88" stopIfTrue="1" operator="equal">
      <formula>"E7"</formula>
    </cfRule>
    <cfRule type="cellIs" dxfId="93" priority="89" stopIfTrue="1" operator="equal">
      <formula>"E7A"</formula>
    </cfRule>
  </conditionalFormatting>
  <conditionalFormatting sqref="B53:B54">
    <cfRule type="expression" dxfId="92" priority="87">
      <formula>$B53="A"</formula>
    </cfRule>
  </conditionalFormatting>
  <conditionalFormatting sqref="F53:F54">
    <cfRule type="cellIs" dxfId="91" priority="85" stopIfTrue="1" operator="equal">
      <formula>"E7"</formula>
    </cfRule>
    <cfRule type="cellIs" dxfId="90" priority="86" stopIfTrue="1" operator="equal">
      <formula>"E7A"</formula>
    </cfRule>
  </conditionalFormatting>
  <conditionalFormatting sqref="F56:F57">
    <cfRule type="cellIs" dxfId="89" priority="83" stopIfTrue="1" operator="equal">
      <formula>"E7"</formula>
    </cfRule>
    <cfRule type="cellIs" dxfId="88" priority="84" stopIfTrue="1" operator="equal">
      <formula>"E7A"</formula>
    </cfRule>
  </conditionalFormatting>
  <conditionalFormatting sqref="B56:B57">
    <cfRule type="expression" dxfId="87" priority="82">
      <formula>$B56="A"</formula>
    </cfRule>
  </conditionalFormatting>
  <conditionalFormatting sqref="F59:F60">
    <cfRule type="cellIs" dxfId="86" priority="80" stopIfTrue="1" operator="equal">
      <formula>"E7"</formula>
    </cfRule>
    <cfRule type="cellIs" dxfId="85" priority="81" stopIfTrue="1" operator="equal">
      <formula>"E7A"</formula>
    </cfRule>
  </conditionalFormatting>
  <conditionalFormatting sqref="B59:B60">
    <cfRule type="expression" dxfId="84" priority="79">
      <formula>$B59="A"</formula>
    </cfRule>
  </conditionalFormatting>
  <conditionalFormatting sqref="F62:F63">
    <cfRule type="cellIs" dxfId="83" priority="77" stopIfTrue="1" operator="equal">
      <formula>"E7"</formula>
    </cfRule>
    <cfRule type="cellIs" dxfId="82" priority="78" stopIfTrue="1" operator="equal">
      <formula>"E7A"</formula>
    </cfRule>
  </conditionalFormatting>
  <conditionalFormatting sqref="B62:B63">
    <cfRule type="expression" dxfId="81" priority="76">
      <formula>$B62="A"</formula>
    </cfRule>
  </conditionalFormatting>
  <conditionalFormatting sqref="F65:F66">
    <cfRule type="cellIs" dxfId="80" priority="74" stopIfTrue="1" operator="equal">
      <formula>"E7"</formula>
    </cfRule>
    <cfRule type="cellIs" dxfId="79" priority="75" stopIfTrue="1" operator="equal">
      <formula>"E7A"</formula>
    </cfRule>
  </conditionalFormatting>
  <conditionalFormatting sqref="B65:B66">
    <cfRule type="expression" dxfId="78" priority="73">
      <formula>$B65="A"</formula>
    </cfRule>
  </conditionalFormatting>
  <conditionalFormatting sqref="F68:F69">
    <cfRule type="cellIs" dxfId="77" priority="71" stopIfTrue="1" operator="equal">
      <formula>"E7"</formula>
    </cfRule>
    <cfRule type="cellIs" dxfId="76" priority="72" stopIfTrue="1" operator="equal">
      <formula>"E7A"</formula>
    </cfRule>
  </conditionalFormatting>
  <conditionalFormatting sqref="B68:B69">
    <cfRule type="expression" dxfId="75" priority="70">
      <formula>$B68="A"</formula>
    </cfRule>
  </conditionalFormatting>
  <conditionalFormatting sqref="F71:F72">
    <cfRule type="cellIs" dxfId="74" priority="68" stopIfTrue="1" operator="equal">
      <formula>"E7"</formula>
    </cfRule>
    <cfRule type="cellIs" dxfId="73" priority="69" stopIfTrue="1" operator="equal">
      <formula>"E7A"</formula>
    </cfRule>
  </conditionalFormatting>
  <conditionalFormatting sqref="B71:B72">
    <cfRule type="expression" dxfId="72" priority="67">
      <formula>$B71="A"</formula>
    </cfRule>
  </conditionalFormatting>
  <conditionalFormatting sqref="B74:B75">
    <cfRule type="expression" dxfId="71" priority="66">
      <formula>$B74="A"</formula>
    </cfRule>
  </conditionalFormatting>
  <conditionalFormatting sqref="F74:F75">
    <cfRule type="cellIs" dxfId="70" priority="64" stopIfTrue="1" operator="equal">
      <formula>"E7"</formula>
    </cfRule>
    <cfRule type="cellIs" dxfId="69" priority="65" stopIfTrue="1" operator="equal">
      <formula>"E7A"</formula>
    </cfRule>
  </conditionalFormatting>
  <conditionalFormatting sqref="B77:B78">
    <cfRule type="expression" dxfId="68" priority="63">
      <formula>$B77="A"</formula>
    </cfRule>
  </conditionalFormatting>
  <conditionalFormatting sqref="F77:F78">
    <cfRule type="cellIs" dxfId="67" priority="61" stopIfTrue="1" operator="equal">
      <formula>"E7"</formula>
    </cfRule>
    <cfRule type="cellIs" dxfId="66" priority="62" stopIfTrue="1" operator="equal">
      <formula>"E7A"</formula>
    </cfRule>
  </conditionalFormatting>
  <conditionalFormatting sqref="B80:B81">
    <cfRule type="expression" dxfId="65" priority="60">
      <formula>$B80="A"</formula>
    </cfRule>
  </conditionalFormatting>
  <conditionalFormatting sqref="F80:F81">
    <cfRule type="cellIs" dxfId="64" priority="58" stopIfTrue="1" operator="equal">
      <formula>"E7"</formula>
    </cfRule>
    <cfRule type="cellIs" dxfId="63" priority="59" stopIfTrue="1" operator="equal">
      <formula>"E7A"</formula>
    </cfRule>
  </conditionalFormatting>
  <conditionalFormatting sqref="B83:B84">
    <cfRule type="expression" dxfId="62" priority="57">
      <formula>$B83="A"</formula>
    </cfRule>
  </conditionalFormatting>
  <conditionalFormatting sqref="F83:F84">
    <cfRule type="cellIs" dxfId="61" priority="55" stopIfTrue="1" operator="equal">
      <formula>"E7"</formula>
    </cfRule>
    <cfRule type="cellIs" dxfId="60" priority="56" stopIfTrue="1" operator="equal">
      <formula>"E7A"</formula>
    </cfRule>
  </conditionalFormatting>
  <conditionalFormatting sqref="F86:F87">
    <cfRule type="cellIs" dxfId="59" priority="53" stopIfTrue="1" operator="equal">
      <formula>"E7"</formula>
    </cfRule>
    <cfRule type="cellIs" dxfId="58" priority="54" stopIfTrue="1" operator="equal">
      <formula>"E7A"</formula>
    </cfRule>
  </conditionalFormatting>
  <conditionalFormatting sqref="B86:B87">
    <cfRule type="expression" dxfId="57" priority="52">
      <formula>$B86="A"</formula>
    </cfRule>
  </conditionalFormatting>
  <conditionalFormatting sqref="F89:F90">
    <cfRule type="cellIs" dxfId="56" priority="50" stopIfTrue="1" operator="equal">
      <formula>"E7"</formula>
    </cfRule>
    <cfRule type="cellIs" dxfId="55" priority="51" stopIfTrue="1" operator="equal">
      <formula>"E7A"</formula>
    </cfRule>
  </conditionalFormatting>
  <conditionalFormatting sqref="B89:B90">
    <cfRule type="expression" dxfId="54" priority="49">
      <formula>$B89="A"</formula>
    </cfRule>
  </conditionalFormatting>
  <conditionalFormatting sqref="F92:F95">
    <cfRule type="cellIs" dxfId="53" priority="47" stopIfTrue="1" operator="equal">
      <formula>"E7"</formula>
    </cfRule>
    <cfRule type="cellIs" dxfId="52" priority="48" stopIfTrue="1" operator="equal">
      <formula>"E7A"</formula>
    </cfRule>
  </conditionalFormatting>
  <conditionalFormatting sqref="B92:B95">
    <cfRule type="expression" dxfId="51" priority="46">
      <formula>$B92="A"</formula>
    </cfRule>
  </conditionalFormatting>
  <conditionalFormatting sqref="B97:B98">
    <cfRule type="expression" dxfId="50" priority="45">
      <formula>$B97="A"</formula>
    </cfRule>
  </conditionalFormatting>
  <conditionalFormatting sqref="F97:F98">
    <cfRule type="cellIs" dxfId="49" priority="43" stopIfTrue="1" operator="equal">
      <formula>"E7"</formula>
    </cfRule>
    <cfRule type="cellIs" dxfId="48" priority="44" stopIfTrue="1" operator="equal">
      <formula>"E7A"</formula>
    </cfRule>
  </conditionalFormatting>
  <conditionalFormatting sqref="B100:B101">
    <cfRule type="expression" dxfId="47" priority="42">
      <formula>$B100="A"</formula>
    </cfRule>
  </conditionalFormatting>
  <conditionalFormatting sqref="F100:F101">
    <cfRule type="cellIs" dxfId="46" priority="40" stopIfTrue="1" operator="equal">
      <formula>"E7"</formula>
    </cfRule>
    <cfRule type="cellIs" dxfId="45" priority="41" stopIfTrue="1" operator="equal">
      <formula>"E7A"</formula>
    </cfRule>
  </conditionalFormatting>
  <conditionalFormatting sqref="B103:B104">
    <cfRule type="expression" dxfId="44" priority="39">
      <formula>$B103="A"</formula>
    </cfRule>
  </conditionalFormatting>
  <conditionalFormatting sqref="F103:F104">
    <cfRule type="cellIs" dxfId="43" priority="37" stopIfTrue="1" operator="equal">
      <formula>"E7"</formula>
    </cfRule>
    <cfRule type="cellIs" dxfId="42" priority="38" stopIfTrue="1" operator="equal">
      <formula>"E7A"</formula>
    </cfRule>
  </conditionalFormatting>
  <conditionalFormatting sqref="FI1">
    <cfRule type="duplicateValues" dxfId="41" priority="36"/>
  </conditionalFormatting>
  <conditionalFormatting sqref="FM1">
    <cfRule type="duplicateValues" dxfId="40" priority="35"/>
  </conditionalFormatting>
  <conditionalFormatting sqref="BS6">
    <cfRule type="expression" dxfId="39" priority="32">
      <formula>BS310=0</formula>
    </cfRule>
  </conditionalFormatting>
  <conditionalFormatting sqref="BS1">
    <cfRule type="duplicateValues" dxfId="38" priority="31"/>
  </conditionalFormatting>
  <conditionalFormatting sqref="BS4">
    <cfRule type="duplicateValues" dxfId="37" priority="30"/>
  </conditionalFormatting>
  <conditionalFormatting sqref="CF6">
    <cfRule type="expression" dxfId="36" priority="27">
      <formula>CF310=0</formula>
    </cfRule>
  </conditionalFormatting>
  <conditionalFormatting sqref="CF1">
    <cfRule type="duplicateValues" dxfId="35" priority="26"/>
  </conditionalFormatting>
  <conditionalFormatting sqref="CF4">
    <cfRule type="duplicateValues" dxfId="34" priority="25"/>
  </conditionalFormatting>
  <conditionalFormatting sqref="DH6">
    <cfRule type="expression" dxfId="33" priority="22">
      <formula>DH310=0</formula>
    </cfRule>
  </conditionalFormatting>
  <conditionalFormatting sqref="DH1">
    <cfRule type="duplicateValues" dxfId="32" priority="21"/>
  </conditionalFormatting>
  <conditionalFormatting sqref="DH4">
    <cfRule type="duplicateValues" dxfId="31" priority="20"/>
  </conditionalFormatting>
  <conditionalFormatting sqref="EA6">
    <cfRule type="expression" dxfId="30" priority="17">
      <formula>EA310=0</formula>
    </cfRule>
  </conditionalFormatting>
  <conditionalFormatting sqref="EA1">
    <cfRule type="duplicateValues" dxfId="29" priority="16"/>
  </conditionalFormatting>
  <conditionalFormatting sqref="EA4">
    <cfRule type="duplicateValues" dxfId="28" priority="15"/>
  </conditionalFormatting>
  <conditionalFormatting sqref="EC6">
    <cfRule type="expression" dxfId="27" priority="12">
      <formula>EC310=0</formula>
    </cfRule>
  </conditionalFormatting>
  <conditionalFormatting sqref="EC1">
    <cfRule type="duplicateValues" dxfId="26" priority="11"/>
  </conditionalFormatting>
  <conditionalFormatting sqref="EC4">
    <cfRule type="duplicateValues" dxfId="25" priority="10"/>
  </conditionalFormatting>
  <conditionalFormatting sqref="EH6">
    <cfRule type="expression" dxfId="24" priority="5">
      <formula>EH310=0</formula>
    </cfRule>
  </conditionalFormatting>
  <conditionalFormatting sqref="EH1">
    <cfRule type="duplicateValues" dxfId="23" priority="6"/>
  </conditionalFormatting>
  <conditionalFormatting sqref="EH4">
    <cfRule type="duplicateValues" dxfId="22" priority="7"/>
  </conditionalFormatting>
  <conditionalFormatting sqref="BG1">
    <cfRule type="duplicateValues" dxfId="21" priority="4"/>
  </conditionalFormatting>
  <conditionalFormatting sqref="BK1">
    <cfRule type="duplicateValues" dxfId="20" priority="3"/>
  </conditionalFormatting>
  <conditionalFormatting sqref="BL1:BN1">
    <cfRule type="duplicateValues" dxfId="19" priority="2"/>
  </conditionalFormatting>
  <conditionalFormatting sqref="CM1">
    <cfRule type="duplicateValues" dxfId="18" priority="1"/>
  </conditionalFormatting>
  <conditionalFormatting sqref="H6">
    <cfRule type="expression" dxfId="17" priority="842">
      <formula>H$311&gt;0</formula>
    </cfRule>
    <cfRule type="duplicateValues" dxfId="16" priority="843"/>
  </conditionalFormatting>
  <conditionalFormatting sqref="I6:BR6 BT6:CE6 CG6:DG6 DI6:DZ6 EB6 ED6:EF6">
    <cfRule type="expression" dxfId="15" priority="844">
      <formula>I$311&gt;0</formula>
    </cfRule>
    <cfRule type="duplicateValues" dxfId="14" priority="845"/>
  </conditionalFormatting>
  <conditionalFormatting sqref="EG6 EI6:FN6">
    <cfRule type="expression" dxfId="13" priority="856">
      <formula>EG$311&gt;0</formula>
    </cfRule>
    <cfRule type="duplicateValues" dxfId="12" priority="857"/>
  </conditionalFormatting>
  <conditionalFormatting sqref="BS6">
    <cfRule type="expression" dxfId="11" priority="860">
      <formula>BS$311&gt;0</formula>
    </cfRule>
    <cfRule type="duplicateValues" dxfId="10" priority="861"/>
  </conditionalFormatting>
  <conditionalFormatting sqref="CF6">
    <cfRule type="expression" dxfId="9" priority="862">
      <formula>CF$311&gt;0</formula>
    </cfRule>
    <cfRule type="duplicateValues" dxfId="8" priority="863"/>
  </conditionalFormatting>
  <conditionalFormatting sqref="DH6">
    <cfRule type="expression" dxfId="7" priority="864">
      <formula>DH$311&gt;0</formula>
    </cfRule>
    <cfRule type="duplicateValues" dxfId="6" priority="865"/>
  </conditionalFormatting>
  <conditionalFormatting sqref="EA6">
    <cfRule type="expression" dxfId="5" priority="866">
      <formula>EA$311&gt;0</formula>
    </cfRule>
    <cfRule type="duplicateValues" dxfId="4" priority="867"/>
  </conditionalFormatting>
  <conditionalFormatting sqref="EC6">
    <cfRule type="expression" dxfId="3" priority="868">
      <formula>EC$311&gt;0</formula>
    </cfRule>
    <cfRule type="duplicateValues" dxfId="2" priority="869"/>
  </conditionalFormatting>
  <conditionalFormatting sqref="EH6">
    <cfRule type="expression" dxfId="1" priority="870">
      <formula>EH$311&gt;0</formula>
    </cfRule>
    <cfRule type="duplicateValues" dxfId="0" priority="871"/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2"/>
  <sheetViews>
    <sheetView workbookViewId="0">
      <selection activeCell="F13" sqref="F13"/>
    </sheetView>
  </sheetViews>
  <sheetFormatPr defaultColWidth="9" defaultRowHeight="12.5"/>
  <cols>
    <col min="1" max="1" width="37.59765625" style="299" customWidth="1"/>
    <col min="2" max="2" width="9.19921875" style="299" customWidth="1"/>
    <col min="3" max="8" width="9" style="299"/>
    <col min="9" max="9" width="23.3984375" style="299" customWidth="1"/>
    <col min="10" max="10" width="15.69921875" style="299" bestFit="1" customWidth="1"/>
    <col min="11" max="16384" width="9" style="299"/>
  </cols>
  <sheetData>
    <row r="1" spans="1:16" ht="15" thickBot="1">
      <c r="A1" s="302" t="s">
        <v>849</v>
      </c>
      <c r="B1" s="301" t="s">
        <v>846</v>
      </c>
      <c r="C1" s="301" t="s">
        <v>958</v>
      </c>
      <c r="D1" s="301" t="s">
        <v>1017</v>
      </c>
      <c r="E1" s="414" t="s">
        <v>1037</v>
      </c>
      <c r="F1" s="301" t="s">
        <v>1038</v>
      </c>
      <c r="I1" s="448" t="s">
        <v>1086</v>
      </c>
      <c r="J1" s="449">
        <v>3090</v>
      </c>
      <c r="K1" s="449" t="s">
        <v>1087</v>
      </c>
      <c r="L1" s="449">
        <v>3080</v>
      </c>
      <c r="M1" s="449" t="s">
        <v>1088</v>
      </c>
      <c r="N1" s="449">
        <v>3070</v>
      </c>
      <c r="O1" s="449" t="s">
        <v>1089</v>
      </c>
      <c r="P1" s="449">
        <v>3060</v>
      </c>
    </row>
    <row r="2" spans="1:16" ht="15" thickBot="1">
      <c r="A2" s="300" t="s">
        <v>847</v>
      </c>
      <c r="B2" s="300">
        <v>300</v>
      </c>
      <c r="C2" s="300"/>
      <c r="D2" s="300"/>
      <c r="E2" s="300"/>
      <c r="F2" s="300"/>
      <c r="G2" s="415"/>
      <c r="I2" s="450" t="s">
        <v>1090</v>
      </c>
      <c r="J2" s="451">
        <v>20</v>
      </c>
      <c r="K2" s="451">
        <v>50</v>
      </c>
      <c r="L2" s="451">
        <v>55</v>
      </c>
      <c r="M2" s="451">
        <v>50</v>
      </c>
      <c r="N2" s="451">
        <v>55</v>
      </c>
      <c r="O2" s="451">
        <v>60</v>
      </c>
      <c r="P2" s="451">
        <v>120</v>
      </c>
    </row>
    <row r="3" spans="1:16" ht="15" thickBot="1">
      <c r="A3" s="300" t="s">
        <v>848</v>
      </c>
      <c r="B3" s="300">
        <v>200</v>
      </c>
      <c r="C3" s="300"/>
      <c r="D3" s="300"/>
      <c r="E3" s="355">
        <v>300</v>
      </c>
      <c r="F3" s="300"/>
      <c r="G3" s="415"/>
      <c r="I3" s="452" t="s">
        <v>1091</v>
      </c>
      <c r="J3" s="453"/>
      <c r="K3" s="453"/>
      <c r="L3" s="453"/>
      <c r="M3" s="453"/>
      <c r="N3" s="453"/>
      <c r="O3" s="453"/>
      <c r="P3" s="453"/>
    </row>
    <row r="4" spans="1:16" ht="15" thickBot="1">
      <c r="A4" s="300" t="s">
        <v>946</v>
      </c>
      <c r="B4" s="300"/>
      <c r="C4" s="355">
        <v>100</v>
      </c>
      <c r="D4" s="300"/>
      <c r="E4" s="300"/>
      <c r="F4" s="300"/>
      <c r="G4" s="415"/>
      <c r="I4" s="450" t="s">
        <v>1092</v>
      </c>
      <c r="J4" s="451">
        <v>5</v>
      </c>
      <c r="K4" s="451">
        <v>10</v>
      </c>
      <c r="L4" s="451">
        <v>10</v>
      </c>
      <c r="M4" s="451">
        <v>30</v>
      </c>
      <c r="N4" s="451">
        <v>30</v>
      </c>
      <c r="O4" s="451">
        <v>50</v>
      </c>
      <c r="P4" s="451">
        <v>30</v>
      </c>
    </row>
    <row r="5" spans="1:16" ht="15" thickBot="1">
      <c r="A5" s="300" t="s">
        <v>1031</v>
      </c>
      <c r="B5" s="300"/>
      <c r="C5" s="355"/>
      <c r="D5" s="300">
        <v>400</v>
      </c>
      <c r="E5" s="355">
        <v>200</v>
      </c>
      <c r="F5" s="300">
        <v>500</v>
      </c>
      <c r="G5" s="415"/>
      <c r="I5" s="452" t="s">
        <v>1091</v>
      </c>
      <c r="J5" s="453"/>
      <c r="K5" s="453"/>
      <c r="L5" s="453"/>
      <c r="M5" s="453"/>
      <c r="N5" s="453"/>
      <c r="O5" s="453"/>
      <c r="P5" s="453"/>
    </row>
    <row r="6" spans="1:16" ht="13" thickBot="1">
      <c r="A6" s="300" t="s">
        <v>947</v>
      </c>
      <c r="B6" s="300"/>
      <c r="C6" s="300">
        <v>500</v>
      </c>
      <c r="D6" s="300">
        <v>100</v>
      </c>
      <c r="E6" s="300"/>
      <c r="F6" s="300"/>
      <c r="G6" s="415"/>
    </row>
    <row r="7" spans="1:16" ht="15" thickBot="1">
      <c r="A7" s="300" t="s">
        <v>948</v>
      </c>
      <c r="B7" s="300"/>
      <c r="C7" s="355">
        <v>100</v>
      </c>
      <c r="D7" s="300"/>
      <c r="E7" s="300"/>
      <c r="F7" s="300"/>
      <c r="G7" s="415"/>
      <c r="I7" s="448" t="s">
        <v>1086</v>
      </c>
      <c r="J7" s="449">
        <v>3090</v>
      </c>
      <c r="K7" s="449" t="s">
        <v>1087</v>
      </c>
      <c r="L7" s="449">
        <v>3080</v>
      </c>
      <c r="M7" s="449" t="s">
        <v>1088</v>
      </c>
      <c r="N7" s="449">
        <v>3070</v>
      </c>
      <c r="O7" s="449" t="s">
        <v>1089</v>
      </c>
      <c r="P7" s="449">
        <v>3060</v>
      </c>
    </row>
    <row r="8" spans="1:16" ht="15" thickBot="1">
      <c r="A8" s="362">
        <f>SUM(B8:H8)</f>
        <v>2700</v>
      </c>
      <c r="B8" s="299">
        <f>SUM(B2:B7)</f>
        <v>500</v>
      </c>
      <c r="C8" s="299">
        <f>SUM(C2:C7)</f>
        <v>700</v>
      </c>
      <c r="D8" s="299">
        <f>SUM(D2:D7)</f>
        <v>500</v>
      </c>
      <c r="E8" s="299">
        <f>SUM(E2:E7)</f>
        <v>500</v>
      </c>
      <c r="F8" s="299">
        <f>SUM(F2:F7)</f>
        <v>500</v>
      </c>
      <c r="I8" s="450" t="s">
        <v>1093</v>
      </c>
      <c r="J8" s="451">
        <v>10</v>
      </c>
      <c r="K8" s="451">
        <v>10</v>
      </c>
      <c r="L8" s="451">
        <v>10</v>
      </c>
      <c r="M8" s="451">
        <v>20</v>
      </c>
      <c r="N8" s="451">
        <v>10</v>
      </c>
      <c r="O8" s="451">
        <v>30</v>
      </c>
      <c r="P8" s="451">
        <v>30</v>
      </c>
    </row>
    <row r="9" spans="1:16" ht="15" thickBot="1">
      <c r="I9" s="452" t="s">
        <v>1091</v>
      </c>
      <c r="J9" s="453"/>
      <c r="K9" s="453"/>
      <c r="L9" s="453"/>
      <c r="M9" s="453"/>
      <c r="N9" s="453"/>
      <c r="O9" s="453"/>
      <c r="P9" s="453"/>
    </row>
    <row r="10" spans="1:16" ht="13.5" thickBot="1">
      <c r="A10" s="302" t="s">
        <v>954</v>
      </c>
      <c r="B10" s="301" t="s">
        <v>846</v>
      </c>
      <c r="C10" s="301" t="s">
        <v>958</v>
      </c>
      <c r="D10" s="301" t="s">
        <v>1017</v>
      </c>
      <c r="E10" s="301" t="s">
        <v>1038</v>
      </c>
      <c r="F10" s="301" t="s">
        <v>1147</v>
      </c>
      <c r="I10" s="454" t="s">
        <v>1094</v>
      </c>
      <c r="J10" s="451">
        <v>2</v>
      </c>
      <c r="K10" s="451">
        <v>2</v>
      </c>
      <c r="L10" s="451">
        <v>5</v>
      </c>
      <c r="M10" s="451">
        <v>2</v>
      </c>
      <c r="N10" s="451">
        <v>10</v>
      </c>
      <c r="O10" s="451">
        <v>10</v>
      </c>
      <c r="P10" s="451">
        <v>15</v>
      </c>
    </row>
    <row r="11" spans="1:16" ht="15" thickBot="1">
      <c r="A11" s="300" t="s">
        <v>947</v>
      </c>
      <c r="B11" s="300"/>
      <c r="C11" s="355">
        <v>100</v>
      </c>
      <c r="D11" s="300"/>
      <c r="E11" s="355">
        <v>100</v>
      </c>
      <c r="F11" s="355">
        <v>100</v>
      </c>
      <c r="I11" s="452" t="s">
        <v>1091</v>
      </c>
      <c r="J11" s="453"/>
      <c r="K11" s="453"/>
      <c r="L11" s="453"/>
      <c r="M11" s="453"/>
      <c r="N11" s="453"/>
      <c r="O11" s="453"/>
      <c r="P11" s="453"/>
    </row>
    <row r="12" spans="1:16" ht="13" thickBot="1">
      <c r="A12" s="300" t="s">
        <v>948</v>
      </c>
      <c r="B12" s="300"/>
      <c r="C12" s="355">
        <v>100</v>
      </c>
      <c r="D12" s="300"/>
      <c r="E12" s="300"/>
      <c r="F12" s="300"/>
    </row>
    <row r="13" spans="1:16" ht="15" thickBot="1">
      <c r="A13" s="300" t="s">
        <v>1021</v>
      </c>
      <c r="B13" s="300"/>
      <c r="C13" s="300"/>
      <c r="D13" s="355">
        <v>100</v>
      </c>
      <c r="E13" s="355"/>
      <c r="F13" s="355">
        <v>100</v>
      </c>
      <c r="I13" s="448" t="s">
        <v>1086</v>
      </c>
      <c r="J13" s="449">
        <v>3090</v>
      </c>
      <c r="K13" s="449" t="s">
        <v>1087</v>
      </c>
      <c r="L13" s="449">
        <v>3080</v>
      </c>
      <c r="M13" s="449" t="s">
        <v>1088</v>
      </c>
      <c r="N13" s="449">
        <v>3070</v>
      </c>
      <c r="O13" s="449" t="s">
        <v>1089</v>
      </c>
      <c r="P13" s="449">
        <v>3060</v>
      </c>
    </row>
    <row r="14" spans="1:16" ht="15" thickBot="1">
      <c r="A14" s="300"/>
      <c r="B14" s="300"/>
      <c r="C14" s="300"/>
      <c r="D14" s="300"/>
      <c r="E14" s="300"/>
      <c r="F14" s="300"/>
      <c r="I14" s="452" t="s">
        <v>1091</v>
      </c>
      <c r="J14" s="453"/>
      <c r="K14" s="453"/>
      <c r="L14" s="453"/>
      <c r="M14" s="453"/>
      <c r="N14" s="453"/>
      <c r="O14" s="453"/>
      <c r="P14" s="453"/>
    </row>
    <row r="15" spans="1:16" ht="15" thickBot="1">
      <c r="A15" s="362">
        <f>SUM(B15:H15)</f>
        <v>600</v>
      </c>
      <c r="C15" s="299">
        <f>SUM(C11:C14)</f>
        <v>200</v>
      </c>
      <c r="D15" s="299">
        <f>SUM(D11:D14)</f>
        <v>100</v>
      </c>
      <c r="E15" s="299">
        <f>SUM(E11:E14)</f>
        <v>100</v>
      </c>
      <c r="F15" s="299">
        <f>SUM(F11:F14)</f>
        <v>200</v>
      </c>
      <c r="I15" s="450" t="s">
        <v>949</v>
      </c>
      <c r="J15" s="451">
        <v>4</v>
      </c>
      <c r="K15" s="451">
        <v>40</v>
      </c>
      <c r="L15" s="451">
        <v>100</v>
      </c>
      <c r="M15" s="451">
        <v>250</v>
      </c>
      <c r="N15" s="451">
        <v>150</v>
      </c>
      <c r="O15" s="455">
        <v>700</v>
      </c>
      <c r="P15" s="455">
        <v>300</v>
      </c>
    </row>
    <row r="16" spans="1:16" ht="13">
      <c r="A16" s="362"/>
    </row>
    <row r="17" spans="1:14" ht="13">
      <c r="A17" s="459" t="s">
        <v>1035</v>
      </c>
      <c r="B17" s="460" t="s">
        <v>846</v>
      </c>
      <c r="C17" s="460" t="s">
        <v>958</v>
      </c>
      <c r="D17" s="460" t="s">
        <v>1017</v>
      </c>
      <c r="E17" s="460" t="s">
        <v>1038</v>
      </c>
    </row>
    <row r="18" spans="1:14" ht="14.5">
      <c r="A18" s="300" t="s">
        <v>1021</v>
      </c>
      <c r="B18" s="300"/>
      <c r="C18" s="355"/>
      <c r="D18" s="355"/>
      <c r="E18" s="355">
        <v>100</v>
      </c>
      <c r="I18" s="456"/>
      <c r="J18" s="456" t="s">
        <v>1095</v>
      </c>
      <c r="K18" s="457" t="s">
        <v>1096</v>
      </c>
      <c r="L18" s="457" t="s">
        <v>1097</v>
      </c>
      <c r="M18" s="457" t="s">
        <v>1098</v>
      </c>
      <c r="N18" s="457" t="s">
        <v>1097</v>
      </c>
    </row>
    <row r="19" spans="1:14" ht="14.5">
      <c r="A19" s="362"/>
      <c r="I19" s="482" t="s">
        <v>1099</v>
      </c>
      <c r="J19" s="482" t="s">
        <v>582</v>
      </c>
      <c r="K19" s="458" t="s">
        <v>1100</v>
      </c>
      <c r="L19" s="458">
        <v>5</v>
      </c>
      <c r="M19" s="456" t="s">
        <v>93</v>
      </c>
      <c r="N19" s="457">
        <v>5</v>
      </c>
    </row>
    <row r="20" spans="1:14" ht="14.5">
      <c r="A20" s="459" t="s">
        <v>1024</v>
      </c>
      <c r="B20" s="460" t="s">
        <v>846</v>
      </c>
      <c r="C20" s="460" t="s">
        <v>958</v>
      </c>
      <c r="D20" s="460" t="s">
        <v>1017</v>
      </c>
      <c r="E20" s="460" t="s">
        <v>1038</v>
      </c>
      <c r="I20" s="483"/>
      <c r="J20" s="483"/>
      <c r="K20" s="482" t="s">
        <v>1101</v>
      </c>
      <c r="L20" s="482">
        <v>10</v>
      </c>
      <c r="M20" s="456" t="s">
        <v>1102</v>
      </c>
      <c r="N20" s="457">
        <v>5</v>
      </c>
    </row>
    <row r="21" spans="1:14" ht="14.5">
      <c r="A21" s="300" t="s">
        <v>1021</v>
      </c>
      <c r="B21" s="300"/>
      <c r="C21" s="355"/>
      <c r="D21" s="355">
        <v>100</v>
      </c>
      <c r="E21" s="355">
        <v>100</v>
      </c>
      <c r="I21" s="484"/>
      <c r="J21" s="484"/>
      <c r="K21" s="484"/>
      <c r="L21" s="484"/>
      <c r="M21" s="456" t="s">
        <v>1103</v>
      </c>
      <c r="N21" s="457">
        <v>5</v>
      </c>
    </row>
    <row r="22" spans="1:14" ht="14.5">
      <c r="A22" s="362"/>
      <c r="I22" s="457" t="s">
        <v>1104</v>
      </c>
      <c r="J22" s="457" t="s">
        <v>582</v>
      </c>
      <c r="K22" s="458" t="s">
        <v>1100</v>
      </c>
      <c r="L22" s="458">
        <v>2</v>
      </c>
      <c r="M22" s="456" t="s">
        <v>93</v>
      </c>
      <c r="N22" s="457">
        <v>2</v>
      </c>
    </row>
    <row r="23" spans="1:14" ht="13">
      <c r="A23" s="459" t="s">
        <v>1036</v>
      </c>
      <c r="B23" s="460" t="s">
        <v>846</v>
      </c>
      <c r="C23" s="460" t="s">
        <v>958</v>
      </c>
      <c r="D23" s="460" t="s">
        <v>1017</v>
      </c>
      <c r="E23" s="460" t="s">
        <v>1038</v>
      </c>
    </row>
    <row r="24" spans="1:14">
      <c r="A24" s="300" t="s">
        <v>1021</v>
      </c>
      <c r="B24" s="300"/>
      <c r="C24" s="355"/>
      <c r="D24" s="355"/>
      <c r="E24" s="355">
        <v>100</v>
      </c>
      <c r="I24" s="299" t="s">
        <v>1105</v>
      </c>
    </row>
    <row r="25" spans="1:14" ht="13">
      <c r="A25" s="362"/>
    </row>
    <row r="26" spans="1:14" ht="13">
      <c r="A26" s="362"/>
      <c r="I26" s="299" t="s">
        <v>1106</v>
      </c>
    </row>
    <row r="27" spans="1:14">
      <c r="A27" s="359" t="s">
        <v>956</v>
      </c>
    </row>
    <row r="28" spans="1:14">
      <c r="A28" s="299" t="s">
        <v>955</v>
      </c>
    </row>
    <row r="31" spans="1:14" ht="14.5">
      <c r="A31" s="360"/>
      <c r="B31" s="361" t="s">
        <v>953</v>
      </c>
      <c r="I31" s="363"/>
      <c r="J31"/>
    </row>
    <row r="32" spans="1:14">
      <c r="A32" s="360" t="s">
        <v>949</v>
      </c>
      <c r="B32" s="361">
        <v>5000</v>
      </c>
    </row>
    <row r="33" spans="1:3">
      <c r="A33" s="360" t="s">
        <v>950</v>
      </c>
      <c r="B33" s="361">
        <v>600</v>
      </c>
    </row>
    <row r="34" spans="1:3">
      <c r="A34" s="360" t="s">
        <v>951</v>
      </c>
      <c r="B34" s="361">
        <v>100</v>
      </c>
      <c r="C34" s="299" t="s">
        <v>1034</v>
      </c>
    </row>
    <row r="35" spans="1:3">
      <c r="A35" s="360" t="s">
        <v>1023</v>
      </c>
      <c r="B35" s="361">
        <v>200</v>
      </c>
      <c r="C35" s="299" t="s">
        <v>959</v>
      </c>
    </row>
    <row r="36" spans="1:3">
      <c r="A36" s="360" t="s">
        <v>952</v>
      </c>
      <c r="B36" s="361">
        <v>100</v>
      </c>
      <c r="C36" s="299" t="s">
        <v>959</v>
      </c>
    </row>
    <row r="38" spans="1:3" ht="14.5">
      <c r="B38"/>
    </row>
    <row r="39" spans="1:3" ht="14.5">
      <c r="A39" s="363" t="s">
        <v>1030</v>
      </c>
      <c r="B39"/>
    </row>
    <row r="40" spans="1:3" ht="14.5">
      <c r="A40" s="363" t="s">
        <v>961</v>
      </c>
      <c r="B40"/>
    </row>
    <row r="41" spans="1:3" ht="14.5">
      <c r="A41" s="363" t="s">
        <v>962</v>
      </c>
      <c r="B41"/>
    </row>
    <row r="42" spans="1:3" ht="14.5">
      <c r="A42" s="413" t="s">
        <v>1032</v>
      </c>
      <c r="B42" s="413" t="s">
        <v>963</v>
      </c>
      <c r="C42" s="414" t="s">
        <v>1017</v>
      </c>
    </row>
    <row r="43" spans="1:3" ht="14.5">
      <c r="A43" s="365" t="s">
        <v>1028</v>
      </c>
      <c r="B43" s="364">
        <v>30</v>
      </c>
      <c r="C43" s="300">
        <v>30</v>
      </c>
    </row>
    <row r="44" spans="1:3" ht="14.5">
      <c r="A44" s="365" t="s">
        <v>1022</v>
      </c>
      <c r="B44" s="364">
        <v>20</v>
      </c>
      <c r="C44" s="300">
        <v>20</v>
      </c>
    </row>
    <row r="45" spans="1:3" ht="14.5">
      <c r="A45" s="365" t="s">
        <v>1026</v>
      </c>
      <c r="B45" s="364">
        <v>15</v>
      </c>
      <c r="C45" s="300">
        <v>15</v>
      </c>
    </row>
    <row r="46" spans="1:3" ht="14.5">
      <c r="A46" s="365" t="s">
        <v>1020</v>
      </c>
      <c r="B46" s="364">
        <v>15</v>
      </c>
      <c r="C46" s="300">
        <v>15</v>
      </c>
    </row>
    <row r="47" spans="1:3" ht="14.5">
      <c r="A47" s="365" t="s">
        <v>964</v>
      </c>
      <c r="B47" s="364">
        <v>80</v>
      </c>
      <c r="C47" s="300"/>
    </row>
    <row r="48" spans="1:3" ht="14.5">
      <c r="A48" s="365" t="s">
        <v>965</v>
      </c>
      <c r="B48" s="364">
        <v>80</v>
      </c>
      <c r="C48" s="300"/>
    </row>
    <row r="50" spans="1:1">
      <c r="A50" s="299" t="s">
        <v>957</v>
      </c>
    </row>
    <row r="51" spans="1:1">
      <c r="A51" s="299" t="s">
        <v>1082</v>
      </c>
    </row>
    <row r="52" spans="1:1">
      <c r="A52" s="299" t="s">
        <v>1033</v>
      </c>
    </row>
  </sheetData>
  <mergeCells count="4">
    <mergeCell ref="I19:I21"/>
    <mergeCell ref="J19:J21"/>
    <mergeCell ref="K20:K21"/>
    <mergeCell ref="L20:L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WK33</vt:lpstr>
      <vt:lpstr>WK34</vt:lpstr>
      <vt:lpstr>WK35</vt:lpstr>
      <vt:lpstr>WK36</vt:lpstr>
      <vt:lpstr>WK37</vt:lpstr>
      <vt:lpstr>WK38</vt:lpstr>
      <vt:lpstr>WK39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2021-09-17T08:04:24Z</dcterms:modified>
</cp:coreProperties>
</file>