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ermur/Dropbox/Adventuress/"/>
    </mc:Choice>
  </mc:AlternateContent>
  <xr:revisionPtr revIDLastSave="0" documentId="13_ncr:1_{15556193-B2AA-3F4E-88FA-E7CD45DA0C9F}" xr6:coauthVersionLast="45" xr6:coauthVersionMax="45" xr10:uidLastSave="{00000000-0000-0000-0000-000000000000}"/>
  <bookViews>
    <workbookView xWindow="0" yWindow="460" windowWidth="28800" windowHeight="17540" activeTab="1" xr2:uid="{C225DE60-673C-5F46-BE88-70979B859910}"/>
  </bookViews>
  <sheets>
    <sheet name="Fuel Curve 1" sheetId="7" r:id="rId1"/>
    <sheet name="Fuel Curve 2" sheetId="11" r:id="rId2"/>
    <sheet name="Engine Analsysis" sheetId="15" r:id="rId3"/>
    <sheet name="Fuel Burn Rate" sheetId="13" r:id="rId4"/>
    <sheet name="Fuel Tank  Calc" sheetId="9" r:id="rId5"/>
    <sheet name="Site Gauge" sheetId="10" r:id="rId6"/>
  </sheets>
  <definedNames>
    <definedName name="AFT_TABLE">'Site Gauge'!$D$11:$E$28</definedName>
    <definedName name="AFT_VOL">'Fuel Tank  Calc'!$C$5</definedName>
    <definedName name="distance" localSheetId="1">#REF!</definedName>
    <definedName name="distance">#REF!</definedName>
    <definedName name="FT_VOL">'Fuel Tank  Calc'!$B$5</definedName>
    <definedName name="FWD_P_LVL">'Fuel Tank  Calc'!$F$3</definedName>
    <definedName name="FWD_S_LVL">'Fuel Tank  Calc'!$G$3</definedName>
    <definedName name="FWD_TABLE">'Site Gauge'!$A$11:$B$36</definedName>
    <definedName name="FWD_TANK">'Fuel Tank  Calc'!$A$13:$B$38</definedName>
    <definedName name="FWD_TANK_INDEX">'Fuel Tank  Calc'!$A$13:$A$38</definedName>
    <definedName name="_xlnm.Print_Area" localSheetId="1">Table22[[#All],[RPM]:[Range (NM)]]</definedName>
    <definedName name="RESERVE" localSheetId="1">'Fuel Curve 2'!$B$3</definedName>
    <definedName name="RESERVE">'Fuel Curve 1'!$B$3</definedName>
    <definedName name="TANKAGE" localSheetId="1">'Fuel Curve 2'!$B$2</definedName>
    <definedName name="TANKAGE">'Fuel Curve 1'!$B$2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6" i="11" l="1"/>
  <c r="K6" i="11"/>
  <c r="H7" i="11"/>
  <c r="K7" i="11"/>
  <c r="H8" i="11"/>
  <c r="K8" i="11"/>
  <c r="H9" i="11"/>
  <c r="K9" i="11"/>
  <c r="H10" i="11"/>
  <c r="K10" i="11"/>
  <c r="H11" i="11"/>
  <c r="K11" i="11"/>
  <c r="H12" i="11"/>
  <c r="K12" i="11"/>
  <c r="H13" i="11"/>
  <c r="K13" i="11"/>
  <c r="H14" i="11"/>
  <c r="K14" i="11"/>
  <c r="H15" i="11"/>
  <c r="K15" i="11"/>
  <c r="H16" i="11"/>
  <c r="K16" i="11"/>
  <c r="H17" i="11"/>
  <c r="K17" i="11"/>
  <c r="J6" i="11"/>
  <c r="J7" i="11"/>
  <c r="J8" i="11"/>
  <c r="J9" i="11"/>
  <c r="J10" i="11"/>
  <c r="J11" i="11"/>
  <c r="J12" i="11"/>
  <c r="J13" i="11"/>
  <c r="J14" i="11"/>
  <c r="J15" i="11"/>
  <c r="J16" i="11"/>
  <c r="J17" i="11"/>
  <c r="I6" i="11"/>
  <c r="I7" i="11"/>
  <c r="I8" i="11"/>
  <c r="I9" i="11"/>
  <c r="I10" i="11"/>
  <c r="I11" i="11"/>
  <c r="I12" i="11"/>
  <c r="I13" i="11"/>
  <c r="I14" i="11"/>
  <c r="I15" i="11"/>
  <c r="I16" i="11"/>
  <c r="I17" i="11"/>
  <c r="G6" i="7"/>
  <c r="B1" i="11"/>
  <c r="M16" i="9"/>
  <c r="D15" i="9"/>
  <c r="D16" i="9"/>
  <c r="D17" i="9"/>
  <c r="D18" i="9"/>
  <c r="D19" i="9"/>
  <c r="D20" i="9"/>
  <c r="D21" i="9"/>
  <c r="E13" i="9"/>
  <c r="I16" i="9"/>
  <c r="E16" i="9"/>
  <c r="H16" i="9"/>
  <c r="F8" i="9"/>
  <c r="B3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B36" i="10"/>
  <c r="B35" i="10"/>
  <c r="B34" i="10"/>
  <c r="B33" i="10"/>
  <c r="B32" i="10"/>
  <c r="B31" i="10"/>
  <c r="B30" i="10"/>
  <c r="B29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E28" i="10"/>
  <c r="B28" i="10"/>
  <c r="E27" i="10"/>
  <c r="B27" i="10"/>
  <c r="E26" i="10"/>
  <c r="B26" i="10"/>
  <c r="E25" i="10"/>
  <c r="B25" i="10"/>
  <c r="E24" i="10"/>
  <c r="B24" i="10"/>
  <c r="E23" i="10"/>
  <c r="B23" i="10"/>
  <c r="E22" i="10"/>
  <c r="B22" i="10"/>
  <c r="E21" i="10"/>
  <c r="B21" i="10"/>
  <c r="E20" i="10"/>
  <c r="B20" i="10"/>
  <c r="E19" i="10"/>
  <c r="B19" i="10"/>
  <c r="E18" i="10"/>
  <c r="B18" i="10"/>
  <c r="E17" i="10"/>
  <c r="B17" i="10"/>
  <c r="E16" i="10"/>
  <c r="B16" i="10"/>
  <c r="E15" i="10"/>
  <c r="B15" i="10"/>
  <c r="E14" i="10"/>
  <c r="B14" i="10"/>
  <c r="E13" i="10"/>
  <c r="B13" i="10"/>
  <c r="E12" i="10"/>
  <c r="B12" i="10"/>
  <c r="E11" i="10"/>
  <c r="B11" i="10"/>
  <c r="G8" i="9"/>
  <c r="A15" i="9"/>
  <c r="A16" i="9"/>
  <c r="A17" i="9"/>
  <c r="A18" i="9"/>
  <c r="A19" i="9"/>
  <c r="A20" i="9"/>
  <c r="A21" i="9"/>
  <c r="A22" i="9"/>
  <c r="A23" i="9"/>
  <c r="A24" i="9"/>
  <c r="A25" i="9"/>
  <c r="B22" i="9"/>
  <c r="B21" i="9"/>
  <c r="A26" i="9"/>
  <c r="A27" i="9"/>
  <c r="A28" i="9"/>
  <c r="A29" i="9"/>
  <c r="A30" i="9"/>
  <c r="A31" i="9"/>
  <c r="A32" i="9"/>
  <c r="A33" i="9"/>
  <c r="A34" i="9"/>
  <c r="A35" i="9"/>
  <c r="B34" i="9"/>
  <c r="I15" i="9"/>
  <c r="A36" i="9"/>
  <c r="A37" i="9"/>
  <c r="B36" i="9"/>
  <c r="H15" i="9"/>
  <c r="B35" i="9"/>
  <c r="E32" i="9"/>
  <c r="E14" i="9"/>
  <c r="E15" i="9"/>
  <c r="E17" i="9"/>
  <c r="E18" i="9"/>
  <c r="E19" i="9"/>
  <c r="E20" i="9"/>
  <c r="E21" i="9"/>
  <c r="D22" i="9"/>
  <c r="E22" i="9"/>
  <c r="D23" i="9"/>
  <c r="E23" i="9"/>
  <c r="D24" i="9"/>
  <c r="E24" i="9"/>
  <c r="D25" i="9"/>
  <c r="E25" i="9"/>
  <c r="D26" i="9"/>
  <c r="E26" i="9"/>
  <c r="D27" i="9"/>
  <c r="E27" i="9"/>
  <c r="D28" i="9"/>
  <c r="E28" i="9"/>
  <c r="D29" i="9"/>
  <c r="E29" i="9"/>
  <c r="D30" i="9"/>
  <c r="E30" i="9"/>
  <c r="B13" i="9"/>
  <c r="B14" i="9"/>
  <c r="B15" i="9"/>
  <c r="B16" i="9"/>
  <c r="B17" i="9"/>
  <c r="B18" i="9"/>
  <c r="B19" i="9"/>
  <c r="B20" i="9"/>
  <c r="B23" i="9"/>
  <c r="B24" i="9"/>
  <c r="B25" i="9"/>
  <c r="B26" i="9"/>
  <c r="B27" i="9"/>
  <c r="B28" i="9"/>
  <c r="B29" i="9"/>
  <c r="B30" i="9"/>
  <c r="B31" i="9"/>
  <c r="B32" i="9"/>
  <c r="B33" i="9"/>
  <c r="B37" i="9"/>
  <c r="A38" i="9"/>
  <c r="B38" i="9"/>
  <c r="F10" i="7"/>
  <c r="C2" i="9"/>
  <c r="A21" i="7"/>
  <c r="C15" i="7"/>
  <c r="F15" i="7"/>
  <c r="G15" i="7"/>
  <c r="H15" i="7"/>
  <c r="I15" i="7"/>
  <c r="B1" i="7"/>
  <c r="F6" i="7"/>
  <c r="H6" i="7"/>
  <c r="F7" i="7"/>
  <c r="H7" i="7"/>
  <c r="F8" i="7"/>
  <c r="H8" i="7"/>
  <c r="F9" i="7"/>
  <c r="H9" i="7"/>
  <c r="H10" i="7"/>
  <c r="F11" i="7"/>
  <c r="H11" i="7"/>
  <c r="F12" i="7"/>
  <c r="H12" i="7"/>
  <c r="F13" i="7"/>
  <c r="H13" i="7"/>
  <c r="F14" i="7"/>
  <c r="H14" i="7"/>
  <c r="F16" i="7"/>
  <c r="H16" i="7"/>
  <c r="C7" i="7"/>
  <c r="C8" i="7"/>
  <c r="C9" i="7"/>
  <c r="C10" i="7"/>
  <c r="C11" i="7"/>
  <c r="C12" i="7"/>
  <c r="C13" i="7"/>
  <c r="C14" i="7"/>
  <c r="C16" i="7"/>
  <c r="C6" i="7"/>
  <c r="I6" i="7"/>
  <c r="I7" i="7"/>
  <c r="I8" i="7"/>
  <c r="I9" i="7"/>
  <c r="I10" i="7"/>
  <c r="I11" i="7"/>
  <c r="I12" i="7"/>
  <c r="I13" i="7"/>
  <c r="I14" i="7"/>
  <c r="I16" i="7"/>
  <c r="G7" i="7"/>
  <c r="G8" i="7"/>
  <c r="G9" i="7"/>
  <c r="G10" i="7"/>
  <c r="G11" i="7"/>
  <c r="G12" i="7"/>
  <c r="G13" i="7"/>
  <c r="G14" i="7"/>
  <c r="G16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Murphy</author>
  </authors>
  <commentList>
    <comment ref="C5" authorId="0" shapeId="0" xr:uid="{C6F7C3E8-7381-1F44-9A45-9D8BB1225BFA}">
      <text>
        <r>
          <rPr>
            <b/>
            <sz val="10"/>
            <color rgb="FF000000"/>
            <rFont val="Tahoma"/>
            <family val="2"/>
          </rPr>
          <t>Load is measured as the fuel burn / maximum fuel burn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Robert Murphy</author>
  </authors>
  <commentList>
    <comment ref="C5" authorId="0" shapeId="0" xr:uid="{BBD8A43C-A2B1-3C46-9173-415FD0466F35}">
      <text>
        <r>
          <rPr>
            <b/>
            <sz val="10"/>
            <color rgb="FF000000"/>
            <rFont val="Tahoma"/>
            <family val="2"/>
          </rPr>
          <t>Load is measured as the fuel burn / maximum fuel burn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<sst xmlns="http://schemas.openxmlformats.org/spreadsheetml/2006/main" count="71" uniqueCount="42">
  <si>
    <t>RPM</t>
  </si>
  <si>
    <t>KNOTS</t>
  </si>
  <si>
    <t>Total Tankage</t>
  </si>
  <si>
    <t>Spare Reserve</t>
  </si>
  <si>
    <t>Range (NM)</t>
  </si>
  <si>
    <t>Distance
(24hr)</t>
  </si>
  <si>
    <t>Fuel Burn
Single Engine</t>
  </si>
  <si>
    <t>% Load</t>
  </si>
  <si>
    <t>NOTE: During break in period run engine at 1950 hours a minimum of 50% of the time</t>
  </si>
  <si>
    <t>Distance
(10hr)</t>
  </si>
  <si>
    <t>28 hour run</t>
  </si>
  <si>
    <t>Displacement Speed</t>
  </si>
  <si>
    <t>Projected RPM</t>
  </si>
  <si>
    <t>Fuel Burn Rate</t>
  </si>
  <si>
    <t>Forward Tank</t>
  </si>
  <si>
    <t>Sight Gauge</t>
  </si>
  <si>
    <t>Remaining Fuel</t>
  </si>
  <si>
    <t>Aft Tanks</t>
  </si>
  <si>
    <t>Unit of Measure
Gallons / 1" Vertical</t>
  </si>
  <si>
    <t>Aft Tank</t>
  </si>
  <si>
    <t>FORWARD</t>
  </si>
  <si>
    <t>AFT</t>
  </si>
  <si>
    <t>PORT</t>
  </si>
  <si>
    <t>STARBOARD</t>
  </si>
  <si>
    <t>FUEL GAUGE READINGS</t>
  </si>
  <si>
    <t>FUEL GAUGE</t>
  </si>
  <si>
    <t>Forward</t>
  </si>
  <si>
    <t>Aft</t>
  </si>
  <si>
    <t>Port</t>
  </si>
  <si>
    <t>Starboard</t>
  </si>
  <si>
    <t>Gulfport 165/165</t>
  </si>
  <si>
    <t>Tampa 52.58/60.74</t>
  </si>
  <si>
    <t>Enroute to Ft. Myer</t>
  </si>
  <si>
    <t>Capacity</t>
  </si>
  <si>
    <t>Hours</t>
  </si>
  <si>
    <t>NM/G</t>
  </si>
  <si>
    <t>Peak Torque 1800 RPM</t>
  </si>
  <si>
    <t>Sea Trial Date:  04-28-2019</t>
  </si>
  <si>
    <t>Sea Trial Date:  07-24-2018</t>
  </si>
  <si>
    <t>SOG</t>
  </si>
  <si>
    <t>Coolant
Temp</t>
  </si>
  <si>
    <t>Oil PSI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</si>
</sst>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1" xfId="0" applyNumberFormat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/>
    <xf numFmtId="0" fontId="0" fillId="0" borderId="0" xfId="0" applyAlignment="1">
      <alignment wrapText="1"/>
    </xf>
    <xf numFmtId="0" fontId="0" fillId="0" borderId="4" xfId="0" applyBorder="1" applyAlignment="1">
      <alignment horizontal="center"/>
    </xf>
    <xf numFmtId="0" fontId="0" fillId="0" borderId="2" xfId="0" applyBorder="1"/>
    <xf numFmtId="0" fontId="0" fillId="3" borderId="2" xfId="0" applyFill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0" xfId="0" applyNumberFormat="1"/>
    <xf numFmtId="0" fontId="5" fillId="0" borderId="0" xfId="0" applyFont="1" applyFill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7" xfId="0" applyFont="1" applyBorder="1"/>
    <xf numFmtId="0" fontId="2" fillId="4" borderId="0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right"/>
    </xf>
    <xf numFmtId="0" fontId="2" fillId="5" borderId="9" xfId="0" applyFont="1" applyFill="1" applyBorder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right"/>
    </xf>
    <xf numFmtId="0" fontId="6" fillId="0" borderId="5" xfId="0" applyFont="1" applyBorder="1"/>
    <xf numFmtId="0" fontId="0" fillId="0" borderId="6" xfId="0" applyBorder="1"/>
    <xf numFmtId="0" fontId="0" fillId="0" borderId="7" xfId="0" applyBorder="1" applyAlignment="1">
      <alignment horizontal="center" wrapText="1"/>
    </xf>
    <xf numFmtId="0" fontId="0" fillId="0" borderId="8" xfId="0" applyBorder="1"/>
    <xf numFmtId="1" fontId="0" fillId="0" borderId="8" xfId="0" applyNumberFormat="1" applyBorder="1"/>
    <xf numFmtId="1" fontId="0" fillId="0" borderId="10" xfId="0" applyNumberFormat="1" applyBorder="1"/>
    <xf numFmtId="0" fontId="0" fillId="0" borderId="1" xfId="0" applyBorder="1"/>
    <xf numFmtId="0" fontId="0" fillId="0" borderId="5" xfId="0" applyBorder="1"/>
    <xf numFmtId="0" fontId="0" fillId="0" borderId="3" xfId="0" applyBorder="1"/>
    <xf numFmtId="0" fontId="0" fillId="0" borderId="7" xfId="0" applyBorder="1"/>
    <xf numFmtId="0" fontId="0" fillId="0" borderId="0" xfId="0" applyBorder="1"/>
    <xf numFmtId="0" fontId="0" fillId="0" borderId="7" xfId="0" applyBorder="1" applyAlignment="1">
      <alignment horizontal="right"/>
    </xf>
    <xf numFmtId="0" fontId="0" fillId="0" borderId="9" xfId="0" applyBorder="1" applyAlignment="1">
      <alignment horizontal="right"/>
    </xf>
    <xf numFmtId="0" fontId="6" fillId="6" borderId="5" xfId="0" applyFont="1" applyFill="1" applyBorder="1"/>
    <xf numFmtId="0" fontId="0" fillId="6" borderId="6" xfId="0" applyFill="1" applyBorder="1"/>
    <xf numFmtId="0" fontId="0" fillId="6" borderId="7" xfId="0" applyFill="1" applyBorder="1" applyAlignment="1">
      <alignment horizontal="center" wrapText="1"/>
    </xf>
    <xf numFmtId="0" fontId="0" fillId="6" borderId="8" xfId="0" applyFill="1" applyBorder="1"/>
    <xf numFmtId="1" fontId="0" fillId="6" borderId="8" xfId="0" applyNumberFormat="1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6" borderId="9" xfId="0" applyFill="1" applyBorder="1" applyAlignment="1">
      <alignment horizontal="center"/>
    </xf>
    <xf numFmtId="1" fontId="0" fillId="6" borderId="10" xfId="0" applyNumberFormat="1" applyFill="1" applyBorder="1" applyAlignment="1">
      <alignment horizontal="center"/>
    </xf>
    <xf numFmtId="1" fontId="0" fillId="0" borderId="7" xfId="0" applyNumberFormat="1" applyBorder="1" applyAlignment="1">
      <alignment horizontal="center" wrapText="1"/>
    </xf>
    <xf numFmtId="1" fontId="0" fillId="0" borderId="7" xfId="0" applyNumberFormat="1" applyBorder="1" applyAlignment="1">
      <alignment horizontal="center"/>
    </xf>
    <xf numFmtId="1" fontId="0" fillId="0" borderId="9" xfId="0" applyNumberFormat="1" applyBorder="1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0" xfId="0" applyAlignment="1">
      <alignment horizontal="left"/>
    </xf>
    <xf numFmtId="1" fontId="0" fillId="0" borderId="1" xfId="1" applyNumberFormat="1" applyFont="1" applyBorder="1" applyAlignment="1">
      <alignment horizontal="center"/>
    </xf>
    <xf numFmtId="0" fontId="0" fillId="2" borderId="0" xfId="0" applyFill="1" applyAlignment="1">
      <alignment horizontal="center"/>
    </xf>
    <xf numFmtId="0" fontId="5" fillId="3" borderId="0" xfId="0" applyFont="1" applyFill="1" applyAlignment="1">
      <alignment horizontal="left"/>
    </xf>
    <xf numFmtId="0" fontId="6" fillId="0" borderId="5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6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22"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64" formatCode="0.0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John</a:t>
            </a:r>
            <a:r>
              <a:rPr lang="en-US" baseline="0"/>
              <a:t> Deere 4045TFM75 Analysis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1"/>
          <c:tx>
            <c:strRef>
              <c:f>'Fuel Curve 2'!$H$5</c:f>
              <c:strCache>
                <c:ptCount val="1"/>
                <c:pt idx="0">
                  <c:v>NM/G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'Fuel Curve 2'!$B$6:$B$18</c:f>
              <c:numCache>
                <c:formatCode>General</c:formatCode>
                <c:ptCount val="13"/>
                <c:pt idx="0">
                  <c:v>1500</c:v>
                </c:pt>
                <c:pt idx="1">
                  <c:v>1600</c:v>
                </c:pt>
                <c:pt idx="2">
                  <c:v>1700</c:v>
                </c:pt>
                <c:pt idx="3">
                  <c:v>1800</c:v>
                </c:pt>
                <c:pt idx="4">
                  <c:v>1900</c:v>
                </c:pt>
                <c:pt idx="5">
                  <c:v>2000</c:v>
                </c:pt>
                <c:pt idx="6">
                  <c:v>2100</c:v>
                </c:pt>
                <c:pt idx="7">
                  <c:v>2200</c:v>
                </c:pt>
                <c:pt idx="8">
                  <c:v>2300</c:v>
                </c:pt>
                <c:pt idx="9">
                  <c:v>2400</c:v>
                </c:pt>
                <c:pt idx="10">
                  <c:v>2500</c:v>
                </c:pt>
                <c:pt idx="11">
                  <c:v>2650</c:v>
                </c:pt>
              </c:numCache>
            </c:numRef>
          </c:cat>
          <c:val>
            <c:numRef>
              <c:f>'Fuel Curve 2'!$H$6:$H$17</c:f>
              <c:numCache>
                <c:formatCode>0.0</c:formatCode>
                <c:ptCount val="12"/>
                <c:pt idx="0">
                  <c:v>2.6</c:v>
                </c:pt>
                <c:pt idx="1">
                  <c:v>2.4</c:v>
                </c:pt>
                <c:pt idx="2">
                  <c:v>2.2000000000000002</c:v>
                </c:pt>
                <c:pt idx="3">
                  <c:v>2.1</c:v>
                </c:pt>
                <c:pt idx="4">
                  <c:v>1.8</c:v>
                </c:pt>
                <c:pt idx="5">
                  <c:v>1.6</c:v>
                </c:pt>
                <c:pt idx="6">
                  <c:v>1.4</c:v>
                </c:pt>
                <c:pt idx="7">
                  <c:v>1.2</c:v>
                </c:pt>
                <c:pt idx="8">
                  <c:v>1.1000000000000001</c:v>
                </c:pt>
                <c:pt idx="9">
                  <c:v>0.9</c:v>
                </c:pt>
                <c:pt idx="10">
                  <c:v>0.8</c:v>
                </c:pt>
                <c:pt idx="11">
                  <c:v>0.7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EBE-6C40-AF59-1D6061E14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8190255"/>
        <c:axId val="227553743"/>
      </c:lineChart>
      <c:lineChart>
        <c:grouping val="standard"/>
        <c:varyColors val="0"/>
        <c:ser>
          <c:idx val="0"/>
          <c:order val="0"/>
          <c:tx>
            <c:strRef>
              <c:f>'Fuel Curve 2'!$C$5</c:f>
              <c:strCache>
                <c:ptCount val="1"/>
                <c:pt idx="0">
                  <c:v>% Load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'Fuel Curve 2'!$B$6:$B$18</c:f>
              <c:numCache>
                <c:formatCode>General</c:formatCode>
                <c:ptCount val="13"/>
                <c:pt idx="0">
                  <c:v>1500</c:v>
                </c:pt>
                <c:pt idx="1">
                  <c:v>1600</c:v>
                </c:pt>
                <c:pt idx="2">
                  <c:v>1700</c:v>
                </c:pt>
                <c:pt idx="3">
                  <c:v>1800</c:v>
                </c:pt>
                <c:pt idx="4">
                  <c:v>1900</c:v>
                </c:pt>
                <c:pt idx="5">
                  <c:v>2000</c:v>
                </c:pt>
                <c:pt idx="6">
                  <c:v>2100</c:v>
                </c:pt>
                <c:pt idx="7">
                  <c:v>2200</c:v>
                </c:pt>
                <c:pt idx="8">
                  <c:v>2300</c:v>
                </c:pt>
                <c:pt idx="9">
                  <c:v>2400</c:v>
                </c:pt>
                <c:pt idx="10">
                  <c:v>2500</c:v>
                </c:pt>
                <c:pt idx="11">
                  <c:v>2650</c:v>
                </c:pt>
              </c:numCache>
            </c:numRef>
          </c:cat>
          <c:val>
            <c:numRef>
              <c:f>'Fuel Curve 2'!$C$6:$C$17</c:f>
              <c:numCache>
                <c:formatCode>0%</c:formatCode>
                <c:ptCount val="12"/>
                <c:pt idx="0">
                  <c:v>0.26</c:v>
                </c:pt>
                <c:pt idx="1">
                  <c:v>0.27</c:v>
                </c:pt>
                <c:pt idx="2">
                  <c:v>0.28999999999999998</c:v>
                </c:pt>
                <c:pt idx="3">
                  <c:v>0.31</c:v>
                </c:pt>
                <c:pt idx="4">
                  <c:v>0.34</c:v>
                </c:pt>
                <c:pt idx="5">
                  <c:v>0.38</c:v>
                </c:pt>
                <c:pt idx="6">
                  <c:v>0.45</c:v>
                </c:pt>
                <c:pt idx="7">
                  <c:v>0.5</c:v>
                </c:pt>
                <c:pt idx="8">
                  <c:v>0.57999999999999996</c:v>
                </c:pt>
                <c:pt idx="9">
                  <c:v>0.67</c:v>
                </c:pt>
                <c:pt idx="10">
                  <c:v>0.79</c:v>
                </c:pt>
                <c:pt idx="11">
                  <c:v>0.93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BE-6C40-AF59-1D6061E14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4369263"/>
        <c:axId val="234108527"/>
      </c:lineChart>
      <c:catAx>
        <c:axId val="2281902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Engine RPM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553743"/>
        <c:crosses val="autoZero"/>
        <c:auto val="1"/>
        <c:lblAlgn val="ctr"/>
        <c:lblOffset val="100"/>
        <c:noMultiLvlLbl val="0"/>
      </c:catAx>
      <c:valAx>
        <c:axId val="2275537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NM</a:t>
                </a:r>
                <a:r>
                  <a:rPr lang="en-US" baseline="0"/>
                  <a:t> / G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8190255"/>
        <c:crosses val="autoZero"/>
        <c:crossBetween val="between"/>
      </c:valAx>
      <c:valAx>
        <c:axId val="23410852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Load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369263"/>
        <c:crosses val="max"/>
        <c:crossBetween val="between"/>
      </c:valAx>
      <c:catAx>
        <c:axId val="23436926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341085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'Fuel Curve 2'!$G$5</c:f>
              <c:strCache>
                <c:ptCount val="1"/>
                <c:pt idx="0">
                  <c:v>Fuel Burn
Single Engine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'Fuel Curve 2'!$B$5:$B$17</c:f>
              <c:strCache>
                <c:ptCount val="13"/>
                <c:pt idx="0">
                  <c:v>RPM</c:v>
                </c:pt>
                <c:pt idx="1">
                  <c:v>1500</c:v>
                </c:pt>
                <c:pt idx="2">
                  <c:v>1600</c:v>
                </c:pt>
                <c:pt idx="3">
                  <c:v>1700</c:v>
                </c:pt>
                <c:pt idx="4">
                  <c:v>1800</c:v>
                </c:pt>
                <c:pt idx="5">
                  <c:v>1900</c:v>
                </c:pt>
                <c:pt idx="6">
                  <c:v>2000</c:v>
                </c:pt>
                <c:pt idx="7">
                  <c:v>2100</c:v>
                </c:pt>
                <c:pt idx="8">
                  <c:v>2200</c:v>
                </c:pt>
                <c:pt idx="9">
                  <c:v>2300</c:v>
                </c:pt>
                <c:pt idx="10">
                  <c:v>2400</c:v>
                </c:pt>
                <c:pt idx="11">
                  <c:v>2500</c:v>
                </c:pt>
                <c:pt idx="12">
                  <c:v>2650</c:v>
                </c:pt>
              </c:strCache>
            </c:strRef>
          </c:cat>
          <c:val>
            <c:numRef>
              <c:f>'Fuel Curve 2'!$G$6:$G$17</c:f>
              <c:numCache>
                <c:formatCode>0.00</c:formatCode>
                <c:ptCount val="12"/>
                <c:pt idx="0">
                  <c:v>1.3</c:v>
                </c:pt>
                <c:pt idx="1">
                  <c:v>1.45</c:v>
                </c:pt>
                <c:pt idx="2">
                  <c:v>1.65</c:v>
                </c:pt>
                <c:pt idx="3">
                  <c:v>1.87</c:v>
                </c:pt>
                <c:pt idx="4">
                  <c:v>2.2000000000000002</c:v>
                </c:pt>
                <c:pt idx="5">
                  <c:v>2.5249999999999999</c:v>
                </c:pt>
                <c:pt idx="6">
                  <c:v>3.05</c:v>
                </c:pt>
                <c:pt idx="7">
                  <c:v>3.7</c:v>
                </c:pt>
                <c:pt idx="8">
                  <c:v>4.25</c:v>
                </c:pt>
                <c:pt idx="9">
                  <c:v>5.0999999999999996</c:v>
                </c:pt>
                <c:pt idx="10">
                  <c:v>5.95</c:v>
                </c:pt>
                <c:pt idx="11">
                  <c:v>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32-164C-8724-CA497166E0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465567"/>
        <c:axId val="245467295"/>
      </c:lineChart>
      <c:catAx>
        <c:axId val="24546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67295"/>
        <c:crosses val="autoZero"/>
        <c:auto val="1"/>
        <c:lblAlgn val="ctr"/>
        <c:lblOffset val="100"/>
        <c:noMultiLvlLbl val="0"/>
      </c:catAx>
      <c:valAx>
        <c:axId val="24546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46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3644649266166669"/>
          <c:y val="0.93188026012221659"/>
          <c:w val="0.20320446334566789"/>
          <c:h val="5.60096486595543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C1E90B3-039C-4B43-8A08-0FC3DEB65983}">
  <sheetPr/>
  <sheetViews>
    <sheetView zoomScale="140" workbookViewId="0"/>
  </sheetViews>
  <pageMargins left="0.7" right="0.7" top="0.75" bottom="0.75" header="0.3" footer="0.3"/>
  <pageSetup orientation="landscape" horizontalDpi="0" verticalDpi="0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A8BD3D6-A7D0-6547-BA6C-E09C17AC561C}">
  <sheetPr/>
  <sheetViews>
    <sheetView zoomScale="146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6377214" cy="856342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3C2AB14-EDBE-E645-AB39-ADAFAD75AA7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0.06671</cdr:x>
      <cdr:y>0.6278</cdr:y>
    </cdr:from>
    <cdr:to>
      <cdr:x>0.91728</cdr:x>
      <cdr:y>0.6278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85C7F80E-360C-5243-AE06-5D302314E6B9}"/>
            </a:ext>
          </a:extLst>
        </cdr:cNvPr>
        <cdr:cNvCxnSpPr/>
      </cdr:nvCxnSpPr>
      <cdr:spPr>
        <a:xfrm xmlns:a="http://schemas.openxmlformats.org/drawingml/2006/main" flipH="1">
          <a:off x="579298" y="3951622"/>
          <a:ext cx="7386053" cy="0"/>
        </a:xfrm>
        <a:prstGeom xmlns:a="http://schemas.openxmlformats.org/drawingml/2006/main" prst="line">
          <a:avLst/>
        </a:prstGeom>
        <a:ln xmlns:a="http://schemas.openxmlformats.org/drawingml/2006/main" w="19050">
          <a:prstDash val="sysDot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0.31627</cdr:x>
      <cdr:y>0.13871</cdr:y>
    </cdr:from>
    <cdr:to>
      <cdr:x>0.31627</cdr:x>
      <cdr:y>0.86408</cdr:y>
    </cdr:to>
    <cdr:cxnSp macro="">
      <cdr:nvCxnSpPr>
        <cdr:cNvPr id="6" name="Straight Connector 5">
          <a:extLst xmlns:a="http://schemas.openxmlformats.org/drawingml/2006/main">
            <a:ext uri="{FF2B5EF4-FFF2-40B4-BE49-F238E27FC236}">
              <a16:creationId xmlns:a16="http://schemas.microsoft.com/office/drawing/2014/main" id="{1D43EE67-261D-414C-993C-F57D2D869C73}"/>
            </a:ext>
          </a:extLst>
        </cdr:cNvPr>
        <cdr:cNvCxnSpPr/>
      </cdr:nvCxnSpPr>
      <cdr:spPr>
        <a:xfrm xmlns:a="http://schemas.openxmlformats.org/drawingml/2006/main" flipV="1">
          <a:off x="2746381" y="873126"/>
          <a:ext cx="0" cy="4565787"/>
        </a:xfrm>
        <a:prstGeom xmlns:a="http://schemas.openxmlformats.org/drawingml/2006/main" prst="line">
          <a:avLst/>
        </a:prstGeom>
        <a:ln xmlns:a="http://schemas.openxmlformats.org/drawingml/2006/main" w="19050">
          <a:solidFill>
            <a:schemeClr val="accent6">
              <a:lumMod val="60000"/>
              <a:lumOff val="40000"/>
            </a:schemeClr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0.24954</cdr:x>
      <cdr:y>0.0971</cdr:y>
    </cdr:from>
    <cdr:to>
      <cdr:x>0.39123</cdr:x>
      <cdr:y>0.13115</cdr:y>
    </cdr:to>
    <cdr:sp macro="" textlink="">
      <cdr:nvSpPr>
        <cdr:cNvPr id="7" name="TextBox 6">
          <a:extLst xmlns:a="http://schemas.openxmlformats.org/drawingml/2006/main">
            <a:ext uri="{FF2B5EF4-FFF2-40B4-BE49-F238E27FC236}">
              <a16:creationId xmlns:a16="http://schemas.microsoft.com/office/drawing/2014/main" id="{C15D54F8-3BD4-B240-A0FA-0F7E8E9B599D}"/>
            </a:ext>
          </a:extLst>
        </cdr:cNvPr>
        <cdr:cNvSpPr txBox="1"/>
      </cdr:nvSpPr>
      <cdr:spPr>
        <a:xfrm xmlns:a="http://schemas.openxmlformats.org/drawingml/2006/main">
          <a:off x="2166943" y="611188"/>
          <a:ext cx="1230313" cy="21431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pPr algn="ctr"/>
          <a:r>
            <a:rPr lang="en-US" sz="1100"/>
            <a:t>Peak Torque</a:t>
          </a:r>
        </a:p>
      </cdr:txBody>
    </cdr:sp>
  </cdr:relSizeAnchor>
  <cdr:relSizeAnchor xmlns:cdr="http://schemas.openxmlformats.org/drawingml/2006/chartDrawing">
    <cdr:from>
      <cdr:x>0.82346</cdr:x>
      <cdr:y>0.95181</cdr:y>
    </cdr:from>
    <cdr:to>
      <cdr:x>0.95318</cdr:x>
      <cdr:y>0.98339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CAC49AE5-5228-6246-BC3F-C3B95929016A}"/>
            </a:ext>
          </a:extLst>
        </cdr:cNvPr>
        <cdr:cNvSpPr txBox="1"/>
      </cdr:nvSpPr>
      <cdr:spPr>
        <a:xfrm xmlns:a="http://schemas.openxmlformats.org/drawingml/2006/main">
          <a:off x="7150652" y="5991086"/>
          <a:ext cx="1126435" cy="1987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t"/>
        <a:lstStyle xmlns:a="http://schemas.openxmlformats.org/drawingml/2006/main"/>
        <a:p xmlns:a="http://schemas.openxmlformats.org/drawingml/2006/main">
          <a:pPr algn="ctr"/>
          <a:r>
            <a:rPr lang="en-US" sz="700">
              <a:solidFill>
                <a:schemeClr val="bg2">
                  <a:lumMod val="50000"/>
                </a:schemeClr>
              </a:solidFill>
            </a:rPr>
            <a:t>Sea</a:t>
          </a:r>
          <a:r>
            <a:rPr lang="en-US" sz="700" baseline="0">
              <a:solidFill>
                <a:schemeClr val="bg2">
                  <a:lumMod val="50000"/>
                </a:schemeClr>
              </a:solidFill>
            </a:rPr>
            <a:t> Trial Data 04-2019</a:t>
          </a:r>
          <a:endParaRPr lang="en-US" sz="700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2534" cy="6280411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AC3166-2076-7449-8232-E3758D6C018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0.85729</cdr:x>
      <cdr:y>0.96045</cdr:y>
    </cdr:from>
    <cdr:to>
      <cdr:x>0.98709</cdr:x>
      <cdr:y>0.99205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41DE6EFC-F527-774B-9850-4FE88830F83B}"/>
            </a:ext>
          </a:extLst>
        </cdr:cNvPr>
        <cdr:cNvSpPr txBox="1"/>
      </cdr:nvSpPr>
      <cdr:spPr>
        <a:xfrm xmlns:a="http://schemas.openxmlformats.org/drawingml/2006/main">
          <a:off x="7439891" y="6043441"/>
          <a:ext cx="1126435" cy="19878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 anchor="t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700">
              <a:solidFill>
                <a:schemeClr val="bg2">
                  <a:lumMod val="50000"/>
                </a:schemeClr>
              </a:solidFill>
            </a:rPr>
            <a:t>Sea</a:t>
          </a:r>
          <a:r>
            <a:rPr lang="en-US" sz="700" baseline="0">
              <a:solidFill>
                <a:schemeClr val="bg2">
                  <a:lumMod val="50000"/>
                </a:schemeClr>
              </a:solidFill>
            </a:rPr>
            <a:t> Trial Data 04-2019</a:t>
          </a:r>
          <a:endParaRPr lang="en-US" sz="700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B678EE8-52AF-1A45-A0F1-C406EE679B7C}" name="Table2" displayName="Table2" ref="B5:I16" totalsRowShown="0" headerRowDxfId="21" dataDxfId="20">
  <tableColumns count="8">
    <tableColumn id="1" xr3:uid="{3B3D7635-5372-E042-B37D-480039FF3E38}" name="RPM" dataDxfId="19"/>
    <tableColumn id="7" xr3:uid="{B3725043-1C31-3E4D-984C-B52D5F26F6FC}" name="% Load" dataDxfId="18">
      <calculatedColumnFormula>Table2[[#This Row],[Fuel Burn
Single Engine]]/5</calculatedColumnFormula>
    </tableColumn>
    <tableColumn id="2" xr3:uid="{38CEDD67-1B7A-3D44-AE0A-0A302F5B02A3}" name="KNOTS" dataDxfId="17"/>
    <tableColumn id="3" xr3:uid="{3CCC8C2A-FEA7-F44A-B2EC-7C7068B6E616}" name="Fuel Burn_x000a_Single Engine" dataDxfId="16"/>
    <tableColumn id="4" xr3:uid="{D310D23F-E5DD-A14F-A5A8-6AD791A12CF4}" name="NM/G" dataDxfId="15">
      <calculatedColumnFormula>IF(E6="","",ROUND(D6/(2*E6),1))</calculatedColumnFormula>
    </tableColumn>
    <tableColumn id="5" xr3:uid="{35664610-DC1B-FC43-AB25-AC03970B7824}" name="Range (NM)" dataDxfId="14">
      <calculatedColumnFormula>IF(F6="","",(TANKAGE-(TANKAGE*RESERVE))*F6)</calculatedColumnFormula>
    </tableColumn>
    <tableColumn id="8" xr3:uid="{D611AF43-5893-9740-8132-C5B21625FA74}" name="Distance_x000a_(10hr)" dataDxfId="13">
      <calculatedColumnFormula>IF(F6="","",Table2[[#This Row],[KNOTS]]*10)</calculatedColumnFormula>
    </tableColumn>
    <tableColumn id="6" xr3:uid="{3768E8DE-E283-B246-9850-B6BDA10ABE13}" name="Distance_x000a_(24hr)" dataDxfId="12">
      <calculatedColumnFormula>IF(F6="","",Table2[[#This Row],[KNOTS]]*24)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1BDAF9F-C6C2-1E47-877E-C37C2C331D94}" name="Table22" displayName="Table22" ref="B5:K17" totalsRowShown="0" headerRowDxfId="11" dataDxfId="10">
  <tableColumns count="10">
    <tableColumn id="1" xr3:uid="{8E730962-D90B-5F4B-B3DC-2C969D8D2505}" name="RPM" dataDxfId="9"/>
    <tableColumn id="7" xr3:uid="{350210B1-5137-1048-9093-6C51D0A6F76F}" name="% Load" dataDxfId="8"/>
    <tableColumn id="11" xr3:uid="{B3D57449-7717-D147-8A2F-C13BDCDF6476}" name="Coolant_x000a_Temp" dataDxfId="7" dataCellStyle="Percent"/>
    <tableColumn id="10" xr3:uid="{EB5D4C86-6612-7D47-A29C-4AEC93EA14C2}" name="Oil PSI" dataDxfId="6" dataCellStyle="Percent"/>
    <tableColumn id="2" xr3:uid="{5F33F254-ADE8-454D-8AAD-6269AF95C400}" name="SOG" dataDxfId="5"/>
    <tableColumn id="3" xr3:uid="{D37BD3F4-EAA0-EF48-8520-65A4D15CA761}" name="Fuel Burn_x000a_Single Engine" dataDxfId="4"/>
    <tableColumn id="4" xr3:uid="{A2F42BA3-D567-014C-B52E-624ECC3C8E8B}" name="NM/G" dataDxfId="3">
      <calculatedColumnFormula>IF(G6="","",ROUND(F6/(2*G6),1))</calculatedColumnFormula>
    </tableColumn>
    <tableColumn id="5" xr3:uid="{4C2F7DCB-3FD7-EE49-A17D-399C65A59291}" name="Range (NM)" dataDxfId="2">
      <calculatedColumnFormula>IF(H6="","",(TANKAGE-(TANKAGE*RESERVE))*H6)</calculatedColumnFormula>
    </tableColumn>
    <tableColumn id="8" xr3:uid="{2324384E-A048-E84E-9B9C-57BB8F6C22A2}" name="Distance_x000a_(10hr)" dataDxfId="1">
      <calculatedColumnFormula>IF(H6="","",Table22[[#This Row],[SOG]]*10)</calculatedColumnFormula>
    </tableColumn>
    <tableColumn id="6" xr3:uid="{ADDA7873-BB58-364B-9056-303F98245715}" name="Distance_x000a_(24hr)" dataDxfId="0">
      <calculatedColumnFormula>IF(H6="","",Table22[[#This Row],[SOG]]*24)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F20BA8-B845-1441-88DD-52E505DDC1D2}">
  <dimension ref="A1:I21"/>
  <sheetViews>
    <sheetView zoomScale="177" zoomScaleNormal="177" workbookViewId="0">
      <selection activeCell="E8" sqref="E8"/>
    </sheetView>
  </sheetViews>
  <sheetFormatPr baseColWidth="10" defaultRowHeight="16" x14ac:dyDescent="0.2"/>
  <cols>
    <col min="1" max="1" width="18" bestFit="1" customWidth="1"/>
    <col min="2" max="3" width="13" style="1" customWidth="1"/>
    <col min="4" max="4" width="10.83203125" style="1"/>
    <col min="5" max="5" width="12.6640625" style="1" customWidth="1"/>
    <col min="6" max="6" width="9.1640625" customWidth="1"/>
    <col min="7" max="8" width="11.5" style="1" customWidth="1"/>
    <col min="9" max="9" width="12.1640625" customWidth="1"/>
  </cols>
  <sheetData>
    <row r="1" spans="1:9" x14ac:dyDescent="0.2">
      <c r="A1" t="s">
        <v>11</v>
      </c>
      <c r="B1" s="10">
        <f>1.34*(SQRT(45.4))</f>
        <v>9.0288559629667375</v>
      </c>
      <c r="C1" s="8"/>
      <c r="D1" s="57" t="s">
        <v>36</v>
      </c>
      <c r="E1" s="8"/>
      <c r="G1" s="8"/>
      <c r="H1" s="8"/>
    </row>
    <row r="2" spans="1:9" x14ac:dyDescent="0.2">
      <c r="A2" t="s">
        <v>2</v>
      </c>
      <c r="B2" s="1">
        <v>700</v>
      </c>
      <c r="D2" s="57" t="s">
        <v>38</v>
      </c>
    </row>
    <row r="3" spans="1:9" x14ac:dyDescent="0.2">
      <c r="A3" t="s">
        <v>3</v>
      </c>
      <c r="B3" s="2">
        <v>0.1</v>
      </c>
      <c r="C3" s="2"/>
    </row>
    <row r="4" spans="1:9" x14ac:dyDescent="0.2">
      <c r="B4" s="2"/>
      <c r="C4" s="2"/>
    </row>
    <row r="5" spans="1:9" ht="34" x14ac:dyDescent="0.2">
      <c r="B5" s="1" t="s">
        <v>0</v>
      </c>
      <c r="C5" s="1" t="s">
        <v>7</v>
      </c>
      <c r="D5" s="1" t="s">
        <v>1</v>
      </c>
      <c r="E5" s="3" t="s">
        <v>6</v>
      </c>
      <c r="F5" s="1" t="s">
        <v>35</v>
      </c>
      <c r="G5" s="1" t="s">
        <v>4</v>
      </c>
      <c r="H5" s="3" t="s">
        <v>9</v>
      </c>
      <c r="I5" s="3" t="s">
        <v>5</v>
      </c>
    </row>
    <row r="6" spans="1:9" x14ac:dyDescent="0.2">
      <c r="B6" s="4">
        <v>1700</v>
      </c>
      <c r="C6" s="7">
        <f>Table2[[#This Row],[Fuel Burn
Single Engine]]/5</f>
        <v>0.33999999999999997</v>
      </c>
      <c r="D6" s="4">
        <v>7.2</v>
      </c>
      <c r="E6" s="4">
        <v>1.7</v>
      </c>
      <c r="F6" s="5">
        <f t="shared" ref="F6:F16" si="0">IF(E6="","",ROUND(D6/(2*E6),1))</f>
        <v>2.1</v>
      </c>
      <c r="G6" s="4">
        <f t="shared" ref="G6:G16" si="1">IF(F6="","",(TANKAGE-(TANKAGE*RESERVE))*F6)</f>
        <v>1323</v>
      </c>
      <c r="H6" s="4">
        <f>IF(F6="","",Table2[[#This Row],[KNOTS]]*10)</f>
        <v>72</v>
      </c>
      <c r="I6" s="4">
        <f>IF(F6="","",Table2[[#This Row],[KNOTS]]*24)</f>
        <v>172.8</v>
      </c>
    </row>
    <row r="7" spans="1:9" x14ac:dyDescent="0.2">
      <c r="B7" s="4">
        <v>1750</v>
      </c>
      <c r="C7" s="7">
        <f>Table2[[#This Row],[Fuel Burn
Single Engine]]/5</f>
        <v>0</v>
      </c>
      <c r="D7" s="4"/>
      <c r="E7" s="4"/>
      <c r="F7" s="5" t="str">
        <f t="shared" si="0"/>
        <v/>
      </c>
      <c r="G7" s="4" t="str">
        <f t="shared" si="1"/>
        <v/>
      </c>
      <c r="H7" s="4" t="str">
        <f>IF(F7="","",Table2[[#This Row],[KNOTS]]*10)</f>
        <v/>
      </c>
      <c r="I7" s="6" t="str">
        <f>IF(F7="","",Table2[[#This Row],[KNOTS]]*24)</f>
        <v/>
      </c>
    </row>
    <row r="8" spans="1:9" x14ac:dyDescent="0.2">
      <c r="B8" s="4">
        <v>1800</v>
      </c>
      <c r="C8" s="7">
        <f>Table2[[#This Row],[Fuel Burn
Single Engine]]/5</f>
        <v>0.4</v>
      </c>
      <c r="D8" s="4">
        <v>7.6</v>
      </c>
      <c r="E8" s="4">
        <v>2</v>
      </c>
      <c r="F8" s="5">
        <f t="shared" si="0"/>
        <v>1.9</v>
      </c>
      <c r="G8" s="4">
        <f t="shared" si="1"/>
        <v>1197</v>
      </c>
      <c r="H8" s="4">
        <f>IF(F8="","",Table2[[#This Row],[KNOTS]]*10)</f>
        <v>76</v>
      </c>
      <c r="I8" s="4">
        <f>IF(F8="","",Table2[[#This Row],[KNOTS]]*24)</f>
        <v>182.39999999999998</v>
      </c>
    </row>
    <row r="9" spans="1:9" x14ac:dyDescent="0.2">
      <c r="B9" s="4">
        <v>1850</v>
      </c>
      <c r="C9" s="7">
        <f>Table2[[#This Row],[Fuel Burn
Single Engine]]/5</f>
        <v>0</v>
      </c>
      <c r="D9" s="4"/>
      <c r="E9" s="4"/>
      <c r="F9" s="5" t="str">
        <f t="shared" si="0"/>
        <v/>
      </c>
      <c r="G9" s="4" t="str">
        <f t="shared" si="1"/>
        <v/>
      </c>
      <c r="H9" s="4" t="str">
        <f>IF(F9="","",Table2[[#This Row],[KNOTS]]*10)</f>
        <v/>
      </c>
      <c r="I9" s="6" t="str">
        <f>IF(F9="","",Table2[[#This Row],[KNOTS]]*24)</f>
        <v/>
      </c>
    </row>
    <row r="10" spans="1:9" x14ac:dyDescent="0.2">
      <c r="B10" s="4">
        <v>1900</v>
      </c>
      <c r="C10" s="7">
        <f>Table2[[#This Row],[Fuel Burn
Single Engine]]/5</f>
        <v>0.44000000000000006</v>
      </c>
      <c r="D10" s="4">
        <v>7.8</v>
      </c>
      <c r="E10" s="4">
        <v>2.2000000000000002</v>
      </c>
      <c r="F10" s="5">
        <f t="shared" si="0"/>
        <v>1.8</v>
      </c>
      <c r="G10" s="4">
        <f t="shared" si="1"/>
        <v>1134</v>
      </c>
      <c r="H10" s="4">
        <f>IF(F10="","",Table2[[#This Row],[KNOTS]]*10)</f>
        <v>78</v>
      </c>
      <c r="I10" s="4">
        <f>IF(F10="","",Table2[[#This Row],[KNOTS]]*24)</f>
        <v>187.2</v>
      </c>
    </row>
    <row r="11" spans="1:9" x14ac:dyDescent="0.2">
      <c r="B11" s="4">
        <v>1950</v>
      </c>
      <c r="C11" s="7">
        <f>Table2[[#This Row],[Fuel Burn
Single Engine]]/5</f>
        <v>0</v>
      </c>
      <c r="D11" s="4"/>
      <c r="E11" s="4"/>
      <c r="F11" s="5" t="str">
        <f t="shared" si="0"/>
        <v/>
      </c>
      <c r="G11" s="4" t="str">
        <f t="shared" si="1"/>
        <v/>
      </c>
      <c r="H11" s="4" t="str">
        <f>IF(F11="","",Table2[[#This Row],[KNOTS]]*10)</f>
        <v/>
      </c>
      <c r="I11" s="6" t="str">
        <f>IF(F11="","",Table2[[#This Row],[KNOTS]]*24)</f>
        <v/>
      </c>
    </row>
    <row r="12" spans="1:9" x14ac:dyDescent="0.2">
      <c r="B12" s="4">
        <v>2000</v>
      </c>
      <c r="C12" s="7">
        <f>Table2[[#This Row],[Fuel Burn
Single Engine]]/5</f>
        <v>0.6</v>
      </c>
      <c r="D12" s="4">
        <v>8</v>
      </c>
      <c r="E12" s="4">
        <v>3</v>
      </c>
      <c r="F12" s="5">
        <f t="shared" si="0"/>
        <v>1.3</v>
      </c>
      <c r="G12" s="4">
        <f t="shared" si="1"/>
        <v>819</v>
      </c>
      <c r="H12" s="4">
        <f>IF(F12="","",Table2[[#This Row],[KNOTS]]*10)</f>
        <v>80</v>
      </c>
      <c r="I12" s="4">
        <f>IF(F12="","",Table2[[#This Row],[KNOTS]]*24)</f>
        <v>192</v>
      </c>
    </row>
    <row r="13" spans="1:9" x14ac:dyDescent="0.2">
      <c r="B13" s="4">
        <v>2050</v>
      </c>
      <c r="C13" s="7">
        <f>Table2[[#This Row],[Fuel Burn
Single Engine]]/5</f>
        <v>0</v>
      </c>
      <c r="D13" s="4"/>
      <c r="E13" s="4"/>
      <c r="F13" s="5" t="str">
        <f t="shared" si="0"/>
        <v/>
      </c>
      <c r="G13" s="4" t="str">
        <f t="shared" si="1"/>
        <v/>
      </c>
      <c r="H13" s="4" t="str">
        <f>IF(F13="","",Table2[[#This Row],[KNOTS]]*10)</f>
        <v/>
      </c>
      <c r="I13" s="6" t="str">
        <f>IF(F13="","",Table2[[#This Row],[KNOTS]]*24)</f>
        <v/>
      </c>
    </row>
    <row r="14" spans="1:9" x14ac:dyDescent="0.2">
      <c r="B14" s="4">
        <v>2100</v>
      </c>
      <c r="C14" s="7">
        <f>Table2[[#This Row],[Fuel Burn
Single Engine]]/5</f>
        <v>0.7</v>
      </c>
      <c r="D14" s="4">
        <v>8.6</v>
      </c>
      <c r="E14" s="4">
        <v>3.5</v>
      </c>
      <c r="F14" s="5">
        <f t="shared" si="0"/>
        <v>1.2</v>
      </c>
      <c r="G14" s="4">
        <f t="shared" si="1"/>
        <v>756</v>
      </c>
      <c r="H14" s="4">
        <f>IF(F14="","",Table2[[#This Row],[KNOTS]]*10)</f>
        <v>86</v>
      </c>
      <c r="I14" s="6">
        <f>IF(F14="","",Table2[[#This Row],[KNOTS]]*24)</f>
        <v>206.39999999999998</v>
      </c>
    </row>
    <row r="15" spans="1:9" x14ac:dyDescent="0.2">
      <c r="B15" s="4">
        <v>2200</v>
      </c>
      <c r="C15" s="7">
        <f>Table2[[#This Row],[Fuel Burn
Single Engine]]/5</f>
        <v>0.94000000000000006</v>
      </c>
      <c r="D15" s="4">
        <v>8.9</v>
      </c>
      <c r="E15" s="4">
        <v>4.7</v>
      </c>
      <c r="F15" s="5">
        <f>IF(E15="","",ROUND(D15/(2*E15),1))</f>
        <v>0.9</v>
      </c>
      <c r="G15" s="6">
        <f>IF(F15="","",(TANKAGE-(TANKAGE*RESERVE))*F15)</f>
        <v>567</v>
      </c>
      <c r="H15" s="6">
        <f>IF(F15="","",Table2[[#This Row],[KNOTS]]*10)</f>
        <v>89</v>
      </c>
      <c r="I15" s="6">
        <f>IF(F15="","",Table2[[#This Row],[KNOTS]]*24)</f>
        <v>213.60000000000002</v>
      </c>
    </row>
    <row r="16" spans="1:9" x14ac:dyDescent="0.2">
      <c r="B16" s="4">
        <v>2300</v>
      </c>
      <c r="C16" s="7">
        <f>Table2[[#This Row],[Fuel Burn
Single Engine]]/5</f>
        <v>1</v>
      </c>
      <c r="D16" s="4">
        <v>8.5</v>
      </c>
      <c r="E16" s="4">
        <v>5</v>
      </c>
      <c r="F16" s="5">
        <f t="shared" si="0"/>
        <v>0.9</v>
      </c>
      <c r="G16" s="4">
        <f t="shared" si="1"/>
        <v>567</v>
      </c>
      <c r="H16" s="4">
        <f>IF(F16="","",Table2[[#This Row],[KNOTS]]*10)</f>
        <v>85</v>
      </c>
      <c r="I16" s="4">
        <f>IF(F16="","",Table2[[#This Row],[KNOTS]]*24)</f>
        <v>204</v>
      </c>
    </row>
    <row r="18" spans="1:6" x14ac:dyDescent="0.2">
      <c r="A18" s="59" t="s">
        <v>8</v>
      </c>
      <c r="B18" s="59"/>
      <c r="C18" s="59"/>
      <c r="D18" s="59"/>
      <c r="E18" s="59"/>
      <c r="F18" s="59"/>
    </row>
    <row r="20" spans="1:6" x14ac:dyDescent="0.2">
      <c r="A20" t="s">
        <v>10</v>
      </c>
    </row>
    <row r="21" spans="1:6" x14ac:dyDescent="0.2">
      <c r="A21">
        <f>32*D10</f>
        <v>249.6</v>
      </c>
    </row>
  </sheetData>
  <mergeCells count="1">
    <mergeCell ref="A18:F18"/>
  </mergeCells>
  <pageMargins left="0.7" right="0.7" top="0.75" bottom="0.75" header="0.3" footer="0.3"/>
  <legacy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F83BA-AB69-494B-B502-C7DC7D9D6DB1}">
  <dimension ref="A1:K22"/>
  <sheetViews>
    <sheetView showGridLines="0" tabSelected="1" zoomScale="177" zoomScaleNormal="177" workbookViewId="0">
      <selection activeCell="A5" sqref="A5"/>
    </sheetView>
  </sheetViews>
  <sheetFormatPr baseColWidth="10" defaultRowHeight="16" x14ac:dyDescent="0.2"/>
  <cols>
    <col min="1" max="1" width="18" bestFit="1" customWidth="1"/>
    <col min="2" max="3" width="13" style="54" customWidth="1"/>
    <col min="4" max="4" width="9.6640625" style="54" customWidth="1"/>
    <col min="5" max="5" width="10.1640625" style="54" customWidth="1"/>
    <col min="6" max="6" width="9.1640625" customWidth="1"/>
    <col min="7" max="8" width="11.5" style="54" customWidth="1"/>
    <col min="9" max="9" width="12.1640625" customWidth="1"/>
  </cols>
  <sheetData>
    <row r="1" spans="1:11" x14ac:dyDescent="0.2">
      <c r="A1" t="s">
        <v>11</v>
      </c>
      <c r="B1" s="10">
        <f>1.34*(SQRT(45.4))</f>
        <v>9.0288559629667375</v>
      </c>
      <c r="D1" s="57" t="s">
        <v>36</v>
      </c>
    </row>
    <row r="2" spans="1:11" x14ac:dyDescent="0.2">
      <c r="A2" t="s">
        <v>2</v>
      </c>
      <c r="B2" s="54">
        <v>700</v>
      </c>
      <c r="D2" s="57" t="s">
        <v>37</v>
      </c>
    </row>
    <row r="3" spans="1:11" x14ac:dyDescent="0.2">
      <c r="A3" t="s">
        <v>3</v>
      </c>
      <c r="B3" s="2">
        <v>0.1</v>
      </c>
      <c r="C3" s="2"/>
    </row>
    <row r="4" spans="1:11" x14ac:dyDescent="0.2">
      <c r="B4" s="2"/>
      <c r="C4" s="2"/>
    </row>
    <row r="5" spans="1:11" ht="51" x14ac:dyDescent="0.2">
      <c r="B5" s="54" t="s">
        <v>0</v>
      </c>
      <c r="C5" s="54" t="s">
        <v>7</v>
      </c>
      <c r="D5" s="3" t="s">
        <v>40</v>
      </c>
      <c r="E5" s="55" t="s">
        <v>41</v>
      </c>
      <c r="F5" s="54" t="s">
        <v>39</v>
      </c>
      <c r="G5" s="3" t="s">
        <v>6</v>
      </c>
      <c r="H5" s="54" t="s">
        <v>35</v>
      </c>
      <c r="I5" s="54" t="s">
        <v>4</v>
      </c>
      <c r="J5" s="3" t="s">
        <v>9</v>
      </c>
      <c r="K5" s="3" t="s">
        <v>5</v>
      </c>
    </row>
    <row r="6" spans="1:11" x14ac:dyDescent="0.2">
      <c r="B6" s="4">
        <v>1500</v>
      </c>
      <c r="C6" s="7">
        <v>0.26</v>
      </c>
      <c r="D6" s="58">
        <v>175</v>
      </c>
      <c r="E6" s="58">
        <v>53</v>
      </c>
      <c r="F6" s="5">
        <v>6.7</v>
      </c>
      <c r="G6" s="56">
        <v>1.3</v>
      </c>
      <c r="H6" s="5">
        <f t="shared" ref="H6:H17" si="0">IF(G6="","",ROUND(F6/(2*G6),1))</f>
        <v>2.6</v>
      </c>
      <c r="I6" s="4">
        <f t="shared" ref="I6:I17" si="1">IF(H6="","",(TANKAGE-(TANKAGE*RESERVE))*H6)</f>
        <v>1638</v>
      </c>
      <c r="J6" s="4">
        <f>IF(H6="","",Table22[[#This Row],[SOG]]*10)</f>
        <v>67</v>
      </c>
      <c r="K6" s="4">
        <f>IF(H6="","",Table22[[#This Row],[SOG]]*24)</f>
        <v>160.80000000000001</v>
      </c>
    </row>
    <row r="7" spans="1:11" x14ac:dyDescent="0.2">
      <c r="B7" s="4">
        <v>1600</v>
      </c>
      <c r="C7" s="7">
        <v>0.27</v>
      </c>
      <c r="D7" s="58">
        <v>175</v>
      </c>
      <c r="E7" s="58">
        <v>54</v>
      </c>
      <c r="F7" s="5">
        <v>7</v>
      </c>
      <c r="G7" s="56">
        <v>1.45</v>
      </c>
      <c r="H7" s="5">
        <f t="shared" si="0"/>
        <v>2.4</v>
      </c>
      <c r="I7" s="4">
        <f t="shared" si="1"/>
        <v>1512</v>
      </c>
      <c r="J7" s="4">
        <f>IF(H7="","",Table22[[#This Row],[SOG]]*10)</f>
        <v>70</v>
      </c>
      <c r="K7" s="6">
        <f>IF(H7="","",Table22[[#This Row],[SOG]]*24)</f>
        <v>168</v>
      </c>
    </row>
    <row r="8" spans="1:11" x14ac:dyDescent="0.2">
      <c r="B8" s="4">
        <v>1700</v>
      </c>
      <c r="C8" s="7">
        <v>0.28999999999999998</v>
      </c>
      <c r="D8" s="58">
        <v>176</v>
      </c>
      <c r="E8" s="58">
        <v>56</v>
      </c>
      <c r="F8" s="5">
        <v>7.3</v>
      </c>
      <c r="G8" s="56">
        <v>1.65</v>
      </c>
      <c r="H8" s="5">
        <f t="shared" si="0"/>
        <v>2.2000000000000002</v>
      </c>
      <c r="I8" s="4">
        <f t="shared" si="1"/>
        <v>1386</v>
      </c>
      <c r="J8" s="4">
        <f>IF(H8="","",Table22[[#This Row],[SOG]]*10)</f>
        <v>73</v>
      </c>
      <c r="K8" s="4">
        <f>IF(H8="","",Table22[[#This Row],[SOG]]*24)</f>
        <v>175.2</v>
      </c>
    </row>
    <row r="9" spans="1:11" x14ac:dyDescent="0.2">
      <c r="B9" s="4">
        <v>1800</v>
      </c>
      <c r="C9" s="7">
        <v>0.31</v>
      </c>
      <c r="D9" s="58">
        <v>177</v>
      </c>
      <c r="E9" s="58">
        <v>57</v>
      </c>
      <c r="F9" s="5">
        <v>7.7</v>
      </c>
      <c r="G9" s="56">
        <v>1.87</v>
      </c>
      <c r="H9" s="5">
        <f t="shared" si="0"/>
        <v>2.1</v>
      </c>
      <c r="I9" s="4">
        <f t="shared" si="1"/>
        <v>1323</v>
      </c>
      <c r="J9" s="4">
        <f>IF(H9="","",Table22[[#This Row],[SOG]]*10)</f>
        <v>77</v>
      </c>
      <c r="K9" s="6">
        <f>IF(H9="","",Table22[[#This Row],[SOG]]*24)</f>
        <v>184.8</v>
      </c>
    </row>
    <row r="10" spans="1:11" x14ac:dyDescent="0.2">
      <c r="B10" s="4">
        <v>1900</v>
      </c>
      <c r="C10" s="7">
        <v>0.34</v>
      </c>
      <c r="D10" s="58">
        <v>176</v>
      </c>
      <c r="E10" s="58">
        <v>58</v>
      </c>
      <c r="F10" s="5">
        <v>8</v>
      </c>
      <c r="G10" s="56">
        <v>2.2000000000000002</v>
      </c>
      <c r="H10" s="5">
        <f t="shared" si="0"/>
        <v>1.8</v>
      </c>
      <c r="I10" s="4">
        <f t="shared" si="1"/>
        <v>1134</v>
      </c>
      <c r="J10" s="4">
        <f>IF(H10="","",Table22[[#This Row],[SOG]]*10)</f>
        <v>80</v>
      </c>
      <c r="K10" s="4">
        <f>IF(H10="","",Table22[[#This Row],[SOG]]*24)</f>
        <v>192</v>
      </c>
    </row>
    <row r="11" spans="1:11" x14ac:dyDescent="0.2">
      <c r="B11" s="4">
        <v>2000</v>
      </c>
      <c r="C11" s="7">
        <v>0.38</v>
      </c>
      <c r="D11" s="58">
        <v>177</v>
      </c>
      <c r="E11" s="58">
        <v>59</v>
      </c>
      <c r="F11" s="5">
        <v>8.3000000000000007</v>
      </c>
      <c r="G11" s="56">
        <v>2.5249999999999999</v>
      </c>
      <c r="H11" s="5">
        <f t="shared" si="0"/>
        <v>1.6</v>
      </c>
      <c r="I11" s="4">
        <f t="shared" si="1"/>
        <v>1008</v>
      </c>
      <c r="J11" s="4">
        <f>IF(H11="","",Table22[[#This Row],[SOG]]*10)</f>
        <v>83</v>
      </c>
      <c r="K11" s="6">
        <f>IF(H11="","",Table22[[#This Row],[SOG]]*24)</f>
        <v>199.20000000000002</v>
      </c>
    </row>
    <row r="12" spans="1:11" x14ac:dyDescent="0.2">
      <c r="B12" s="4">
        <v>2100</v>
      </c>
      <c r="C12" s="7">
        <v>0.45</v>
      </c>
      <c r="D12" s="58">
        <v>178</v>
      </c>
      <c r="E12" s="58">
        <v>60</v>
      </c>
      <c r="F12" s="5">
        <v>8.6</v>
      </c>
      <c r="G12" s="56">
        <v>3.05</v>
      </c>
      <c r="H12" s="5">
        <f t="shared" si="0"/>
        <v>1.4</v>
      </c>
      <c r="I12" s="4">
        <f t="shared" si="1"/>
        <v>882</v>
      </c>
      <c r="J12" s="4">
        <f>IF(H12="","",Table22[[#This Row],[SOG]]*10)</f>
        <v>86</v>
      </c>
      <c r="K12" s="4">
        <f>IF(H12="","",Table22[[#This Row],[SOG]]*24)</f>
        <v>206.39999999999998</v>
      </c>
    </row>
    <row r="13" spans="1:11" x14ac:dyDescent="0.2">
      <c r="B13" s="4">
        <v>2200</v>
      </c>
      <c r="C13" s="7">
        <v>0.5</v>
      </c>
      <c r="D13" s="58">
        <v>178</v>
      </c>
      <c r="E13" s="58">
        <v>61.5</v>
      </c>
      <c r="F13" s="5">
        <v>8.8000000000000007</v>
      </c>
      <c r="G13" s="56">
        <v>3.7</v>
      </c>
      <c r="H13" s="5">
        <f t="shared" si="0"/>
        <v>1.2</v>
      </c>
      <c r="I13" s="4">
        <f t="shared" si="1"/>
        <v>756</v>
      </c>
      <c r="J13" s="4">
        <f>IF(H13="","",Table22[[#This Row],[SOG]]*10)</f>
        <v>88</v>
      </c>
      <c r="K13" s="6">
        <f>IF(H13="","",Table22[[#This Row],[SOG]]*24)</f>
        <v>211.20000000000002</v>
      </c>
    </row>
    <row r="14" spans="1:11" x14ac:dyDescent="0.2">
      <c r="B14" s="4">
        <v>2300</v>
      </c>
      <c r="C14" s="7">
        <v>0.57999999999999996</v>
      </c>
      <c r="D14" s="58">
        <v>179</v>
      </c>
      <c r="E14" s="58">
        <v>62</v>
      </c>
      <c r="F14" s="5">
        <v>9.1</v>
      </c>
      <c r="G14" s="56">
        <v>4.25</v>
      </c>
      <c r="H14" s="5">
        <f t="shared" si="0"/>
        <v>1.1000000000000001</v>
      </c>
      <c r="I14" s="4">
        <f t="shared" si="1"/>
        <v>693</v>
      </c>
      <c r="J14" s="4">
        <f>IF(H14="","",Table22[[#This Row],[SOG]]*10)</f>
        <v>91</v>
      </c>
      <c r="K14" s="6">
        <f>IF(H14="","",Table22[[#This Row],[SOG]]*24)</f>
        <v>218.39999999999998</v>
      </c>
    </row>
    <row r="15" spans="1:11" x14ac:dyDescent="0.2">
      <c r="B15" s="4">
        <v>2400</v>
      </c>
      <c r="C15" s="7">
        <v>0.67</v>
      </c>
      <c r="D15" s="58">
        <v>180</v>
      </c>
      <c r="E15" s="58">
        <v>64</v>
      </c>
      <c r="F15" s="5">
        <v>9.3000000000000007</v>
      </c>
      <c r="G15" s="56">
        <v>5.0999999999999996</v>
      </c>
      <c r="H15" s="5">
        <f t="shared" si="0"/>
        <v>0.9</v>
      </c>
      <c r="I15" s="4">
        <f t="shared" si="1"/>
        <v>567</v>
      </c>
      <c r="J15" s="4">
        <f>IF(H15="","",Table22[[#This Row],[SOG]]*10)</f>
        <v>93</v>
      </c>
      <c r="K15" s="6">
        <f>IF(H15="","",Table22[[#This Row],[SOG]]*24)</f>
        <v>223.20000000000002</v>
      </c>
    </row>
    <row r="16" spans="1:11" x14ac:dyDescent="0.2">
      <c r="B16" s="4">
        <v>2500</v>
      </c>
      <c r="C16" s="7">
        <v>0.79</v>
      </c>
      <c r="D16" s="58">
        <v>181</v>
      </c>
      <c r="E16" s="58">
        <v>64</v>
      </c>
      <c r="F16" s="5">
        <v>9.5</v>
      </c>
      <c r="G16" s="56">
        <v>5.95</v>
      </c>
      <c r="H16" s="5">
        <f t="shared" si="0"/>
        <v>0.8</v>
      </c>
      <c r="I16" s="6">
        <f t="shared" si="1"/>
        <v>504</v>
      </c>
      <c r="J16" s="6">
        <f>IF(H16="","",Table22[[#This Row],[SOG]]*10)</f>
        <v>95</v>
      </c>
      <c r="K16" s="6">
        <f>IF(H16="","",Table22[[#This Row],[SOG]]*24)</f>
        <v>228</v>
      </c>
    </row>
    <row r="17" spans="1:11" x14ac:dyDescent="0.2">
      <c r="B17" s="4">
        <v>2650</v>
      </c>
      <c r="C17" s="7">
        <v>0.93</v>
      </c>
      <c r="D17" s="58">
        <v>182</v>
      </c>
      <c r="E17" s="58">
        <v>66</v>
      </c>
      <c r="F17" s="5">
        <v>9.8000000000000007</v>
      </c>
      <c r="G17" s="56">
        <v>7.5</v>
      </c>
      <c r="H17" s="5">
        <f t="shared" si="0"/>
        <v>0.7</v>
      </c>
      <c r="I17" s="4">
        <f t="shared" si="1"/>
        <v>441</v>
      </c>
      <c r="J17" s="4">
        <f>IF(H17="","",Table22[[#This Row],[SOG]]*10)</f>
        <v>98</v>
      </c>
      <c r="K17" s="4">
        <f>IF(H17="","",Table22[[#This Row],[SOG]]*24)</f>
        <v>235.20000000000002</v>
      </c>
    </row>
    <row r="19" spans="1:11" s="54" customFormat="1" x14ac:dyDescent="0.2">
      <c r="A19"/>
      <c r="B19"/>
      <c r="C19"/>
      <c r="D19"/>
      <c r="E19"/>
      <c r="F19"/>
      <c r="I19"/>
    </row>
    <row r="21" spans="1:11" s="54" customFormat="1" x14ac:dyDescent="0.2">
      <c r="A21"/>
      <c r="F21"/>
      <c r="I21"/>
    </row>
    <row r="22" spans="1:11" s="54" customFormat="1" x14ac:dyDescent="0.2">
      <c r="A22"/>
      <c r="F22"/>
      <c r="I22"/>
    </row>
  </sheetData>
  <printOptions horizontalCentered="1" verticalCentered="1"/>
  <pageMargins left="0.25" right="0.25" top="0.75" bottom="0.75" header="0.3" footer="0.3"/>
  <pageSetup scale="135" orientation="landscape" horizontalDpi="0" verticalDpi="0"/>
  <legacy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58369-0BC3-BC45-A0E3-0E3340411E0E}">
  <dimension ref="A1:M44"/>
  <sheetViews>
    <sheetView zoomScale="120" zoomScaleNormal="120" workbookViewId="0">
      <selection activeCell="M17" sqref="M17"/>
    </sheetView>
  </sheetViews>
  <sheetFormatPr baseColWidth="10" defaultRowHeight="16" x14ac:dyDescent="0.2"/>
  <cols>
    <col min="1" max="1" width="19.1640625" customWidth="1"/>
    <col min="2" max="2" width="11.83203125" customWidth="1"/>
    <col min="5" max="5" width="17" bestFit="1" customWidth="1"/>
    <col min="6" max="6" width="13.6640625" customWidth="1"/>
    <col min="7" max="7" width="13.5" customWidth="1"/>
    <col min="10" max="10" width="9.1640625" customWidth="1"/>
    <col min="11" max="11" width="17.33203125" bestFit="1" customWidth="1"/>
  </cols>
  <sheetData>
    <row r="1" spans="1:13" ht="24" x14ac:dyDescent="0.3">
      <c r="A1" s="60" t="s">
        <v>12</v>
      </c>
      <c r="B1" s="60"/>
      <c r="C1" s="12">
        <v>1900</v>
      </c>
      <c r="E1" s="61" t="s">
        <v>24</v>
      </c>
      <c r="F1" s="62"/>
      <c r="G1" s="63"/>
    </row>
    <row r="2" spans="1:13" ht="22" customHeight="1" x14ac:dyDescent="0.3">
      <c r="A2" s="60" t="s">
        <v>13</v>
      </c>
      <c r="B2" s="60"/>
      <c r="C2" s="12">
        <f>'Fuel Curve 1'!F10</f>
        <v>1.8</v>
      </c>
      <c r="E2" s="22"/>
      <c r="F2" s="23" t="s">
        <v>22</v>
      </c>
      <c r="G2" s="24" t="s">
        <v>23</v>
      </c>
    </row>
    <row r="3" spans="1:13" ht="22" customHeight="1" x14ac:dyDescent="0.3">
      <c r="A3" s="20"/>
      <c r="B3" s="20"/>
      <c r="C3" s="12"/>
      <c r="E3" s="25" t="s">
        <v>20</v>
      </c>
      <c r="F3" s="21">
        <v>22.5</v>
      </c>
      <c r="G3" s="21">
        <v>21</v>
      </c>
    </row>
    <row r="4" spans="1:13" ht="15" customHeight="1" x14ac:dyDescent="0.25">
      <c r="A4" s="16"/>
      <c r="B4" s="17" t="s">
        <v>14</v>
      </c>
      <c r="C4" s="17" t="s">
        <v>17</v>
      </c>
      <c r="E4" s="26" t="s">
        <v>21</v>
      </c>
      <c r="F4" s="21">
        <v>3</v>
      </c>
      <c r="G4" s="21">
        <v>0</v>
      </c>
    </row>
    <row r="5" spans="1:13" ht="15" customHeight="1" x14ac:dyDescent="0.25">
      <c r="A5" s="14" t="s">
        <v>18</v>
      </c>
      <c r="B5" s="18">
        <v>8.06</v>
      </c>
      <c r="C5" s="15">
        <v>4</v>
      </c>
      <c r="E5" s="28"/>
      <c r="F5" s="27"/>
      <c r="G5" s="27"/>
    </row>
    <row r="6" spans="1:13" x14ac:dyDescent="0.2">
      <c r="E6" s="36" t="s">
        <v>25</v>
      </c>
      <c r="F6" s="37"/>
      <c r="G6" s="30"/>
    </row>
    <row r="7" spans="1:13" x14ac:dyDescent="0.2">
      <c r="E7" s="38"/>
      <c r="F7" s="39" t="s">
        <v>22</v>
      </c>
      <c r="G7" s="32" t="s">
        <v>23</v>
      </c>
    </row>
    <row r="8" spans="1:13" x14ac:dyDescent="0.2">
      <c r="E8" s="40" t="s">
        <v>20</v>
      </c>
      <c r="F8" s="35" t="e">
        <f>VLOOKUP(ROUNDUP(FWD_P_LVL,1),FWD_TANK,2,FWD_TANK_INDEX)</f>
        <v>#VALUE!</v>
      </c>
      <c r="G8" s="35" t="e">
        <f>VLOOKUP(ROUNDUP(FWD_S_LVL,0),FWD_TANK,2,FWD_TANK_INDEX)</f>
        <v>#VALUE!</v>
      </c>
    </row>
    <row r="9" spans="1:13" x14ac:dyDescent="0.2">
      <c r="E9" s="41" t="s">
        <v>21</v>
      </c>
      <c r="F9" s="35"/>
      <c r="G9" s="35"/>
    </row>
    <row r="11" spans="1:13" ht="19" x14ac:dyDescent="0.25">
      <c r="A11" s="29" t="s">
        <v>14</v>
      </c>
      <c r="B11" s="30"/>
      <c r="D11" s="13" t="s">
        <v>19</v>
      </c>
    </row>
    <row r="12" spans="1:13" ht="34" x14ac:dyDescent="0.2">
      <c r="A12" s="31" t="s">
        <v>15</v>
      </c>
      <c r="B12" s="32" t="s">
        <v>16</v>
      </c>
      <c r="D12" s="3" t="s">
        <v>15</v>
      </c>
      <c r="E12" t="s">
        <v>16</v>
      </c>
    </row>
    <row r="13" spans="1:13" x14ac:dyDescent="0.2">
      <c r="A13" s="50">
        <v>0</v>
      </c>
      <c r="B13" s="33">
        <f>250-(A13*FT_VOL)-32</f>
        <v>218</v>
      </c>
      <c r="D13" s="3">
        <v>0</v>
      </c>
      <c r="E13" s="19">
        <f t="shared" ref="E13:E30" si="0">100-(D13*AFT_VOL)-16</f>
        <v>84</v>
      </c>
      <c r="G13" s="36" t="s">
        <v>25</v>
      </c>
      <c r="H13" s="37"/>
      <c r="I13" s="30"/>
      <c r="L13" t="s">
        <v>33</v>
      </c>
      <c r="M13" t="s">
        <v>34</v>
      </c>
    </row>
    <row r="14" spans="1:13" x14ac:dyDescent="0.2">
      <c r="A14" s="51">
        <v>1</v>
      </c>
      <c r="B14" s="33">
        <f t="shared" ref="B14:B38" si="1">250-(A14*FT_VOL)-20</f>
        <v>221.94</v>
      </c>
      <c r="D14" s="9">
        <v>1</v>
      </c>
      <c r="E14" s="19">
        <f t="shared" si="0"/>
        <v>80</v>
      </c>
      <c r="G14" s="38"/>
      <c r="H14" s="39" t="s">
        <v>22</v>
      </c>
      <c r="I14" s="32" t="s">
        <v>23</v>
      </c>
      <c r="K14" t="s">
        <v>30</v>
      </c>
    </row>
    <row r="15" spans="1:13" x14ac:dyDescent="0.2">
      <c r="A15" s="51">
        <f>A14+1</f>
        <v>2</v>
      </c>
      <c r="B15" s="33">
        <f t="shared" si="1"/>
        <v>213.88</v>
      </c>
      <c r="D15" s="9">
        <f>D14+1</f>
        <v>2</v>
      </c>
      <c r="E15" s="19">
        <f t="shared" si="0"/>
        <v>76</v>
      </c>
      <c r="G15" s="40" t="s">
        <v>20</v>
      </c>
      <c r="H15" s="35">
        <f>VLOOKUP(ROUNDUP(FWD_P_LVL,0),FWD_TANK,2,FWD_TANK_INDEX)</f>
        <v>44.619999999999976</v>
      </c>
      <c r="I15" s="35">
        <f>VLOOKUP(ROUNDUP(FWD_S_LVL,0),FWD_TANK,2,FWD_TANK_INDEX)</f>
        <v>60.739999999999981</v>
      </c>
      <c r="K15" t="s">
        <v>31</v>
      </c>
    </row>
    <row r="16" spans="1:13" x14ac:dyDescent="0.2">
      <c r="A16" s="51">
        <f t="shared" ref="A16:A37" si="2">A15+1</f>
        <v>3</v>
      </c>
      <c r="B16" s="33">
        <f t="shared" si="1"/>
        <v>205.82</v>
      </c>
      <c r="D16" s="9">
        <f t="shared" ref="D16:D30" si="3">D15+1</f>
        <v>3</v>
      </c>
      <c r="E16" s="19">
        <f t="shared" si="0"/>
        <v>72</v>
      </c>
      <c r="G16" s="41" t="s">
        <v>21</v>
      </c>
      <c r="H16" s="35">
        <f>VLOOKUP(ROUNDUP(F4,0),D13:E30,2,D13:D30)</f>
        <v>72</v>
      </c>
      <c r="I16" s="35">
        <f>VLOOKUP(ROUNDUP(G4,0),D13:E30,2,D13:D30)</f>
        <v>84</v>
      </c>
      <c r="K16" t="s">
        <v>32</v>
      </c>
      <c r="L16">
        <v>261</v>
      </c>
      <c r="M16">
        <f>L16/4.6</f>
        <v>56.739130434782616</v>
      </c>
    </row>
    <row r="17" spans="1:5" x14ac:dyDescent="0.2">
      <c r="A17" s="51">
        <f t="shared" si="2"/>
        <v>4</v>
      </c>
      <c r="B17" s="33">
        <f t="shared" si="1"/>
        <v>197.76</v>
      </c>
      <c r="D17" s="9">
        <f t="shared" si="3"/>
        <v>4</v>
      </c>
      <c r="E17" s="19">
        <f t="shared" si="0"/>
        <v>68</v>
      </c>
    </row>
    <row r="18" spans="1:5" x14ac:dyDescent="0.2">
      <c r="A18" s="51">
        <f t="shared" si="2"/>
        <v>5</v>
      </c>
      <c r="B18" s="33">
        <f t="shared" si="1"/>
        <v>189.7</v>
      </c>
      <c r="D18" s="9">
        <f t="shared" si="3"/>
        <v>5</v>
      </c>
      <c r="E18" s="19">
        <f t="shared" si="0"/>
        <v>64</v>
      </c>
    </row>
    <row r="19" spans="1:5" x14ac:dyDescent="0.2">
      <c r="A19" s="51">
        <f t="shared" si="2"/>
        <v>6</v>
      </c>
      <c r="B19" s="33">
        <f t="shared" si="1"/>
        <v>181.64</v>
      </c>
      <c r="D19" s="9">
        <f t="shared" si="3"/>
        <v>6</v>
      </c>
      <c r="E19" s="19">
        <f t="shared" si="0"/>
        <v>60</v>
      </c>
    </row>
    <row r="20" spans="1:5" x14ac:dyDescent="0.2">
      <c r="A20" s="51">
        <f t="shared" si="2"/>
        <v>7</v>
      </c>
      <c r="B20" s="33">
        <f t="shared" si="1"/>
        <v>173.57999999999998</v>
      </c>
      <c r="D20" s="9">
        <f t="shared" si="3"/>
        <v>7</v>
      </c>
      <c r="E20" s="19">
        <f t="shared" si="0"/>
        <v>56</v>
      </c>
    </row>
    <row r="21" spans="1:5" x14ac:dyDescent="0.2">
      <c r="A21" s="51">
        <f t="shared" si="2"/>
        <v>8</v>
      </c>
      <c r="B21" s="33">
        <f t="shared" si="1"/>
        <v>165.51999999999998</v>
      </c>
      <c r="D21" s="9">
        <f t="shared" si="3"/>
        <v>8</v>
      </c>
      <c r="E21" s="19">
        <f t="shared" si="0"/>
        <v>52</v>
      </c>
    </row>
    <row r="22" spans="1:5" x14ac:dyDescent="0.2">
      <c r="A22" s="51">
        <f t="shared" si="2"/>
        <v>9</v>
      </c>
      <c r="B22" s="33">
        <f t="shared" si="1"/>
        <v>157.45999999999998</v>
      </c>
      <c r="D22" s="9">
        <f t="shared" si="3"/>
        <v>9</v>
      </c>
      <c r="E22" s="19">
        <f t="shared" si="0"/>
        <v>48</v>
      </c>
    </row>
    <row r="23" spans="1:5" x14ac:dyDescent="0.2">
      <c r="A23" s="51">
        <f t="shared" si="2"/>
        <v>10</v>
      </c>
      <c r="B23" s="33">
        <f t="shared" si="1"/>
        <v>149.39999999999998</v>
      </c>
      <c r="D23" s="9">
        <f t="shared" si="3"/>
        <v>10</v>
      </c>
      <c r="E23" s="19">
        <f t="shared" si="0"/>
        <v>44</v>
      </c>
    </row>
    <row r="24" spans="1:5" x14ac:dyDescent="0.2">
      <c r="A24" s="51">
        <f t="shared" si="2"/>
        <v>11</v>
      </c>
      <c r="B24" s="33">
        <f t="shared" si="1"/>
        <v>141.33999999999997</v>
      </c>
      <c r="D24" s="9">
        <f t="shared" si="3"/>
        <v>11</v>
      </c>
      <c r="E24" s="19">
        <f t="shared" si="0"/>
        <v>40</v>
      </c>
    </row>
    <row r="25" spans="1:5" x14ac:dyDescent="0.2">
      <c r="A25" s="51">
        <f t="shared" si="2"/>
        <v>12</v>
      </c>
      <c r="B25" s="33">
        <f t="shared" si="1"/>
        <v>133.28</v>
      </c>
      <c r="D25" s="9">
        <f t="shared" si="3"/>
        <v>12</v>
      </c>
      <c r="E25" s="19">
        <f t="shared" si="0"/>
        <v>36</v>
      </c>
    </row>
    <row r="26" spans="1:5" x14ac:dyDescent="0.2">
      <c r="A26" s="51">
        <f t="shared" si="2"/>
        <v>13</v>
      </c>
      <c r="B26" s="33">
        <f t="shared" si="1"/>
        <v>125.22</v>
      </c>
      <c r="D26" s="9">
        <f t="shared" si="3"/>
        <v>13</v>
      </c>
      <c r="E26" s="19">
        <f t="shared" si="0"/>
        <v>32</v>
      </c>
    </row>
    <row r="27" spans="1:5" x14ac:dyDescent="0.2">
      <c r="A27" s="51">
        <f t="shared" si="2"/>
        <v>14</v>
      </c>
      <c r="B27" s="33">
        <f t="shared" si="1"/>
        <v>117.16</v>
      </c>
      <c r="D27" s="9">
        <f t="shared" si="3"/>
        <v>14</v>
      </c>
      <c r="E27" s="19">
        <f t="shared" si="0"/>
        <v>28</v>
      </c>
    </row>
    <row r="28" spans="1:5" x14ac:dyDescent="0.2">
      <c r="A28" s="51">
        <f t="shared" si="2"/>
        <v>15</v>
      </c>
      <c r="B28" s="33">
        <f t="shared" si="1"/>
        <v>109.1</v>
      </c>
      <c r="D28" s="9">
        <f t="shared" si="3"/>
        <v>15</v>
      </c>
      <c r="E28" s="19">
        <f t="shared" si="0"/>
        <v>24</v>
      </c>
    </row>
    <row r="29" spans="1:5" x14ac:dyDescent="0.2">
      <c r="A29" s="51">
        <f t="shared" si="2"/>
        <v>16</v>
      </c>
      <c r="B29" s="33">
        <f t="shared" si="1"/>
        <v>101.03999999999999</v>
      </c>
      <c r="D29" s="9">
        <f t="shared" si="3"/>
        <v>16</v>
      </c>
      <c r="E29" s="19">
        <f t="shared" si="0"/>
        <v>20</v>
      </c>
    </row>
    <row r="30" spans="1:5" x14ac:dyDescent="0.2">
      <c r="A30" s="51">
        <f t="shared" si="2"/>
        <v>17</v>
      </c>
      <c r="B30" s="33">
        <f t="shared" si="1"/>
        <v>92.97999999999999</v>
      </c>
      <c r="D30" s="9">
        <f t="shared" si="3"/>
        <v>17</v>
      </c>
      <c r="E30" s="19">
        <f t="shared" si="0"/>
        <v>16</v>
      </c>
    </row>
    <row r="31" spans="1:5" x14ac:dyDescent="0.2">
      <c r="A31" s="51">
        <f t="shared" si="2"/>
        <v>18</v>
      </c>
      <c r="B31" s="33">
        <f t="shared" si="1"/>
        <v>84.919999999999987</v>
      </c>
      <c r="D31" s="9"/>
      <c r="E31" s="19"/>
    </row>
    <row r="32" spans="1:5" x14ac:dyDescent="0.2">
      <c r="A32" s="51">
        <f t="shared" si="2"/>
        <v>19</v>
      </c>
      <c r="B32" s="33">
        <f t="shared" si="1"/>
        <v>76.859999999999985</v>
      </c>
      <c r="D32" s="9"/>
      <c r="E32" s="19">
        <f>VLOOKUP(ROUNDUP(F3,2),FWD_TANK,2,A13:A38)</f>
        <v>52.679999999999978</v>
      </c>
    </row>
    <row r="33" spans="1:5" x14ac:dyDescent="0.2">
      <c r="A33" s="51">
        <f t="shared" si="2"/>
        <v>20</v>
      </c>
      <c r="B33" s="33">
        <f t="shared" si="1"/>
        <v>68.799999999999983</v>
      </c>
      <c r="D33" s="9"/>
      <c r="E33" s="19"/>
    </row>
    <row r="34" spans="1:5" x14ac:dyDescent="0.2">
      <c r="A34" s="51">
        <f t="shared" si="2"/>
        <v>21</v>
      </c>
      <c r="B34" s="33">
        <f t="shared" si="1"/>
        <v>60.739999999999981</v>
      </c>
      <c r="D34" s="9"/>
      <c r="E34" s="19"/>
    </row>
    <row r="35" spans="1:5" x14ac:dyDescent="0.2">
      <c r="A35" s="51">
        <f t="shared" si="2"/>
        <v>22</v>
      </c>
      <c r="B35" s="33">
        <f t="shared" si="1"/>
        <v>52.679999999999978</v>
      </c>
      <c r="D35" s="9"/>
      <c r="E35" s="19"/>
    </row>
    <row r="36" spans="1:5" x14ac:dyDescent="0.2">
      <c r="A36" s="51">
        <f t="shared" si="2"/>
        <v>23</v>
      </c>
      <c r="B36" s="33">
        <f t="shared" si="1"/>
        <v>44.619999999999976</v>
      </c>
      <c r="D36" s="9"/>
      <c r="E36" s="19"/>
    </row>
    <row r="37" spans="1:5" x14ac:dyDescent="0.2">
      <c r="A37" s="51">
        <f t="shared" si="2"/>
        <v>24</v>
      </c>
      <c r="B37" s="33">
        <f t="shared" si="1"/>
        <v>36.56</v>
      </c>
      <c r="D37" s="9"/>
      <c r="E37" s="19"/>
    </row>
    <row r="38" spans="1:5" x14ac:dyDescent="0.2">
      <c r="A38" s="52">
        <f>A37+1</f>
        <v>25</v>
      </c>
      <c r="B38" s="34">
        <f t="shared" si="1"/>
        <v>28.5</v>
      </c>
      <c r="D38" s="9"/>
      <c r="E38" s="19"/>
    </row>
    <row r="39" spans="1:5" x14ac:dyDescent="0.2">
      <c r="A39" s="9"/>
    </row>
    <row r="40" spans="1:5" x14ac:dyDescent="0.2">
      <c r="A40" s="9"/>
    </row>
    <row r="41" spans="1:5" x14ac:dyDescent="0.2">
      <c r="A41" s="9"/>
    </row>
    <row r="42" spans="1:5" x14ac:dyDescent="0.2">
      <c r="A42" s="9"/>
    </row>
    <row r="43" spans="1:5" x14ac:dyDescent="0.2">
      <c r="A43" s="9"/>
    </row>
    <row r="44" spans="1:5" x14ac:dyDescent="0.2">
      <c r="A44" s="9"/>
    </row>
  </sheetData>
  <mergeCells count="3">
    <mergeCell ref="A1:B1"/>
    <mergeCell ref="A2:B2"/>
    <mergeCell ref="E1:G1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F1157-8C6D-2C49-BF47-356BEE67E602}">
  <dimension ref="A2:E36"/>
  <sheetViews>
    <sheetView zoomScale="140" zoomScaleNormal="140" workbookViewId="0">
      <selection activeCell="G10" sqref="G10"/>
    </sheetView>
  </sheetViews>
  <sheetFormatPr baseColWidth="10" defaultRowHeight="16" x14ac:dyDescent="0.2"/>
  <cols>
    <col min="2" max="2" width="14" bestFit="1" customWidth="1"/>
    <col min="4" max="4" width="12.1640625" customWidth="1"/>
    <col min="5" max="5" width="14" bestFit="1" customWidth="1"/>
    <col min="7" max="7" width="24.5" customWidth="1"/>
  </cols>
  <sheetData>
    <row r="2" spans="1:5" x14ac:dyDescent="0.2">
      <c r="B2" t="s">
        <v>28</v>
      </c>
      <c r="C2" t="s">
        <v>29</v>
      </c>
    </row>
    <row r="3" spans="1:5" x14ac:dyDescent="0.2">
      <c r="A3" t="s">
        <v>26</v>
      </c>
      <c r="B3" s="53" t="e">
        <f>VLOOKUP(8,FWD_TABLE,1,A11:A36)</f>
        <v>#VALUE!</v>
      </c>
    </row>
    <row r="4" spans="1:5" x14ac:dyDescent="0.2">
      <c r="A4" t="s">
        <v>27</v>
      </c>
    </row>
    <row r="9" spans="1:5" ht="19" x14ac:dyDescent="0.25">
      <c r="A9" s="42" t="s">
        <v>14</v>
      </c>
      <c r="B9" s="43"/>
      <c r="D9" s="42" t="s">
        <v>19</v>
      </c>
      <c r="E9" s="43"/>
    </row>
    <row r="10" spans="1:5" ht="34" x14ac:dyDescent="0.2">
      <c r="A10" s="44" t="s">
        <v>15</v>
      </c>
      <c r="B10" s="45" t="s">
        <v>16</v>
      </c>
      <c r="D10" s="44" t="s">
        <v>15</v>
      </c>
      <c r="E10" s="45" t="s">
        <v>16</v>
      </c>
    </row>
    <row r="11" spans="1:5" x14ac:dyDescent="0.2">
      <c r="A11" s="44">
        <v>0</v>
      </c>
      <c r="B11" s="46">
        <f>250-(A11*FT_VOL)-32</f>
        <v>218</v>
      </c>
      <c r="D11" s="44">
        <v>0</v>
      </c>
      <c r="E11" s="46">
        <f t="shared" ref="E11:E28" si="0">100-(D11*AFT_VOL)-16</f>
        <v>84</v>
      </c>
    </row>
    <row r="12" spans="1:5" x14ac:dyDescent="0.2">
      <c r="A12" s="47">
        <v>1</v>
      </c>
      <c r="B12" s="46">
        <f t="shared" ref="B12:B36" si="1">250-(A12*FT_VOL)-20</f>
        <v>221.94</v>
      </c>
      <c r="D12" s="47">
        <v>1</v>
      </c>
      <c r="E12" s="46">
        <f t="shared" si="0"/>
        <v>80</v>
      </c>
    </row>
    <row r="13" spans="1:5" x14ac:dyDescent="0.2">
      <c r="A13" s="47">
        <f>A12+1</f>
        <v>2</v>
      </c>
      <c r="B13" s="46">
        <f t="shared" si="1"/>
        <v>213.88</v>
      </c>
      <c r="D13" s="47">
        <f>D12+1</f>
        <v>2</v>
      </c>
      <c r="E13" s="46">
        <f t="shared" si="0"/>
        <v>76</v>
      </c>
    </row>
    <row r="14" spans="1:5" x14ac:dyDescent="0.2">
      <c r="A14" s="47">
        <f t="shared" ref="A14:A35" si="2">A13+1</f>
        <v>3</v>
      </c>
      <c r="B14" s="46">
        <f t="shared" si="1"/>
        <v>205.82</v>
      </c>
      <c r="D14" s="47">
        <f t="shared" ref="D14:D28" si="3">D13+1</f>
        <v>3</v>
      </c>
      <c r="E14" s="46">
        <f t="shared" si="0"/>
        <v>72</v>
      </c>
    </row>
    <row r="15" spans="1:5" x14ac:dyDescent="0.2">
      <c r="A15" s="47">
        <f t="shared" si="2"/>
        <v>4</v>
      </c>
      <c r="B15" s="46">
        <f t="shared" si="1"/>
        <v>197.76</v>
      </c>
      <c r="D15" s="47">
        <f t="shared" si="3"/>
        <v>4</v>
      </c>
      <c r="E15" s="46">
        <f t="shared" si="0"/>
        <v>68</v>
      </c>
    </row>
    <row r="16" spans="1:5" x14ac:dyDescent="0.2">
      <c r="A16" s="47">
        <f t="shared" si="2"/>
        <v>5</v>
      </c>
      <c r="B16" s="46">
        <f t="shared" si="1"/>
        <v>189.7</v>
      </c>
      <c r="D16" s="47">
        <f t="shared" si="3"/>
        <v>5</v>
      </c>
      <c r="E16" s="46">
        <f t="shared" si="0"/>
        <v>64</v>
      </c>
    </row>
    <row r="17" spans="1:5" x14ac:dyDescent="0.2">
      <c r="A17" s="47">
        <f t="shared" si="2"/>
        <v>6</v>
      </c>
      <c r="B17" s="46">
        <f t="shared" si="1"/>
        <v>181.64</v>
      </c>
      <c r="D17" s="47">
        <f t="shared" si="3"/>
        <v>6</v>
      </c>
      <c r="E17" s="46">
        <f t="shared" si="0"/>
        <v>60</v>
      </c>
    </row>
    <row r="18" spans="1:5" x14ac:dyDescent="0.2">
      <c r="A18" s="47">
        <f t="shared" si="2"/>
        <v>7</v>
      </c>
      <c r="B18" s="46">
        <f t="shared" si="1"/>
        <v>173.57999999999998</v>
      </c>
      <c r="D18" s="47">
        <f t="shared" si="3"/>
        <v>7</v>
      </c>
      <c r="E18" s="46">
        <f t="shared" si="0"/>
        <v>56</v>
      </c>
    </row>
    <row r="19" spans="1:5" x14ac:dyDescent="0.2">
      <c r="A19" s="47">
        <f t="shared" si="2"/>
        <v>8</v>
      </c>
      <c r="B19" s="46">
        <f t="shared" si="1"/>
        <v>165.51999999999998</v>
      </c>
      <c r="D19" s="47">
        <f t="shared" si="3"/>
        <v>8</v>
      </c>
      <c r="E19" s="46">
        <f t="shared" si="0"/>
        <v>52</v>
      </c>
    </row>
    <row r="20" spans="1:5" x14ac:dyDescent="0.2">
      <c r="A20" s="47">
        <f t="shared" si="2"/>
        <v>9</v>
      </c>
      <c r="B20" s="46">
        <f t="shared" si="1"/>
        <v>157.45999999999998</v>
      </c>
      <c r="D20" s="47">
        <f t="shared" si="3"/>
        <v>9</v>
      </c>
      <c r="E20" s="46">
        <f t="shared" si="0"/>
        <v>48</v>
      </c>
    </row>
    <row r="21" spans="1:5" x14ac:dyDescent="0.2">
      <c r="A21" s="47">
        <f t="shared" si="2"/>
        <v>10</v>
      </c>
      <c r="B21" s="46">
        <f t="shared" si="1"/>
        <v>149.39999999999998</v>
      </c>
      <c r="D21" s="47">
        <f t="shared" si="3"/>
        <v>10</v>
      </c>
      <c r="E21" s="46">
        <f t="shared" si="0"/>
        <v>44</v>
      </c>
    </row>
    <row r="22" spans="1:5" x14ac:dyDescent="0.2">
      <c r="A22" s="47">
        <f t="shared" si="2"/>
        <v>11</v>
      </c>
      <c r="B22" s="46">
        <f t="shared" si="1"/>
        <v>141.33999999999997</v>
      </c>
      <c r="D22" s="47">
        <f t="shared" si="3"/>
        <v>11</v>
      </c>
      <c r="E22" s="46">
        <f t="shared" si="0"/>
        <v>40</v>
      </c>
    </row>
    <row r="23" spans="1:5" x14ac:dyDescent="0.2">
      <c r="A23" s="47">
        <f t="shared" si="2"/>
        <v>12</v>
      </c>
      <c r="B23" s="46">
        <f t="shared" si="1"/>
        <v>133.28</v>
      </c>
      <c r="D23" s="47">
        <f t="shared" si="3"/>
        <v>12</v>
      </c>
      <c r="E23" s="46">
        <f t="shared" si="0"/>
        <v>36</v>
      </c>
    </row>
    <row r="24" spans="1:5" x14ac:dyDescent="0.2">
      <c r="A24" s="47">
        <f t="shared" si="2"/>
        <v>13</v>
      </c>
      <c r="B24" s="46">
        <f t="shared" si="1"/>
        <v>125.22</v>
      </c>
      <c r="D24" s="47">
        <f t="shared" si="3"/>
        <v>13</v>
      </c>
      <c r="E24" s="46">
        <f t="shared" si="0"/>
        <v>32</v>
      </c>
    </row>
    <row r="25" spans="1:5" x14ac:dyDescent="0.2">
      <c r="A25" s="47">
        <f t="shared" si="2"/>
        <v>14</v>
      </c>
      <c r="B25" s="46">
        <f t="shared" si="1"/>
        <v>117.16</v>
      </c>
      <c r="D25" s="47">
        <f t="shared" si="3"/>
        <v>14</v>
      </c>
      <c r="E25" s="46">
        <f t="shared" si="0"/>
        <v>28</v>
      </c>
    </row>
    <row r="26" spans="1:5" x14ac:dyDescent="0.2">
      <c r="A26" s="47">
        <f t="shared" si="2"/>
        <v>15</v>
      </c>
      <c r="B26" s="46">
        <f t="shared" si="1"/>
        <v>109.1</v>
      </c>
      <c r="D26" s="47">
        <f t="shared" si="3"/>
        <v>15</v>
      </c>
      <c r="E26" s="46">
        <f t="shared" si="0"/>
        <v>24</v>
      </c>
    </row>
    <row r="27" spans="1:5" x14ac:dyDescent="0.2">
      <c r="A27" s="47">
        <f t="shared" si="2"/>
        <v>16</v>
      </c>
      <c r="B27" s="46">
        <f t="shared" si="1"/>
        <v>101.03999999999999</v>
      </c>
      <c r="D27" s="47">
        <f t="shared" si="3"/>
        <v>16</v>
      </c>
      <c r="E27" s="46">
        <f t="shared" si="0"/>
        <v>20</v>
      </c>
    </row>
    <row r="28" spans="1:5" x14ac:dyDescent="0.2">
      <c r="A28" s="47">
        <f t="shared" si="2"/>
        <v>17</v>
      </c>
      <c r="B28" s="46">
        <f t="shared" si="1"/>
        <v>92.97999999999999</v>
      </c>
      <c r="D28" s="48">
        <f t="shared" si="3"/>
        <v>17</v>
      </c>
      <c r="E28" s="49">
        <f t="shared" si="0"/>
        <v>16</v>
      </c>
    </row>
    <row r="29" spans="1:5" x14ac:dyDescent="0.2">
      <c r="A29" s="47">
        <f t="shared" si="2"/>
        <v>18</v>
      </c>
      <c r="B29" s="46">
        <f t="shared" si="1"/>
        <v>84.919999999999987</v>
      </c>
      <c r="D29" s="11"/>
      <c r="E29" s="19"/>
    </row>
    <row r="30" spans="1:5" x14ac:dyDescent="0.2">
      <c r="A30" s="47">
        <f t="shared" si="2"/>
        <v>19</v>
      </c>
      <c r="B30" s="46">
        <f t="shared" si="1"/>
        <v>76.859999999999985</v>
      </c>
      <c r="D30" s="11"/>
      <c r="E30" s="19"/>
    </row>
    <row r="31" spans="1:5" x14ac:dyDescent="0.2">
      <c r="A31" s="47">
        <f t="shared" si="2"/>
        <v>20</v>
      </c>
      <c r="B31" s="46">
        <f t="shared" si="1"/>
        <v>68.799999999999983</v>
      </c>
      <c r="D31" s="11"/>
      <c r="E31" s="19"/>
    </row>
    <row r="32" spans="1:5" x14ac:dyDescent="0.2">
      <c r="A32" s="47">
        <f t="shared" si="2"/>
        <v>21</v>
      </c>
      <c r="B32" s="46">
        <f t="shared" si="1"/>
        <v>60.739999999999981</v>
      </c>
      <c r="D32" s="11"/>
      <c r="E32" s="19"/>
    </row>
    <row r="33" spans="1:5" x14ac:dyDescent="0.2">
      <c r="A33" s="47">
        <f t="shared" si="2"/>
        <v>22</v>
      </c>
      <c r="B33" s="46">
        <f t="shared" si="1"/>
        <v>52.679999999999978</v>
      </c>
      <c r="D33" s="11"/>
      <c r="E33" s="19"/>
    </row>
    <row r="34" spans="1:5" x14ac:dyDescent="0.2">
      <c r="A34" s="47">
        <f t="shared" si="2"/>
        <v>23</v>
      </c>
      <c r="B34" s="46">
        <f t="shared" si="1"/>
        <v>44.619999999999976</v>
      </c>
      <c r="D34" s="11"/>
      <c r="E34" s="19"/>
    </row>
    <row r="35" spans="1:5" x14ac:dyDescent="0.2">
      <c r="A35" s="47">
        <f t="shared" si="2"/>
        <v>24</v>
      </c>
      <c r="B35" s="46">
        <f t="shared" si="1"/>
        <v>36.56</v>
      </c>
      <c r="D35" s="11"/>
      <c r="E35" s="19"/>
    </row>
    <row r="36" spans="1:5" x14ac:dyDescent="0.2">
      <c r="A36" s="48">
        <f>A35+1</f>
        <v>25</v>
      </c>
      <c r="B36" s="49">
        <f t="shared" si="1"/>
        <v>28.5</v>
      </c>
      <c r="D36" s="11"/>
      <c r="E36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13</vt:i4>
      </vt:variant>
    </vt:vector>
  </HeadingPairs>
  <TitlesOfParts>
    <vt:vector size="19" baseType="lpstr">
      <vt:lpstr>Fuel Curve 1</vt:lpstr>
      <vt:lpstr>Fuel Curve 2</vt:lpstr>
      <vt:lpstr>Fuel Tank  Calc</vt:lpstr>
      <vt:lpstr>Site Gauge</vt:lpstr>
      <vt:lpstr>Engine Analsysis</vt:lpstr>
      <vt:lpstr>Fuel Burn Rate</vt:lpstr>
      <vt:lpstr>AFT_TABLE</vt:lpstr>
      <vt:lpstr>AFT_VOL</vt:lpstr>
      <vt:lpstr>FT_VOL</vt:lpstr>
      <vt:lpstr>FWD_P_LVL</vt:lpstr>
      <vt:lpstr>FWD_S_LVL</vt:lpstr>
      <vt:lpstr>FWD_TABLE</vt:lpstr>
      <vt:lpstr>FWD_TANK</vt:lpstr>
      <vt:lpstr>FWD_TANK_INDEX</vt:lpstr>
      <vt:lpstr>'Fuel Curve 2'!Print_Area</vt:lpstr>
      <vt:lpstr>'Fuel Curve 2'!RESERVE</vt:lpstr>
      <vt:lpstr>RESERVE</vt:lpstr>
      <vt:lpstr>'Fuel Curve 2'!TANKAGE</vt:lpstr>
      <vt:lpstr>TANKAGE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Murphy</dc:creator>
  <cp:lastModifiedBy>Robert Murphy</cp:lastModifiedBy>
  <cp:lastPrinted>2019-12-04T18:30:18Z</cp:lastPrinted>
  <dcterms:created xsi:type="dcterms:W3CDTF">2018-07-03T16:59:49Z</dcterms:created>
  <dcterms:modified xsi:type="dcterms:W3CDTF">2019-12-04T19:51:13Z</dcterms:modified>
</cp:coreProperties>
</file>