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440" windowWidth="28800" windowHeight="17900" tabRatio="500" activeTab="1"/>
  </bookViews>
  <sheets>
    <sheet name="Punto2" sheetId="1" r:id="rId1"/>
    <sheet name="Punto4" sheetId="2" r:id="rId2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2" l="1"/>
  <c r="E20" i="2"/>
  <c r="E12" i="2"/>
  <c r="B20" i="2"/>
  <c r="H7" i="2"/>
  <c r="H8" i="2"/>
  <c r="H9" i="2"/>
  <c r="H10" i="2"/>
  <c r="H11" i="2"/>
  <c r="H13" i="2"/>
  <c r="H14" i="2"/>
  <c r="H15" i="2"/>
  <c r="H16" i="2"/>
  <c r="H6" i="2"/>
  <c r="G6" i="2"/>
  <c r="E13" i="2"/>
  <c r="A25" i="2"/>
  <c r="A24" i="2"/>
  <c r="A23" i="2"/>
  <c r="B21" i="2"/>
  <c r="F9" i="2"/>
  <c r="F10" i="2"/>
  <c r="F11" i="2"/>
  <c r="F12" i="2"/>
  <c r="F13" i="2"/>
  <c r="F14" i="2"/>
  <c r="F15" i="2"/>
  <c r="F16" i="2"/>
  <c r="F8" i="2"/>
  <c r="F7" i="2"/>
  <c r="B19" i="2"/>
  <c r="B18" i="2"/>
  <c r="C16" i="2"/>
  <c r="B8" i="2"/>
  <c r="B9" i="2"/>
  <c r="B10" i="2"/>
  <c r="B11" i="2"/>
  <c r="B12" i="2"/>
  <c r="B13" i="2"/>
  <c r="B14" i="2"/>
  <c r="B15" i="2"/>
  <c r="B16" i="2"/>
  <c r="B7" i="2"/>
  <c r="B6" i="2"/>
  <c r="D6" i="2"/>
  <c r="D16" i="2"/>
  <c r="D15" i="2"/>
  <c r="D14" i="2"/>
  <c r="D13" i="2"/>
  <c r="D12" i="2"/>
  <c r="D11" i="2"/>
  <c r="D10" i="2"/>
  <c r="D9" i="2"/>
  <c r="D8" i="2"/>
  <c r="D7" i="2"/>
  <c r="E7" i="2"/>
  <c r="E8" i="2"/>
  <c r="E9" i="2"/>
  <c r="E10" i="2"/>
  <c r="E11" i="2"/>
  <c r="E14" i="2"/>
  <c r="E15" i="2"/>
  <c r="E16" i="2"/>
  <c r="E6" i="2"/>
  <c r="F55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B55" i="1"/>
  <c r="J55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8" i="1"/>
  <c r="B56" i="1"/>
  <c r="G55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28" i="1"/>
  <c r="G29" i="1"/>
  <c r="G3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9" i="1"/>
  <c r="D28" i="1"/>
  <c r="B54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1" i="1"/>
  <c r="C29" i="1"/>
  <c r="C28" i="1"/>
  <c r="C20" i="1"/>
  <c r="C21" i="1"/>
  <c r="C22" i="1"/>
  <c r="C23" i="1"/>
  <c r="C19" i="1"/>
  <c r="B20" i="1"/>
  <c r="B21" i="1"/>
  <c r="B22" i="1"/>
  <c r="B23" i="1"/>
  <c r="B19" i="1"/>
  <c r="C12" i="1"/>
  <c r="C13" i="1"/>
  <c r="C14" i="1"/>
  <c r="C15" i="1"/>
  <c r="C11" i="1"/>
  <c r="B15" i="1"/>
  <c r="B14" i="1"/>
  <c r="B12" i="1"/>
  <c r="B11" i="1"/>
</calcChain>
</file>

<file path=xl/sharedStrings.xml><?xml version="1.0" encoding="utf-8"?>
<sst xmlns="http://schemas.openxmlformats.org/spreadsheetml/2006/main" count="61" uniqueCount="42">
  <si>
    <t>ID</t>
  </si>
  <si>
    <t>MAQUINA</t>
  </si>
  <si>
    <t>CANTIDAD</t>
  </si>
  <si>
    <t>COSTO UNIDAD</t>
  </si>
  <si>
    <t>M1</t>
  </si>
  <si>
    <t>M2</t>
  </si>
  <si>
    <t>M3</t>
  </si>
  <si>
    <t>M4</t>
  </si>
  <si>
    <t>M5</t>
  </si>
  <si>
    <t>Excavadora Ruedas</t>
  </si>
  <si>
    <t>Excavadora cadena</t>
  </si>
  <si>
    <t>Volqueta</t>
  </si>
  <si>
    <t>Correa transportadora</t>
  </si>
  <si>
    <t>Orugas</t>
  </si>
  <si>
    <t>INVERSION_0</t>
  </si>
  <si>
    <t>COSTO TOTAL</t>
  </si>
  <si>
    <t>INVERSION_1</t>
  </si>
  <si>
    <t>PERIODO</t>
  </si>
  <si>
    <t>INGRESO</t>
  </si>
  <si>
    <t>INGRESOS</t>
  </si>
  <si>
    <t>EGRESOS</t>
  </si>
  <si>
    <t>NETO</t>
  </si>
  <si>
    <t>EGRESO NETO</t>
  </si>
  <si>
    <t>EGRESO</t>
  </si>
  <si>
    <t>Tasa Interés (EA)</t>
  </si>
  <si>
    <t>VPN</t>
  </si>
  <si>
    <t>B/C</t>
  </si>
  <si>
    <t>VP_NETO</t>
  </si>
  <si>
    <t>VP INGRESO</t>
  </si>
  <si>
    <t>VP EGRESO</t>
  </si>
  <si>
    <t>VP NETO</t>
  </si>
  <si>
    <t>TERRENO</t>
  </si>
  <si>
    <t>EDIFICIO</t>
  </si>
  <si>
    <t>EQUIPO</t>
  </si>
  <si>
    <t>VP INGRESOS</t>
  </si>
  <si>
    <t>VP EGRESOS</t>
  </si>
  <si>
    <t>INTERES</t>
  </si>
  <si>
    <t>INGRESO VENTAS</t>
  </si>
  <si>
    <t>VP VENTAS</t>
  </si>
  <si>
    <t>NUEVO EGRESO</t>
  </si>
  <si>
    <t>NUEVO_VPN</t>
  </si>
  <si>
    <t>NUEVAS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</si>
</sst>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COP&quot;#,##0.00_);[Red]\(&quot;COP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C736"/>
        <bgColor indexed="64"/>
      </patternFill>
    </fill>
    <fill>
      <patternFill patternType="solid">
        <fgColor rgb="FFEFCD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8" fontId="0" fillId="0" borderId="1" xfId="0" applyNumberFormat="1" applyBorder="1"/>
    <xf numFmtId="0" fontId="0" fillId="0" borderId="0" xfId="0" applyFont="1"/>
    <xf numFmtId="9" fontId="0" fillId="0" borderId="0" xfId="0" applyNumberFormat="1"/>
  </cellXfs>
  <cellStyles count="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Punto2!$A$27</c:f>
              <c:strCache>
                <c:ptCount val="1"/>
                <c:pt idx="0">
                  <c:v>PERIODO</c:v>
                </c:pt>
              </c:strCache>
            </c:strRef>
          </c:tx>
          <c:invertIfNegative val="0"/>
          <c:val>
            <c:numRef>
              <c:f>Punto2!$A$28:$A$54</c:f>
              <c:numCache>
                <c:formatCode>General</c:formatCode>
                <c:ptCount val="2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Punto2!$B$27</c:f>
              <c:strCache>
                <c:ptCount val="1"/>
                <c:pt idx="0">
                  <c:v>INGRESOS</c:v>
                </c:pt>
              </c:strCache>
            </c:strRef>
          </c:tx>
          <c:invertIfNegative val="0"/>
          <c:val>
            <c:numRef>
              <c:f>Punto2!$B$28:$B$54</c:f>
              <c:numCache>
                <c:formatCode>General</c:formatCode>
                <c:ptCount val="27"/>
                <c:pt idx="0">
                  <c:v>0.0</c:v>
                </c:pt>
                <c:pt idx="1">
                  <c:v>0.0</c:v>
                </c:pt>
                <c:pt idx="2">
                  <c:v>896000.0</c:v>
                </c:pt>
                <c:pt idx="3">
                  <c:v>918399.9999999999</c:v>
                </c:pt>
                <c:pt idx="4">
                  <c:v>941359.9999999998</c:v>
                </c:pt>
                <c:pt idx="5">
                  <c:v>964893.9999999997</c:v>
                </c:pt>
                <c:pt idx="6">
                  <c:v>989016.3499999995</c:v>
                </c:pt>
                <c:pt idx="7">
                  <c:v>1.01374175875E6</c:v>
                </c:pt>
                <c:pt idx="8">
                  <c:v>1.03908530271875E6</c:v>
                </c:pt>
                <c:pt idx="9">
                  <c:v>1.06506243528672E6</c:v>
                </c:pt>
                <c:pt idx="10">
                  <c:v>1.09168899616889E6</c:v>
                </c:pt>
                <c:pt idx="11">
                  <c:v>1.11898122107311E6</c:v>
                </c:pt>
                <c:pt idx="12">
                  <c:v>1.14695575159994E6</c:v>
                </c:pt>
                <c:pt idx="13">
                  <c:v>1.17562964538993E6</c:v>
                </c:pt>
                <c:pt idx="14">
                  <c:v>1.20502038652468E6</c:v>
                </c:pt>
                <c:pt idx="15">
                  <c:v>1.2351458961878E6</c:v>
                </c:pt>
                <c:pt idx="16">
                  <c:v>1.26602454359249E6</c:v>
                </c:pt>
                <c:pt idx="17">
                  <c:v>1.29767515718231E6</c:v>
                </c:pt>
                <c:pt idx="18">
                  <c:v>1.33011703611186E6</c:v>
                </c:pt>
                <c:pt idx="19">
                  <c:v>1.36336996201466E6</c:v>
                </c:pt>
                <c:pt idx="20">
                  <c:v>1.39745421106503E6</c:v>
                </c:pt>
                <c:pt idx="21">
                  <c:v>1.43239056634165E6</c:v>
                </c:pt>
                <c:pt idx="22">
                  <c:v>1.46820033050019E6</c:v>
                </c:pt>
                <c:pt idx="23">
                  <c:v>1.5049053387627E6</c:v>
                </c:pt>
                <c:pt idx="24">
                  <c:v>1.54252797223177E6</c:v>
                </c:pt>
                <c:pt idx="25">
                  <c:v>1.58109117153756E6</c:v>
                </c:pt>
                <c:pt idx="26">
                  <c:v>2.370618450826E6</c:v>
                </c:pt>
              </c:numCache>
            </c:numRef>
          </c:val>
        </c:ser>
        <c:ser>
          <c:idx val="2"/>
          <c:order val="2"/>
          <c:tx>
            <c:strRef>
              <c:f>Punto2!$D$27</c:f>
              <c:strCache>
                <c:ptCount val="1"/>
                <c:pt idx="0">
                  <c:v>EGRESO NETO</c:v>
                </c:pt>
              </c:strCache>
            </c:strRef>
          </c:tx>
          <c:invertIfNegative val="0"/>
          <c:val>
            <c:numRef>
              <c:f>Punto2!$D$28:$D$54</c:f>
              <c:numCache>
                <c:formatCode>General</c:formatCode>
                <c:ptCount val="27"/>
                <c:pt idx="0">
                  <c:v>-502400.0</c:v>
                </c:pt>
                <c:pt idx="1">
                  <c:v>-1.358E6</c:v>
                </c:pt>
                <c:pt idx="2">
                  <c:v>-567000.0</c:v>
                </c:pt>
                <c:pt idx="3">
                  <c:v>-567000.0</c:v>
                </c:pt>
                <c:pt idx="4">
                  <c:v>-567000.0</c:v>
                </c:pt>
                <c:pt idx="5">
                  <c:v>-567000.0</c:v>
                </c:pt>
                <c:pt idx="6">
                  <c:v>-567000.0</c:v>
                </c:pt>
                <c:pt idx="7">
                  <c:v>-567000.0</c:v>
                </c:pt>
                <c:pt idx="8">
                  <c:v>-567000.0</c:v>
                </c:pt>
                <c:pt idx="9">
                  <c:v>-567000.0</c:v>
                </c:pt>
                <c:pt idx="10">
                  <c:v>-567000.0</c:v>
                </c:pt>
                <c:pt idx="11">
                  <c:v>-567000.0</c:v>
                </c:pt>
                <c:pt idx="12">
                  <c:v>-567000.0</c:v>
                </c:pt>
                <c:pt idx="13">
                  <c:v>-567000.0</c:v>
                </c:pt>
                <c:pt idx="14">
                  <c:v>-567000.0</c:v>
                </c:pt>
                <c:pt idx="15">
                  <c:v>-567000.0</c:v>
                </c:pt>
                <c:pt idx="16">
                  <c:v>-567000.0</c:v>
                </c:pt>
                <c:pt idx="17">
                  <c:v>-567000.0</c:v>
                </c:pt>
                <c:pt idx="18">
                  <c:v>-567000.0</c:v>
                </c:pt>
                <c:pt idx="19">
                  <c:v>-567000.0</c:v>
                </c:pt>
                <c:pt idx="20">
                  <c:v>-567000.0</c:v>
                </c:pt>
                <c:pt idx="21">
                  <c:v>-567000.0</c:v>
                </c:pt>
                <c:pt idx="22">
                  <c:v>-567000.0</c:v>
                </c:pt>
                <c:pt idx="23">
                  <c:v>-567000.0</c:v>
                </c:pt>
                <c:pt idx="24">
                  <c:v>-567000.0</c:v>
                </c:pt>
                <c:pt idx="25">
                  <c:v>-567000.0</c:v>
                </c:pt>
                <c:pt idx="26">
                  <c:v>-567000.0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0019496"/>
        <c:axId val="-2080331160"/>
      </c:barChart>
      <c:catAx>
        <c:axId val="-20800194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331160"/>
        <c:crosses val="autoZero"/>
        <c:auto val="1"/>
        <c:lblAlgn val="ctr"/>
        <c:lblOffset val="100"/>
        <c:noMultiLvlLbl val="0"/>
      </c:catAx>
      <c:valAx>
        <c:axId val="-2080331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0019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Punto2!$A$27</c:f>
              <c:strCache>
                <c:ptCount val="1"/>
                <c:pt idx="0">
                  <c:v>PERIODO</c:v>
                </c:pt>
              </c:strCache>
            </c:strRef>
          </c:tx>
          <c:invertIfNegative val="0"/>
          <c:val>
            <c:numRef>
              <c:f>Punto2!$A$28:$A$54</c:f>
              <c:numCache>
                <c:formatCode>General</c:formatCode>
                <c:ptCount val="2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Punto2!$E$27</c:f>
              <c:strCache>
                <c:ptCount val="1"/>
                <c:pt idx="0">
                  <c:v>NETO</c:v>
                </c:pt>
              </c:strCache>
            </c:strRef>
          </c:tx>
          <c:invertIfNegative val="0"/>
          <c:val>
            <c:numRef>
              <c:f>Punto2!$E$28:$E$54</c:f>
              <c:numCache>
                <c:formatCode>General</c:formatCode>
                <c:ptCount val="27"/>
                <c:pt idx="0">
                  <c:v>-502400.0</c:v>
                </c:pt>
                <c:pt idx="1">
                  <c:v>-1.358E6</c:v>
                </c:pt>
                <c:pt idx="2">
                  <c:v>329000.0</c:v>
                </c:pt>
                <c:pt idx="3">
                  <c:v>351399.9999999998</c:v>
                </c:pt>
                <c:pt idx="4">
                  <c:v>374359.9999999997</c:v>
                </c:pt>
                <c:pt idx="5">
                  <c:v>397893.9999999996</c:v>
                </c:pt>
                <c:pt idx="6">
                  <c:v>422016.3499999995</c:v>
                </c:pt>
                <c:pt idx="7">
                  <c:v>446741.7587499995</c:v>
                </c:pt>
                <c:pt idx="8">
                  <c:v>472085.3027187494</c:v>
                </c:pt>
                <c:pt idx="9">
                  <c:v>498062.435286718</c:v>
                </c:pt>
                <c:pt idx="10">
                  <c:v>524688.9961688858</c:v>
                </c:pt>
                <c:pt idx="11">
                  <c:v>551981.2210731078</c:v>
                </c:pt>
                <c:pt idx="12">
                  <c:v>579955.7515999353</c:v>
                </c:pt>
                <c:pt idx="13">
                  <c:v>608629.6453899336</c:v>
                </c:pt>
                <c:pt idx="14">
                  <c:v>638020.386524682</c:v>
                </c:pt>
                <c:pt idx="15">
                  <c:v>668145.8961877988</c:v>
                </c:pt>
                <c:pt idx="16">
                  <c:v>699024.5435924937</c:v>
                </c:pt>
                <c:pt idx="17">
                  <c:v>730675.157182306</c:v>
                </c:pt>
                <c:pt idx="18">
                  <c:v>763117.0361118636</c:v>
                </c:pt>
                <c:pt idx="19">
                  <c:v>796369.96201466</c:v>
                </c:pt>
                <c:pt idx="20">
                  <c:v>830454.2110650264</c:v>
                </c:pt>
                <c:pt idx="21">
                  <c:v>865390.5663416521</c:v>
                </c:pt>
                <c:pt idx="22">
                  <c:v>901200.3305001931</c:v>
                </c:pt>
                <c:pt idx="23">
                  <c:v>937905.3387626977</c:v>
                </c:pt>
                <c:pt idx="24">
                  <c:v>975527.972231765</c:v>
                </c:pt>
                <c:pt idx="25">
                  <c:v>1.01409117153756E6</c:v>
                </c:pt>
                <c:pt idx="26">
                  <c:v>1.803618450826E6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9120824"/>
        <c:axId val="2089018632"/>
      </c:barChart>
      <c:catAx>
        <c:axId val="2089120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018632"/>
        <c:crosses val="autoZero"/>
        <c:auto val="1"/>
        <c:lblAlgn val="ctr"/>
        <c:lblOffset val="100"/>
        <c:noMultiLvlLbl val="0"/>
      </c:catAx>
      <c:valAx>
        <c:axId val="2089018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120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444500</xdr:colOff>
      <xdr:row>19</xdr:row>
      <xdr:rowOff>82550</xdr:rowOff>
    </xdr:from>
    <xdr:to>
      <xdr:col>23</xdr:col>
      <xdr:colOff>495300</xdr:colOff>
      <xdr:row>41</xdr:row>
      <xdr:rowOff>165100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42</xdr:row>
      <xdr:rowOff>76200</xdr:rowOff>
    </xdr:from>
    <xdr:to>
      <xdr:col>23</xdr:col>
      <xdr:colOff>508000</xdr:colOff>
      <xdr:row>65</xdr:row>
      <xdr:rowOff>25400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23" workbookViewId="0">
      <selection activeCell="B55" sqref="B55"/>
    </sheetView>
  </sheetViews>
  <sheetFormatPr baseColWidth="10" defaultRowHeight="15" x14ac:dyDescent="0"/>
  <cols>
    <col min="1" max="1" width="12.5" customWidth="1"/>
    <col min="2" max="2" width="20.33203125" customWidth="1"/>
    <col min="3" max="3" width="12.6640625" customWidth="1"/>
    <col min="4" max="4" width="18.1640625" customWidth="1"/>
    <col min="6" max="6" width="17" customWidth="1"/>
    <col min="7" max="7" width="12.5" customWidth="1"/>
    <col min="8" max="8" width="15" bestFit="1" customWidth="1"/>
    <col min="9" max="9" width="18" customWidth="1"/>
    <col min="10" max="10" width="12.664062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F1" t="s">
        <v>24</v>
      </c>
      <c r="G1" s="1">
        <v>0.1003</v>
      </c>
    </row>
    <row r="2" spans="1:7">
      <c r="A2" s="3" t="s">
        <v>4</v>
      </c>
      <c r="B2" s="3" t="s">
        <v>9</v>
      </c>
      <c r="C2" s="3">
        <v>8</v>
      </c>
      <c r="D2" s="3">
        <v>28000</v>
      </c>
    </row>
    <row r="3" spans="1:7">
      <c r="A3" s="3" t="s">
        <v>5</v>
      </c>
      <c r="B3" s="3" t="s">
        <v>10</v>
      </c>
      <c r="C3" s="3">
        <v>8</v>
      </c>
      <c r="D3" s="3">
        <v>35000</v>
      </c>
    </row>
    <row r="4" spans="1:7">
      <c r="A4" s="3" t="s">
        <v>6</v>
      </c>
      <c r="B4" s="3" t="s">
        <v>11</v>
      </c>
      <c r="C4" s="3">
        <v>12</v>
      </c>
      <c r="D4" s="3">
        <v>90000</v>
      </c>
    </row>
    <row r="5" spans="1:7">
      <c r="A5" s="3" t="s">
        <v>7</v>
      </c>
      <c r="B5" s="3" t="s">
        <v>12</v>
      </c>
      <c r="C5" s="3">
        <v>248</v>
      </c>
      <c r="D5" s="3">
        <v>800</v>
      </c>
    </row>
    <row r="6" spans="1:7">
      <c r="A6" s="3" t="s">
        <v>8</v>
      </c>
      <c r="B6" s="3" t="s">
        <v>13</v>
      </c>
      <c r="C6" s="3">
        <v>6</v>
      </c>
      <c r="D6" s="3">
        <v>13000</v>
      </c>
    </row>
    <row r="9" spans="1:7">
      <c r="A9" t="s">
        <v>14</v>
      </c>
    </row>
    <row r="10" spans="1:7">
      <c r="A10" s="5" t="s">
        <v>0</v>
      </c>
      <c r="B10" s="5" t="s">
        <v>2</v>
      </c>
      <c r="C10" s="5" t="s">
        <v>15</v>
      </c>
    </row>
    <row r="11" spans="1:7">
      <c r="A11" s="3" t="s">
        <v>4</v>
      </c>
      <c r="B11" s="3">
        <f>C2/2</f>
        <v>4</v>
      </c>
      <c r="C11" s="3">
        <f>D2*B11</f>
        <v>112000</v>
      </c>
    </row>
    <row r="12" spans="1:7">
      <c r="A12" s="3" t="s">
        <v>5</v>
      </c>
      <c r="B12" s="3">
        <f>C3/2</f>
        <v>4</v>
      </c>
      <c r="C12" s="3">
        <f t="shared" ref="C12:C15" si="0">D3*B12</f>
        <v>140000</v>
      </c>
    </row>
    <row r="13" spans="1:7">
      <c r="A13" s="3" t="s">
        <v>6</v>
      </c>
      <c r="B13" s="3">
        <v>0</v>
      </c>
      <c r="C13" s="3">
        <f t="shared" si="0"/>
        <v>0</v>
      </c>
    </row>
    <row r="14" spans="1:7">
      <c r="A14" s="3" t="s">
        <v>7</v>
      </c>
      <c r="B14" s="3">
        <f>C5</f>
        <v>248</v>
      </c>
      <c r="C14" s="3">
        <f t="shared" si="0"/>
        <v>198400</v>
      </c>
      <c r="F14" s="4"/>
    </row>
    <row r="15" spans="1:7">
      <c r="A15" s="3" t="s">
        <v>8</v>
      </c>
      <c r="B15" s="3">
        <f>C6 - 2</f>
        <v>4</v>
      </c>
      <c r="C15" s="3">
        <f t="shared" si="0"/>
        <v>52000</v>
      </c>
    </row>
    <row r="17" spans="1:10">
      <c r="A17" t="s">
        <v>16</v>
      </c>
    </row>
    <row r="18" spans="1:10">
      <c r="A18" s="5" t="s">
        <v>0</v>
      </c>
      <c r="B18" s="5" t="s">
        <v>2</v>
      </c>
      <c r="C18" s="5" t="s">
        <v>15</v>
      </c>
    </row>
    <row r="19" spans="1:10">
      <c r="A19" s="3" t="s">
        <v>4</v>
      </c>
      <c r="B19" s="3">
        <f>C2 - B11</f>
        <v>4</v>
      </c>
      <c r="C19" s="3">
        <f>B19*D2</f>
        <v>112000</v>
      </c>
    </row>
    <row r="20" spans="1:10">
      <c r="A20" s="3" t="s">
        <v>5</v>
      </c>
      <c r="B20" s="3">
        <f t="shared" ref="B20:B23" si="1">C3 - B12</f>
        <v>4</v>
      </c>
      <c r="C20" s="3">
        <f t="shared" ref="C20:C23" si="2">B20*D3</f>
        <v>140000</v>
      </c>
    </row>
    <row r="21" spans="1:10">
      <c r="A21" s="3" t="s">
        <v>6</v>
      </c>
      <c r="B21" s="3">
        <f t="shared" si="1"/>
        <v>12</v>
      </c>
      <c r="C21" s="3">
        <f t="shared" si="2"/>
        <v>1080000</v>
      </c>
    </row>
    <row r="22" spans="1:10">
      <c r="A22" s="3" t="s">
        <v>7</v>
      </c>
      <c r="B22" s="3">
        <f t="shared" si="1"/>
        <v>0</v>
      </c>
      <c r="C22" s="3">
        <f t="shared" si="2"/>
        <v>0</v>
      </c>
    </row>
    <row r="23" spans="1:10">
      <c r="A23" s="3" t="s">
        <v>8</v>
      </c>
      <c r="B23" s="3">
        <f t="shared" si="1"/>
        <v>2</v>
      </c>
      <c r="C23" s="3">
        <f t="shared" si="2"/>
        <v>26000</v>
      </c>
    </row>
    <row r="27" spans="1:10">
      <c r="A27" s="5" t="s">
        <v>17</v>
      </c>
      <c r="B27" s="5" t="s">
        <v>19</v>
      </c>
      <c r="C27" s="5" t="s">
        <v>20</v>
      </c>
      <c r="D27" s="5" t="s">
        <v>22</v>
      </c>
      <c r="E27" s="5" t="s">
        <v>21</v>
      </c>
      <c r="F27" s="5" t="s">
        <v>28</v>
      </c>
      <c r="G27" s="5" t="s">
        <v>29</v>
      </c>
      <c r="H27" s="5" t="s">
        <v>30</v>
      </c>
      <c r="I27" s="3"/>
      <c r="J27" s="3" t="s">
        <v>27</v>
      </c>
    </row>
    <row r="28" spans="1:10">
      <c r="A28" s="3">
        <v>0</v>
      </c>
      <c r="B28" s="3">
        <v>0</v>
      </c>
      <c r="C28" s="3">
        <f>SUM(C11:C15)</f>
        <v>502400</v>
      </c>
      <c r="D28" s="3">
        <f>-C28</f>
        <v>-502400</v>
      </c>
      <c r="E28" s="3">
        <f>B28-C28</f>
        <v>-502400</v>
      </c>
      <c r="F28" s="3">
        <f>B28/(1+10.03%)^A28</f>
        <v>0</v>
      </c>
      <c r="G28" s="3">
        <f>C28/(1+10.03%)^A28</f>
        <v>502400</v>
      </c>
      <c r="H28" s="3">
        <f t="shared" ref="H28:H54" si="3">J28</f>
        <v>-502400</v>
      </c>
      <c r="I28" s="6"/>
      <c r="J28" s="3">
        <f>E28/(1+10.03%)^A28</f>
        <v>-502400</v>
      </c>
    </row>
    <row r="29" spans="1:10">
      <c r="A29" s="3">
        <v>1</v>
      </c>
      <c r="B29" s="3">
        <v>0</v>
      </c>
      <c r="C29" s="3">
        <f>SUM(C19:C23)</f>
        <v>1358000</v>
      </c>
      <c r="D29" s="3">
        <f>-C29</f>
        <v>-1358000</v>
      </c>
      <c r="E29" s="3">
        <f t="shared" ref="E29:E54" si="4">B29-C29</f>
        <v>-1358000</v>
      </c>
      <c r="F29" s="3">
        <f t="shared" ref="F29:F54" si="5">B29/(1+10.03%)^A29</f>
        <v>0</v>
      </c>
      <c r="G29" s="3">
        <f>C29/(1+10.03%)^A29</f>
        <v>1234208.8521312368</v>
      </c>
      <c r="H29" s="3">
        <f t="shared" si="3"/>
        <v>-1234208.8521312368</v>
      </c>
      <c r="I29" s="6"/>
      <c r="J29" s="3">
        <f t="shared" ref="J29:J54" si="6">E29/(1+10.03%)^A29</f>
        <v>-1234208.8521312368</v>
      </c>
    </row>
    <row r="30" spans="1:10">
      <c r="A30" s="3">
        <v>2</v>
      </c>
      <c r="B30" s="3">
        <v>896000</v>
      </c>
      <c r="C30" s="3">
        <v>567000</v>
      </c>
      <c r="D30" s="3">
        <f t="shared" ref="D30:D54" si="7">-C30</f>
        <v>-567000</v>
      </c>
      <c r="E30" s="3">
        <f t="shared" si="4"/>
        <v>329000</v>
      </c>
      <c r="F30" s="3">
        <f t="shared" si="5"/>
        <v>740092.12610618048</v>
      </c>
      <c r="G30" s="3">
        <f>C30/(1+10.03%)^A30</f>
        <v>468339.54855156736</v>
      </c>
      <c r="H30" s="3">
        <f t="shared" si="3"/>
        <v>271752.57755461318</v>
      </c>
      <c r="I30" s="6"/>
      <c r="J30" s="3">
        <f t="shared" si="6"/>
        <v>271752.57755461318</v>
      </c>
    </row>
    <row r="31" spans="1:10">
      <c r="A31" s="3">
        <v>3</v>
      </c>
      <c r="B31" s="3">
        <f>B30*(1 + 0.025)</f>
        <v>918399.99999999988</v>
      </c>
      <c r="C31" s="3">
        <v>567000</v>
      </c>
      <c r="D31" s="3">
        <f t="shared" si="7"/>
        <v>-567000</v>
      </c>
      <c r="E31" s="3">
        <f t="shared" si="4"/>
        <v>351399.99999999988</v>
      </c>
      <c r="F31" s="3">
        <f t="shared" si="5"/>
        <v>689443.26934366534</v>
      </c>
      <c r="G31" s="3">
        <f t="shared" ref="G31:G54" si="8">C31/(1+10.03%)^A31</f>
        <v>425647.14037223248</v>
      </c>
      <c r="H31" s="3">
        <f t="shared" si="3"/>
        <v>263796.12897143286</v>
      </c>
      <c r="I31" s="6"/>
      <c r="J31" s="3">
        <f t="shared" si="6"/>
        <v>263796.12897143286</v>
      </c>
    </row>
    <row r="32" spans="1:10">
      <c r="A32" s="3">
        <v>4</v>
      </c>
      <c r="B32" s="3">
        <f t="shared" ref="B32:B54" si="9">B31*(1 + 0.025)</f>
        <v>941359.99999999977</v>
      </c>
      <c r="C32" s="3">
        <v>567000</v>
      </c>
      <c r="D32" s="3">
        <f t="shared" si="7"/>
        <v>-567000</v>
      </c>
      <c r="E32" s="3">
        <f t="shared" si="4"/>
        <v>374359.99999999977</v>
      </c>
      <c r="F32" s="3">
        <f t="shared" si="5"/>
        <v>642260.61172158201</v>
      </c>
      <c r="G32" s="3">
        <f t="shared" si="8"/>
        <v>386846.44221778825</v>
      </c>
      <c r="H32" s="3">
        <f t="shared" si="3"/>
        <v>255414.16950379385</v>
      </c>
      <c r="I32" s="6"/>
      <c r="J32" s="3">
        <f t="shared" si="6"/>
        <v>255414.16950379385</v>
      </c>
    </row>
    <row r="33" spans="1:10">
      <c r="A33" s="3">
        <v>5</v>
      </c>
      <c r="B33" s="3">
        <f t="shared" si="9"/>
        <v>964893.99999999965</v>
      </c>
      <c r="C33" s="3">
        <v>567000</v>
      </c>
      <c r="D33" s="3">
        <f t="shared" si="7"/>
        <v>-567000</v>
      </c>
      <c r="E33" s="3">
        <f t="shared" si="4"/>
        <v>397893.99999999965</v>
      </c>
      <c r="F33" s="3">
        <f t="shared" si="5"/>
        <v>598306.94084760663</v>
      </c>
      <c r="G33" s="3">
        <f t="shared" si="8"/>
        <v>351582.69764408632</v>
      </c>
      <c r="H33" s="3">
        <f t="shared" si="3"/>
        <v>246724.24320352022</v>
      </c>
      <c r="I33" s="6"/>
      <c r="J33" s="3">
        <f t="shared" si="6"/>
        <v>246724.24320352022</v>
      </c>
    </row>
    <row r="34" spans="1:10">
      <c r="A34" s="3">
        <v>6</v>
      </c>
      <c r="B34" s="3">
        <f t="shared" si="9"/>
        <v>989016.34999999951</v>
      </c>
      <c r="C34" s="3">
        <v>567000</v>
      </c>
      <c r="D34" s="3">
        <f t="shared" si="7"/>
        <v>-567000</v>
      </c>
      <c r="E34" s="3">
        <f t="shared" si="4"/>
        <v>422016.34999999951</v>
      </c>
      <c r="F34" s="3">
        <f t="shared" si="5"/>
        <v>557361.27816849644</v>
      </c>
      <c r="G34" s="3">
        <f t="shared" si="8"/>
        <v>319533.48872497166</v>
      </c>
      <c r="H34" s="3">
        <f t="shared" si="3"/>
        <v>237827.78944352476</v>
      </c>
      <c r="I34" s="6"/>
      <c r="J34" s="3">
        <f t="shared" si="6"/>
        <v>237827.78944352476</v>
      </c>
    </row>
    <row r="35" spans="1:10">
      <c r="A35" s="3">
        <v>7</v>
      </c>
      <c r="B35" s="3">
        <f t="shared" si="9"/>
        <v>1013741.7587499995</v>
      </c>
      <c r="C35" s="3">
        <v>567000</v>
      </c>
      <c r="D35" s="3">
        <f t="shared" si="7"/>
        <v>-567000</v>
      </c>
      <c r="E35" s="3">
        <f t="shared" si="4"/>
        <v>446741.75874999946</v>
      </c>
      <c r="F35" s="3">
        <f t="shared" si="5"/>
        <v>519217.76799300994</v>
      </c>
      <c r="G35" s="3">
        <f t="shared" si="8"/>
        <v>290405.78817138204</v>
      </c>
      <c r="H35" s="3">
        <f t="shared" si="3"/>
        <v>228811.97982162787</v>
      </c>
      <c r="I35" s="6"/>
      <c r="J35" s="3">
        <f t="shared" si="6"/>
        <v>228811.97982162787</v>
      </c>
    </row>
    <row r="36" spans="1:10">
      <c r="A36" s="3">
        <v>8</v>
      </c>
      <c r="B36" s="3">
        <f t="shared" si="9"/>
        <v>1039085.3027187494</v>
      </c>
      <c r="C36" s="3">
        <v>567000</v>
      </c>
      <c r="D36" s="3">
        <f t="shared" si="7"/>
        <v>-567000</v>
      </c>
      <c r="E36" s="3">
        <f t="shared" si="4"/>
        <v>472085.30271874939</v>
      </c>
      <c r="F36" s="3">
        <f t="shared" si="5"/>
        <v>483684.64254551945</v>
      </c>
      <c r="G36" s="3">
        <f t="shared" si="8"/>
        <v>263933.28017030086</v>
      </c>
      <c r="H36" s="3">
        <f t="shared" si="3"/>
        <v>219751.36237521862</v>
      </c>
      <c r="I36" s="6"/>
      <c r="J36" s="3">
        <f t="shared" si="6"/>
        <v>219751.36237521862</v>
      </c>
    </row>
    <row r="37" spans="1:10">
      <c r="A37" s="3">
        <v>9</v>
      </c>
      <c r="B37" s="3">
        <f t="shared" si="9"/>
        <v>1065062.435286718</v>
      </c>
      <c r="C37" s="3">
        <v>567000</v>
      </c>
      <c r="D37" s="3">
        <f t="shared" si="7"/>
        <v>-567000</v>
      </c>
      <c r="E37" s="3">
        <f t="shared" si="4"/>
        <v>498062.43528671796</v>
      </c>
      <c r="F37" s="3">
        <f t="shared" si="5"/>
        <v>450583.2578470938</v>
      </c>
      <c r="G37" s="3">
        <f t="shared" si="8"/>
        <v>239873.9254478786</v>
      </c>
      <c r="H37" s="3">
        <f t="shared" si="3"/>
        <v>210709.33239921523</v>
      </c>
      <c r="I37" s="6"/>
      <c r="J37" s="3">
        <f t="shared" si="6"/>
        <v>210709.33239921523</v>
      </c>
    </row>
    <row r="38" spans="1:10">
      <c r="A38" s="3">
        <v>10</v>
      </c>
      <c r="B38" s="3">
        <f t="shared" si="9"/>
        <v>1091688.9961688858</v>
      </c>
      <c r="C38" s="3">
        <v>567000</v>
      </c>
      <c r="D38" s="3">
        <f t="shared" si="7"/>
        <v>-567000</v>
      </c>
      <c r="E38" s="3">
        <f t="shared" si="4"/>
        <v>524688.99616888585</v>
      </c>
      <c r="F38" s="3">
        <f t="shared" si="5"/>
        <v>419747.19557690731</v>
      </c>
      <c r="G38" s="3">
        <f t="shared" si="8"/>
        <v>218007.74829399126</v>
      </c>
      <c r="H38" s="3">
        <f t="shared" si="3"/>
        <v>201739.44728291608</v>
      </c>
      <c r="I38" s="6"/>
      <c r="J38" s="3">
        <f t="shared" si="6"/>
        <v>201739.44728291608</v>
      </c>
    </row>
    <row r="39" spans="1:10">
      <c r="A39" s="3">
        <v>11</v>
      </c>
      <c r="B39" s="3">
        <f t="shared" si="9"/>
        <v>1118981.2210731078</v>
      </c>
      <c r="C39" s="3">
        <v>567000</v>
      </c>
      <c r="D39" s="3">
        <f t="shared" si="7"/>
        <v>-567000</v>
      </c>
      <c r="E39" s="3">
        <f t="shared" si="4"/>
        <v>551981.22107310779</v>
      </c>
      <c r="F39" s="3">
        <f t="shared" si="5"/>
        <v>391021.42639855488</v>
      </c>
      <c r="G39" s="3">
        <f t="shared" si="8"/>
        <v>198134.82531490616</v>
      </c>
      <c r="H39" s="3">
        <f t="shared" si="3"/>
        <v>192886.60108364871</v>
      </c>
      <c r="I39" s="6"/>
      <c r="J39" s="3">
        <f t="shared" si="6"/>
        <v>192886.60108364871</v>
      </c>
    </row>
    <row r="40" spans="1:10">
      <c r="A40" s="3">
        <v>12</v>
      </c>
      <c r="B40" s="3">
        <f t="shared" si="9"/>
        <v>1146955.7515999353</v>
      </c>
      <c r="C40" s="3">
        <v>567000</v>
      </c>
      <c r="D40" s="3">
        <f t="shared" si="7"/>
        <v>-567000</v>
      </c>
      <c r="E40" s="3">
        <f t="shared" si="4"/>
        <v>579955.75159993535</v>
      </c>
      <c r="F40" s="3">
        <f t="shared" si="5"/>
        <v>364261.53054486838</v>
      </c>
      <c r="G40" s="3">
        <f t="shared" si="8"/>
        <v>180073.45752513511</v>
      </c>
      <c r="H40" s="3">
        <f t="shared" si="3"/>
        <v>184188.07301973327</v>
      </c>
      <c r="I40" s="6"/>
      <c r="J40" s="3">
        <f t="shared" si="6"/>
        <v>184188.07301973327</v>
      </c>
    </row>
    <row r="41" spans="1:10">
      <c r="A41" s="3">
        <v>13</v>
      </c>
      <c r="B41" s="3">
        <f t="shared" si="9"/>
        <v>1175629.6453899336</v>
      </c>
      <c r="C41" s="3">
        <v>567000</v>
      </c>
      <c r="D41" s="3">
        <f t="shared" si="7"/>
        <v>-567000</v>
      </c>
      <c r="E41" s="3">
        <f t="shared" si="4"/>
        <v>608629.6453899336</v>
      </c>
      <c r="F41" s="3">
        <f t="shared" si="5"/>
        <v>339332.97174269741</v>
      </c>
      <c r="G41" s="3">
        <f t="shared" si="8"/>
        <v>163658.5090658321</v>
      </c>
      <c r="H41" s="3">
        <f t="shared" si="3"/>
        <v>175674.46267686531</v>
      </c>
      <c r="I41" s="6"/>
      <c r="J41" s="3">
        <f t="shared" si="6"/>
        <v>175674.46267686531</v>
      </c>
    </row>
    <row r="42" spans="1:10">
      <c r="A42" s="3">
        <v>14</v>
      </c>
      <c r="B42" s="3">
        <f t="shared" si="9"/>
        <v>1205020.3865246819</v>
      </c>
      <c r="C42" s="3">
        <v>567000</v>
      </c>
      <c r="D42" s="3">
        <f t="shared" si="7"/>
        <v>-567000</v>
      </c>
      <c r="E42" s="3">
        <f t="shared" si="4"/>
        <v>638020.38652468193</v>
      </c>
      <c r="F42" s="3">
        <f t="shared" si="5"/>
        <v>316110.42082728789</v>
      </c>
      <c r="G42" s="3">
        <f t="shared" si="8"/>
        <v>148739.89736056721</v>
      </c>
      <c r="H42" s="3">
        <f t="shared" si="3"/>
        <v>167370.52346672065</v>
      </c>
      <c r="I42" s="6"/>
      <c r="J42" s="3">
        <f t="shared" si="6"/>
        <v>167370.52346672065</v>
      </c>
    </row>
    <row r="43" spans="1:10">
      <c r="A43" s="3">
        <v>15</v>
      </c>
      <c r="B43" s="3">
        <f t="shared" si="9"/>
        <v>1235145.8961877988</v>
      </c>
      <c r="C43" s="3">
        <v>567000</v>
      </c>
      <c r="D43" s="3">
        <f t="shared" si="7"/>
        <v>-567000</v>
      </c>
      <c r="E43" s="3">
        <f t="shared" si="4"/>
        <v>668145.89618779882</v>
      </c>
      <c r="F43" s="3">
        <f t="shared" si="5"/>
        <v>294477.12564570573</v>
      </c>
      <c r="G43" s="3">
        <f t="shared" si="8"/>
        <v>135181.22090390549</v>
      </c>
      <c r="H43" s="3">
        <f t="shared" si="3"/>
        <v>159295.90474180024</v>
      </c>
      <c r="I43" s="6"/>
      <c r="J43" s="3">
        <f t="shared" si="6"/>
        <v>159295.90474180024</v>
      </c>
    </row>
    <row r="44" spans="1:10">
      <c r="A44" s="3">
        <v>16</v>
      </c>
      <c r="B44" s="3">
        <f t="shared" si="9"/>
        <v>1266024.5435924937</v>
      </c>
      <c r="C44" s="3">
        <v>567000</v>
      </c>
      <c r="D44" s="3">
        <f t="shared" si="7"/>
        <v>-567000</v>
      </c>
      <c r="E44" s="3">
        <f t="shared" si="4"/>
        <v>699024.54359249375</v>
      </c>
      <c r="F44" s="3">
        <f t="shared" si="5"/>
        <v>274324.32408147631</v>
      </c>
      <c r="G44" s="3">
        <f t="shared" si="8"/>
        <v>122858.5121366041</v>
      </c>
      <c r="H44" s="3">
        <f t="shared" si="3"/>
        <v>151465.8119448722</v>
      </c>
      <c r="I44" s="6"/>
      <c r="J44" s="3">
        <f t="shared" si="6"/>
        <v>151465.8119448722</v>
      </c>
    </row>
    <row r="45" spans="1:10">
      <c r="A45" s="3">
        <v>17</v>
      </c>
      <c r="B45" s="3">
        <f t="shared" si="9"/>
        <v>1297675.1571823061</v>
      </c>
      <c r="C45" s="3">
        <v>567000</v>
      </c>
      <c r="D45" s="3">
        <f t="shared" si="7"/>
        <v>-567000</v>
      </c>
      <c r="E45" s="3">
        <f t="shared" si="4"/>
        <v>730675.15718230605</v>
      </c>
      <c r="F45" s="3">
        <f t="shared" si="5"/>
        <v>255550.69724939851</v>
      </c>
      <c r="G45" s="3">
        <f t="shared" si="8"/>
        <v>111659.10400491147</v>
      </c>
      <c r="H45" s="3">
        <f t="shared" si="3"/>
        <v>143891.59324448704</v>
      </c>
      <c r="I45" s="6"/>
      <c r="J45" s="3">
        <f t="shared" si="6"/>
        <v>143891.59324448704</v>
      </c>
    </row>
    <row r="46" spans="1:10">
      <c r="A46" s="3">
        <v>18</v>
      </c>
      <c r="B46" s="3">
        <f t="shared" si="9"/>
        <v>1330117.0361118636</v>
      </c>
      <c r="C46" s="3">
        <v>567000</v>
      </c>
      <c r="D46" s="3">
        <f t="shared" si="7"/>
        <v>-567000</v>
      </c>
      <c r="E46" s="3">
        <f t="shared" si="4"/>
        <v>763117.03611186356</v>
      </c>
      <c r="F46" s="3">
        <f t="shared" si="5"/>
        <v>238061.86011145453</v>
      </c>
      <c r="G46" s="3">
        <f t="shared" si="8"/>
        <v>101480.59984087199</v>
      </c>
      <c r="H46" s="3">
        <f t="shared" si="3"/>
        <v>136581.26027058251</v>
      </c>
      <c r="I46" s="6"/>
      <c r="J46" s="3">
        <f t="shared" si="6"/>
        <v>136581.26027058251</v>
      </c>
    </row>
    <row r="47" spans="1:10">
      <c r="A47" s="3">
        <v>19</v>
      </c>
      <c r="B47" s="3">
        <f t="shared" si="9"/>
        <v>1363369.96201466</v>
      </c>
      <c r="C47" s="3">
        <v>567000</v>
      </c>
      <c r="D47" s="3">
        <f t="shared" si="7"/>
        <v>-567000</v>
      </c>
      <c r="E47" s="3">
        <f t="shared" si="4"/>
        <v>796369.96201466001</v>
      </c>
      <c r="F47" s="3">
        <f t="shared" si="5"/>
        <v>221769.8869528682</v>
      </c>
      <c r="G47" s="3">
        <f t="shared" si="8"/>
        <v>92229.937145207674</v>
      </c>
      <c r="H47" s="3">
        <f t="shared" si="3"/>
        <v>129539.94980766052</v>
      </c>
      <c r="I47" s="6"/>
      <c r="J47" s="3">
        <f t="shared" si="6"/>
        <v>129539.94980766052</v>
      </c>
    </row>
    <row r="48" spans="1:10">
      <c r="A48" s="3">
        <v>20</v>
      </c>
      <c r="B48" s="3">
        <f t="shared" si="9"/>
        <v>1397454.2110650265</v>
      </c>
      <c r="C48" s="3">
        <v>567000</v>
      </c>
      <c r="D48" s="3">
        <f t="shared" si="7"/>
        <v>-567000</v>
      </c>
      <c r="E48" s="3">
        <f t="shared" si="4"/>
        <v>830454.21106502647</v>
      </c>
      <c r="F48" s="3">
        <f t="shared" si="5"/>
        <v>206592.86933262734</v>
      </c>
      <c r="G48" s="3">
        <f t="shared" si="8"/>
        <v>83822.536712903442</v>
      </c>
      <c r="H48" s="3">
        <f t="shared" si="3"/>
        <v>122770.33261972389</v>
      </c>
      <c r="I48" s="6"/>
      <c r="J48" s="3">
        <f t="shared" si="6"/>
        <v>122770.33261972389</v>
      </c>
    </row>
    <row r="49" spans="1:10">
      <c r="A49" s="3">
        <v>21</v>
      </c>
      <c r="B49" s="3">
        <f t="shared" si="9"/>
        <v>1432390.5663416521</v>
      </c>
      <c r="C49" s="3">
        <v>567000</v>
      </c>
      <c r="D49" s="3">
        <f t="shared" si="7"/>
        <v>-567000</v>
      </c>
      <c r="E49" s="3">
        <f t="shared" si="4"/>
        <v>865390.56634165207</v>
      </c>
      <c r="F49" s="3">
        <f t="shared" si="5"/>
        <v>192454.50428605199</v>
      </c>
      <c r="G49" s="3">
        <f t="shared" si="8"/>
        <v>76181.529321915325</v>
      </c>
      <c r="H49" s="3">
        <f t="shared" si="3"/>
        <v>116272.97496413665</v>
      </c>
      <c r="I49" s="6"/>
      <c r="J49" s="3">
        <f t="shared" si="6"/>
        <v>116272.97496413665</v>
      </c>
    </row>
    <row r="50" spans="1:10">
      <c r="A50" s="3">
        <v>22</v>
      </c>
      <c r="B50" s="3">
        <f t="shared" si="9"/>
        <v>1468200.3305001932</v>
      </c>
      <c r="C50" s="3">
        <v>567000</v>
      </c>
      <c r="D50" s="3">
        <f t="shared" si="7"/>
        <v>-567000</v>
      </c>
      <c r="E50" s="3">
        <f t="shared" si="4"/>
        <v>901200.33050019317</v>
      </c>
      <c r="F50" s="3">
        <f t="shared" si="5"/>
        <v>179283.71070908231</v>
      </c>
      <c r="G50" s="3">
        <f t="shared" si="8"/>
        <v>69237.052914582688</v>
      </c>
      <c r="H50" s="3">
        <f t="shared" si="3"/>
        <v>110046.65779449961</v>
      </c>
      <c r="I50" s="6"/>
      <c r="J50" s="3">
        <f t="shared" si="6"/>
        <v>110046.65779449961</v>
      </c>
    </row>
    <row r="51" spans="1:10">
      <c r="A51" s="3">
        <v>23</v>
      </c>
      <c r="B51" s="3">
        <f t="shared" si="9"/>
        <v>1504905.3387626978</v>
      </c>
      <c r="C51" s="3">
        <v>567000</v>
      </c>
      <c r="D51" s="3">
        <f t="shared" si="7"/>
        <v>-567000</v>
      </c>
      <c r="E51" s="3">
        <f t="shared" si="4"/>
        <v>937905.33876269776</v>
      </c>
      <c r="F51" s="3">
        <f t="shared" si="5"/>
        <v>167014.27199564604</v>
      </c>
      <c r="G51" s="3">
        <f t="shared" si="8"/>
        <v>62925.613845844484</v>
      </c>
      <c r="H51" s="3">
        <f t="shared" si="3"/>
        <v>104088.65814980154</v>
      </c>
      <c r="I51" s="6"/>
      <c r="J51" s="3">
        <f t="shared" si="6"/>
        <v>104088.65814980154</v>
      </c>
    </row>
    <row r="52" spans="1:10">
      <c r="A52" s="3">
        <v>24</v>
      </c>
      <c r="B52" s="3">
        <f t="shared" si="9"/>
        <v>1542527.972231765</v>
      </c>
      <c r="C52" s="3">
        <v>567000</v>
      </c>
      <c r="D52" s="3">
        <f t="shared" si="7"/>
        <v>-567000</v>
      </c>
      <c r="E52" s="3">
        <f t="shared" si="4"/>
        <v>975527.97223176504</v>
      </c>
      <c r="F52" s="3">
        <f t="shared" si="5"/>
        <v>155584.50313145245</v>
      </c>
      <c r="G52" s="3">
        <f t="shared" si="8"/>
        <v>57189.506358124578</v>
      </c>
      <c r="H52" s="3">
        <f t="shared" si="3"/>
        <v>98394.996773327875</v>
      </c>
      <c r="I52" s="6"/>
      <c r="J52" s="3">
        <f t="shared" si="6"/>
        <v>98394.996773327875</v>
      </c>
    </row>
    <row r="53" spans="1:10">
      <c r="A53" s="3">
        <v>25</v>
      </c>
      <c r="B53" s="3">
        <f t="shared" si="9"/>
        <v>1581091.171537559</v>
      </c>
      <c r="C53" s="3">
        <v>567000</v>
      </c>
      <c r="D53" s="3">
        <f t="shared" si="7"/>
        <v>-567000</v>
      </c>
      <c r="E53" s="3">
        <f t="shared" si="4"/>
        <v>1014091.171537559</v>
      </c>
      <c r="F53" s="3">
        <f t="shared" si="5"/>
        <v>144936.94057051599</v>
      </c>
      <c r="G53" s="3">
        <f t="shared" si="8"/>
        <v>51976.284975120034</v>
      </c>
      <c r="H53" s="3">
        <f t="shared" si="3"/>
        <v>92960.655595395947</v>
      </c>
      <c r="I53" s="6"/>
      <c r="J53" s="3">
        <f t="shared" si="6"/>
        <v>92960.655595395947</v>
      </c>
    </row>
    <row r="54" spans="1:10">
      <c r="A54" s="3">
        <v>26</v>
      </c>
      <c r="B54" s="3">
        <f>B53*(1 + 0.025) + 750000</f>
        <v>2370618.4508259976</v>
      </c>
      <c r="C54" s="3">
        <v>567000</v>
      </c>
      <c r="D54" s="3">
        <f t="shared" si="7"/>
        <v>-567000</v>
      </c>
      <c r="E54" s="3">
        <f t="shared" si="4"/>
        <v>1803618.4508259976</v>
      </c>
      <c r="F54" s="3">
        <f t="shared" si="5"/>
        <v>197502.55729102844</v>
      </c>
      <c r="G54" s="3">
        <f t="shared" si="8"/>
        <v>47238.284990566244</v>
      </c>
      <c r="H54" s="3">
        <f t="shared" si="3"/>
        <v>150264.27230046218</v>
      </c>
      <c r="I54" s="6"/>
      <c r="J54" s="3">
        <f t="shared" si="6"/>
        <v>150264.27230046218</v>
      </c>
    </row>
    <row r="55" spans="1:10">
      <c r="A55" t="s">
        <v>25</v>
      </c>
      <c r="B55" s="2">
        <f>NPV(10.03%,E29:E54)+E28</f>
        <v>2635610.9068783452</v>
      </c>
      <c r="F55">
        <f>SUM(F28:F54)</f>
        <v>9038976.6910207812</v>
      </c>
      <c r="G55">
        <f>SUM(G28:G54)</f>
        <v>6403365.7841424327</v>
      </c>
      <c r="J55">
        <f>SUM(J28:J54)</f>
        <v>2635610.9068783438</v>
      </c>
    </row>
    <row r="56" spans="1:10">
      <c r="A56" t="s">
        <v>26</v>
      </c>
      <c r="B56">
        <f>F55/G55</f>
        <v>1.4115977433938394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12" sqref="C12"/>
    </sheetView>
  </sheetViews>
  <sheetFormatPr baseColWidth="10" defaultColWidth="13.6640625" defaultRowHeight="15" x14ac:dyDescent="0"/>
  <cols>
    <col min="1" max="1" width="22.1640625" bestFit="1" customWidth="1"/>
    <col min="2" max="2" width="24.6640625" customWidth="1"/>
    <col min="5" max="5" width="18.5" bestFit="1" customWidth="1"/>
    <col min="6" max="6" width="16.33203125" customWidth="1"/>
    <col min="8" max="8" width="15.6640625" customWidth="1"/>
  </cols>
  <sheetData>
    <row r="1" spans="1:8">
      <c r="A1" s="7" t="s">
        <v>31</v>
      </c>
      <c r="B1" s="7">
        <v>3000000000</v>
      </c>
      <c r="F1" t="s">
        <v>36</v>
      </c>
      <c r="G1" s="8">
        <v>0.2</v>
      </c>
    </row>
    <row r="2" spans="1:8">
      <c r="A2" s="7" t="s">
        <v>32</v>
      </c>
      <c r="B2" s="7">
        <v>6000000000</v>
      </c>
    </row>
    <row r="3" spans="1:8">
      <c r="A3" t="s">
        <v>33</v>
      </c>
      <c r="B3">
        <v>1500000000</v>
      </c>
    </row>
    <row r="5" spans="1:8">
      <c r="A5" s="5" t="s">
        <v>17</v>
      </c>
      <c r="B5" s="5" t="s">
        <v>23</v>
      </c>
      <c r="C5" s="5" t="s">
        <v>18</v>
      </c>
      <c r="D5" s="5" t="s">
        <v>22</v>
      </c>
      <c r="E5" s="5" t="s">
        <v>21</v>
      </c>
      <c r="F5" s="5" t="s">
        <v>37</v>
      </c>
      <c r="G5" s="5" t="s">
        <v>39</v>
      </c>
      <c r="H5" s="5" t="s">
        <v>41</v>
      </c>
    </row>
    <row r="6" spans="1:8">
      <c r="A6" s="3">
        <v>0</v>
      </c>
      <c r="B6" s="3">
        <f>(B1+B2+B3)</f>
        <v>10500000000</v>
      </c>
      <c r="C6" s="3">
        <v>0</v>
      </c>
      <c r="D6" s="3">
        <f>-(B1+B2+B3)</f>
        <v>-10500000000</v>
      </c>
      <c r="E6" s="3">
        <f>C6-B6</f>
        <v>-10500000000</v>
      </c>
      <c r="F6" s="3">
        <v>0</v>
      </c>
      <c r="G6" s="3">
        <f>B1+B2+3000000000</f>
        <v>12000000000</v>
      </c>
      <c r="H6" s="3">
        <f>C6-G6</f>
        <v>-12000000000</v>
      </c>
    </row>
    <row r="7" spans="1:8">
      <c r="A7" s="3">
        <v>1</v>
      </c>
      <c r="B7" s="3">
        <f>5000000000</f>
        <v>5000000000</v>
      </c>
      <c r="C7" s="3">
        <v>8500000000</v>
      </c>
      <c r="D7" s="3">
        <f>-5000000000</f>
        <v>-5000000000</v>
      </c>
      <c r="E7" s="3">
        <f>C7-B7</f>
        <v>3500000000</v>
      </c>
      <c r="F7" s="3">
        <f>C7</f>
        <v>8500000000</v>
      </c>
      <c r="G7" s="3">
        <v>6100000000</v>
      </c>
      <c r="H7" s="3">
        <f t="shared" ref="H7:H16" si="0">C7-G7</f>
        <v>2400000000</v>
      </c>
    </row>
    <row r="8" spans="1:8">
      <c r="A8" s="3">
        <v>2</v>
      </c>
      <c r="B8" s="3">
        <f t="shared" ref="B8:B16" si="1">5000000000</f>
        <v>5000000000</v>
      </c>
      <c r="C8" s="3">
        <v>8500000000</v>
      </c>
      <c r="D8" s="3">
        <f t="shared" ref="D8:D16" si="2">-5000000000</f>
        <v>-5000000000</v>
      </c>
      <c r="E8" s="3">
        <f>C8-B8</f>
        <v>3500000000</v>
      </c>
      <c r="F8" s="3">
        <f>F7</f>
        <v>8500000000</v>
      </c>
      <c r="G8" s="3">
        <v>6100000000</v>
      </c>
      <c r="H8" s="3">
        <f t="shared" si="0"/>
        <v>2400000000</v>
      </c>
    </row>
    <row r="9" spans="1:8">
      <c r="A9" s="3">
        <v>3</v>
      </c>
      <c r="B9" s="3">
        <f t="shared" si="1"/>
        <v>5000000000</v>
      </c>
      <c r="C9" s="3">
        <v>8500000000</v>
      </c>
      <c r="D9" s="3">
        <f t="shared" si="2"/>
        <v>-5000000000</v>
      </c>
      <c r="E9" s="3">
        <f>C9-B9</f>
        <v>3500000000</v>
      </c>
      <c r="F9" s="3">
        <f t="shared" ref="F9:F16" si="3">F8</f>
        <v>8500000000</v>
      </c>
      <c r="G9" s="3">
        <v>6100000000</v>
      </c>
      <c r="H9" s="3">
        <f t="shared" si="0"/>
        <v>2400000000</v>
      </c>
    </row>
    <row r="10" spans="1:8">
      <c r="A10" s="3">
        <v>4</v>
      </c>
      <c r="B10" s="3">
        <f t="shared" si="1"/>
        <v>5000000000</v>
      </c>
      <c r="C10" s="3">
        <v>8500000000</v>
      </c>
      <c r="D10" s="3">
        <f t="shared" si="2"/>
        <v>-5000000000</v>
      </c>
      <c r="E10" s="3">
        <f>C10-B10</f>
        <v>3500000000</v>
      </c>
      <c r="F10" s="3">
        <f t="shared" si="3"/>
        <v>8500000000</v>
      </c>
      <c r="G10" s="3">
        <v>6100000000</v>
      </c>
      <c r="H10" s="3">
        <f t="shared" si="0"/>
        <v>2400000000</v>
      </c>
    </row>
    <row r="11" spans="1:8">
      <c r="A11" s="3">
        <v>5</v>
      </c>
      <c r="B11" s="3">
        <f t="shared" si="1"/>
        <v>5000000000</v>
      </c>
      <c r="C11" s="3">
        <v>8500000000</v>
      </c>
      <c r="D11" s="3">
        <f t="shared" si="2"/>
        <v>-5000000000</v>
      </c>
      <c r="E11" s="3">
        <f>C11-B11</f>
        <v>3500000000</v>
      </c>
      <c r="F11" s="3">
        <f t="shared" si="3"/>
        <v>8500000000</v>
      </c>
      <c r="G11" s="3">
        <v>6100000000</v>
      </c>
      <c r="H11" s="3">
        <f t="shared" si="0"/>
        <v>2400000000</v>
      </c>
    </row>
    <row r="12" spans="1:8">
      <c r="A12" s="3">
        <v>6</v>
      </c>
      <c r="B12" s="3">
        <f t="shared" si="1"/>
        <v>5000000000</v>
      </c>
      <c r="C12" s="3">
        <v>10525462962.962965</v>
      </c>
      <c r="D12" s="3">
        <f t="shared" si="2"/>
        <v>-5000000000</v>
      </c>
      <c r="E12" s="3">
        <f>C12-B12</f>
        <v>5525462962.962965</v>
      </c>
      <c r="F12" s="3">
        <f t="shared" si="3"/>
        <v>8500000000</v>
      </c>
      <c r="G12" s="3">
        <v>6100000000</v>
      </c>
      <c r="H12" s="3">
        <f t="shared" si="0"/>
        <v>4425462962.962965</v>
      </c>
    </row>
    <row r="13" spans="1:8">
      <c r="A13" s="3">
        <v>7</v>
      </c>
      <c r="B13" s="3">
        <f t="shared" si="1"/>
        <v>5000000000</v>
      </c>
      <c r="C13" s="3">
        <v>8500000000</v>
      </c>
      <c r="D13" s="3">
        <f t="shared" si="2"/>
        <v>-5000000000</v>
      </c>
      <c r="E13" s="3">
        <f>C13-B13</f>
        <v>3500000000</v>
      </c>
      <c r="F13" s="3">
        <f t="shared" si="3"/>
        <v>8500000000</v>
      </c>
      <c r="G13" s="3">
        <v>6100000000</v>
      </c>
      <c r="H13" s="3">
        <f t="shared" si="0"/>
        <v>2400000000</v>
      </c>
    </row>
    <row r="14" spans="1:8">
      <c r="A14" s="3">
        <v>8</v>
      </c>
      <c r="B14" s="3">
        <f t="shared" si="1"/>
        <v>5000000000</v>
      </c>
      <c r="C14" s="3">
        <v>8500000000</v>
      </c>
      <c r="D14" s="3">
        <f t="shared" si="2"/>
        <v>-5000000000</v>
      </c>
      <c r="E14" s="3">
        <f>C14-B14</f>
        <v>3500000000</v>
      </c>
      <c r="F14" s="3">
        <f t="shared" si="3"/>
        <v>8500000000</v>
      </c>
      <c r="G14" s="3">
        <v>6100000000</v>
      </c>
      <c r="H14" s="3">
        <f t="shared" si="0"/>
        <v>2400000000</v>
      </c>
    </row>
    <row r="15" spans="1:8">
      <c r="A15" s="3">
        <v>9</v>
      </c>
      <c r="B15" s="3">
        <f t="shared" si="1"/>
        <v>5000000000</v>
      </c>
      <c r="C15" s="3">
        <v>8500000000</v>
      </c>
      <c r="D15" s="3">
        <f t="shared" si="2"/>
        <v>-5000000000</v>
      </c>
      <c r="E15" s="3">
        <f>C15-B15</f>
        <v>3500000000</v>
      </c>
      <c r="F15" s="3">
        <f t="shared" si="3"/>
        <v>8500000000</v>
      </c>
      <c r="G15" s="3">
        <v>6100000000</v>
      </c>
      <c r="H15" s="3">
        <f t="shared" si="0"/>
        <v>2400000000</v>
      </c>
    </row>
    <row r="16" spans="1:8">
      <c r="A16" s="3">
        <v>10</v>
      </c>
      <c r="B16" s="3">
        <f t="shared" si="1"/>
        <v>5000000000</v>
      </c>
      <c r="C16" s="3">
        <f>8500000000 + 7500000000 + 300000000</f>
        <v>16300000000</v>
      </c>
      <c r="D16" s="3">
        <f t="shared" si="2"/>
        <v>-5000000000</v>
      </c>
      <c r="E16" s="3">
        <f>C16-B16</f>
        <v>11300000000</v>
      </c>
      <c r="F16" s="3">
        <f t="shared" si="3"/>
        <v>8500000000</v>
      </c>
      <c r="G16" s="3">
        <v>6100000000</v>
      </c>
      <c r="H16" s="3">
        <f t="shared" si="0"/>
        <v>10200000000</v>
      </c>
    </row>
    <row r="18" spans="1:5">
      <c r="A18" t="s">
        <v>34</v>
      </c>
      <c r="B18" s="2">
        <f>NPV(G1,C7:C16)</f>
        <v>37574079721.859703</v>
      </c>
    </row>
    <row r="19" spans="1:5">
      <c r="A19" t="s">
        <v>35</v>
      </c>
      <c r="B19" s="2">
        <f>NPV(G1,B7:B16) + B6</f>
        <v>31462360427.753857</v>
      </c>
    </row>
    <row r="20" spans="1:5">
      <c r="A20" t="s">
        <v>25</v>
      </c>
      <c r="B20" s="2">
        <f>NPV(20%, E7:E16) + E6</f>
        <v>6111719294.1058521</v>
      </c>
      <c r="D20" t="s">
        <v>40</v>
      </c>
      <c r="E20" s="2">
        <f>NPV(20%, H7:H16) + H6</f>
        <v>0</v>
      </c>
    </row>
    <row r="21" spans="1:5">
      <c r="A21" t="s">
        <v>38</v>
      </c>
      <c r="B21" s="2">
        <f>NPV(20%,F7:F16)</f>
        <v>35636012727.181557</v>
      </c>
    </row>
    <row r="23" spans="1:5">
      <c r="A23" s="2">
        <f>PMT(G1,10,B20)</f>
        <v>-1457784135.3242896</v>
      </c>
    </row>
    <row r="24" spans="1:5">
      <c r="A24" s="2">
        <f>FV(G1,10,B20)</f>
        <v>-158652178313.47083</v>
      </c>
    </row>
    <row r="25" spans="1:5">
      <c r="A25" s="8">
        <f>IRR(E6:E16)</f>
        <v>0.34035479158537485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Punto2</vt:lpstr>
      <vt:lpstr>Punto4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Valencia Calderón</dc:creator>
  <cp:lastModifiedBy>Sebastián Valencia Calderón</cp:lastModifiedBy>
  <dcterms:created xsi:type="dcterms:W3CDTF">2015-03-06T12:17:49Z</dcterms:created>
  <dcterms:modified xsi:type="dcterms:W3CDTF">2015-03-06T18:27:25Z</dcterms:modified>
</cp:coreProperties>
</file>