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440" windowWidth="28800" windowHeight="18020" tabRatio="500" activeTab="3"/>
  </bookViews>
  <sheets>
    <sheet name="Punto1" sheetId="1" r:id="rId1"/>
    <sheet name="Punto2" sheetId="2" r:id="rId2"/>
    <sheet name="Punto3" sheetId="3" r:id="rId3"/>
    <sheet name="Punto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1" i="2" l="1"/>
  <c r="J107" i="2"/>
  <c r="J103" i="2"/>
  <c r="J99" i="2"/>
  <c r="B95" i="4"/>
  <c r="B94" i="4"/>
  <c r="E91" i="4"/>
  <c r="E89" i="4"/>
  <c r="E90" i="4"/>
  <c r="E88" i="4"/>
  <c r="D89" i="4"/>
  <c r="D88" i="4"/>
  <c r="D90" i="4"/>
  <c r="B90" i="4"/>
  <c r="C70" i="4"/>
  <c r="G70" i="4"/>
  <c r="H70" i="4"/>
  <c r="I70" i="4"/>
  <c r="K70" i="4"/>
  <c r="B71" i="4"/>
  <c r="D71" i="4"/>
  <c r="F71" i="4"/>
  <c r="I71" i="4"/>
  <c r="K71" i="4"/>
  <c r="G71" i="4"/>
  <c r="B72" i="4"/>
  <c r="D72" i="4"/>
  <c r="B67" i="4"/>
  <c r="E72" i="4"/>
  <c r="F72" i="4"/>
  <c r="I72" i="4"/>
  <c r="J72" i="4"/>
  <c r="K72" i="4"/>
  <c r="G72" i="4"/>
  <c r="B73" i="4"/>
  <c r="D73" i="4"/>
  <c r="F73" i="4"/>
  <c r="I73" i="4"/>
  <c r="K73" i="4"/>
  <c r="G73" i="4"/>
  <c r="B74" i="4"/>
  <c r="D74" i="4"/>
  <c r="E74" i="4"/>
  <c r="F74" i="4"/>
  <c r="I74" i="4"/>
  <c r="J74" i="4"/>
  <c r="K74" i="4"/>
  <c r="G74" i="4"/>
  <c r="B75" i="4"/>
  <c r="D75" i="4"/>
  <c r="F75" i="4"/>
  <c r="I75" i="4"/>
  <c r="K75" i="4"/>
  <c r="G75" i="4"/>
  <c r="B76" i="4"/>
  <c r="D76" i="4"/>
  <c r="E76" i="4"/>
  <c r="F76" i="4"/>
  <c r="I76" i="4"/>
  <c r="J76" i="4"/>
  <c r="K76" i="4"/>
  <c r="G76" i="4"/>
  <c r="B77" i="4"/>
  <c r="D77" i="4"/>
  <c r="F77" i="4"/>
  <c r="I77" i="4"/>
  <c r="K77" i="4"/>
  <c r="G77" i="4"/>
  <c r="B78" i="4"/>
  <c r="D78" i="4"/>
  <c r="E78" i="4"/>
  <c r="F78" i="4"/>
  <c r="I78" i="4"/>
  <c r="J78" i="4"/>
  <c r="K78" i="4"/>
  <c r="G78" i="4"/>
  <c r="B79" i="4"/>
  <c r="D79" i="4"/>
  <c r="F79" i="4"/>
  <c r="I79" i="4"/>
  <c r="K79" i="4"/>
  <c r="G79" i="4"/>
  <c r="B80" i="4"/>
  <c r="D80" i="4"/>
  <c r="E80" i="4"/>
  <c r="F80" i="4"/>
  <c r="I80" i="4"/>
  <c r="J80" i="4"/>
  <c r="K80" i="4"/>
  <c r="B81" i="4"/>
  <c r="B82" i="4"/>
  <c r="B89" i="4"/>
  <c r="B88" i="4"/>
  <c r="B124" i="2"/>
  <c r="C73" i="4"/>
  <c r="E73" i="4"/>
  <c r="H73" i="4"/>
  <c r="J73" i="4"/>
  <c r="C74" i="4"/>
  <c r="H74" i="4"/>
  <c r="C75" i="4"/>
  <c r="E75" i="4"/>
  <c r="H75" i="4"/>
  <c r="J75" i="4"/>
  <c r="C76" i="4"/>
  <c r="H76" i="4"/>
  <c r="C77" i="4"/>
  <c r="E77" i="4"/>
  <c r="H77" i="4"/>
  <c r="J77" i="4"/>
  <c r="C78" i="4"/>
  <c r="H78" i="4"/>
  <c r="C79" i="4"/>
  <c r="E79" i="4"/>
  <c r="H79" i="4"/>
  <c r="J79" i="4"/>
  <c r="C80" i="4"/>
  <c r="G80" i="4"/>
  <c r="H80" i="4"/>
  <c r="E71" i="4"/>
  <c r="C72" i="4"/>
  <c r="H72" i="4"/>
  <c r="J71" i="4"/>
  <c r="J70" i="4"/>
  <c r="H71" i="4"/>
  <c r="C71" i="4"/>
  <c r="B64" i="4"/>
  <c r="B62" i="4"/>
  <c r="B60" i="4"/>
  <c r="B61" i="4"/>
  <c r="J35" i="4"/>
  <c r="J36" i="4"/>
  <c r="J37" i="4"/>
  <c r="J38" i="4"/>
  <c r="J39" i="4"/>
  <c r="J40" i="4"/>
  <c r="J41" i="4"/>
  <c r="J42" i="4"/>
  <c r="J43" i="4"/>
  <c r="J44" i="4"/>
  <c r="J34" i="4"/>
  <c r="I35" i="4"/>
  <c r="I36" i="4"/>
  <c r="I37" i="4"/>
  <c r="I38" i="4"/>
  <c r="I39" i="4"/>
  <c r="I40" i="4"/>
  <c r="I41" i="4"/>
  <c r="I42" i="4"/>
  <c r="I43" i="4"/>
  <c r="I44" i="4"/>
  <c r="I34" i="4"/>
  <c r="H36" i="4"/>
  <c r="H37" i="4"/>
  <c r="H38" i="4"/>
  <c r="H39" i="4"/>
  <c r="H40" i="4"/>
  <c r="H41" i="4"/>
  <c r="H42" i="4"/>
  <c r="H43" i="4"/>
  <c r="H44" i="4"/>
  <c r="H35" i="4"/>
  <c r="G36" i="4"/>
  <c r="G37" i="4"/>
  <c r="G38" i="4"/>
  <c r="G39" i="4"/>
  <c r="G40" i="4"/>
  <c r="G41" i="4"/>
  <c r="G42" i="4"/>
  <c r="G43" i="4"/>
  <c r="G44" i="4"/>
  <c r="G35" i="4"/>
  <c r="F44" i="4"/>
  <c r="F34" i="4"/>
  <c r="E35" i="4"/>
  <c r="E36" i="4"/>
  <c r="E37" i="4"/>
  <c r="E38" i="4"/>
  <c r="E39" i="4"/>
  <c r="E40" i="4"/>
  <c r="E41" i="4"/>
  <c r="E42" i="4"/>
  <c r="E43" i="4"/>
  <c r="E44" i="4"/>
  <c r="E34" i="4"/>
  <c r="C36" i="4"/>
  <c r="C37" i="4"/>
  <c r="C38" i="4"/>
  <c r="C39" i="4"/>
  <c r="C40" i="4"/>
  <c r="C41" i="4"/>
  <c r="C42" i="4"/>
  <c r="C43" i="4"/>
  <c r="C44" i="4"/>
  <c r="C35" i="4"/>
  <c r="B36" i="4"/>
  <c r="B37" i="4"/>
  <c r="B38" i="4"/>
  <c r="B39" i="4"/>
  <c r="B40" i="4"/>
  <c r="B41" i="4"/>
  <c r="B42" i="4"/>
  <c r="B43" i="4"/>
  <c r="B44" i="4"/>
  <c r="B35" i="4"/>
  <c r="D11" i="4"/>
  <c r="D35" i="4"/>
  <c r="D36" i="4"/>
  <c r="D37" i="4"/>
  <c r="D38" i="4"/>
  <c r="D39" i="4"/>
  <c r="D40" i="4"/>
  <c r="D41" i="4"/>
  <c r="D42" i="4"/>
  <c r="D43" i="4"/>
  <c r="D44" i="4"/>
  <c r="D34" i="4"/>
  <c r="T7" i="4"/>
  <c r="U7" i="4"/>
  <c r="V7" i="4"/>
  <c r="W7" i="4"/>
  <c r="T8" i="4"/>
  <c r="U8" i="4"/>
  <c r="V8" i="4"/>
  <c r="W8" i="4"/>
  <c r="T9" i="4"/>
  <c r="U9" i="4"/>
  <c r="V9" i="4"/>
  <c r="W9" i="4"/>
  <c r="T10" i="4"/>
  <c r="U10" i="4"/>
  <c r="V10" i="4"/>
  <c r="W10" i="4"/>
  <c r="T11" i="4"/>
  <c r="U11" i="4"/>
  <c r="V11" i="4"/>
  <c r="W11" i="4"/>
  <c r="T12" i="4"/>
  <c r="U12" i="4"/>
  <c r="V12" i="4"/>
  <c r="W12" i="4"/>
  <c r="T13" i="4"/>
  <c r="U13" i="4"/>
  <c r="V13" i="4"/>
  <c r="W13" i="4"/>
  <c r="T14" i="4"/>
  <c r="U14" i="4"/>
  <c r="V14" i="4"/>
  <c r="W14" i="4"/>
  <c r="T15" i="4"/>
  <c r="U15" i="4"/>
  <c r="V15" i="4"/>
  <c r="W15" i="4"/>
  <c r="W6" i="4"/>
  <c r="U6" i="4"/>
  <c r="W5" i="4"/>
  <c r="V6" i="4"/>
  <c r="T6" i="4"/>
  <c r="N7" i="4"/>
  <c r="O7" i="4"/>
  <c r="P7" i="4"/>
  <c r="Q7" i="4"/>
  <c r="N8" i="4"/>
  <c r="O8" i="4"/>
  <c r="P8" i="4"/>
  <c r="Q8" i="4"/>
  <c r="N9" i="4"/>
  <c r="O9" i="4"/>
  <c r="P9" i="4"/>
  <c r="Q9" i="4"/>
  <c r="N10" i="4"/>
  <c r="O10" i="4"/>
  <c r="P10" i="4"/>
  <c r="Q10" i="4"/>
  <c r="N11" i="4"/>
  <c r="O11" i="4"/>
  <c r="P11" i="4"/>
  <c r="Q11" i="4"/>
  <c r="N12" i="4"/>
  <c r="O12" i="4"/>
  <c r="P12" i="4"/>
  <c r="Q12" i="4"/>
  <c r="N13" i="4"/>
  <c r="O13" i="4"/>
  <c r="P13" i="4"/>
  <c r="Q13" i="4"/>
  <c r="N14" i="4"/>
  <c r="O14" i="4"/>
  <c r="P14" i="4"/>
  <c r="Q14" i="4"/>
  <c r="N15" i="4"/>
  <c r="O15" i="4"/>
  <c r="P15" i="4"/>
  <c r="Q15" i="4"/>
  <c r="Q6" i="4"/>
  <c r="O6" i="4"/>
  <c r="Q5" i="4"/>
  <c r="P6" i="4"/>
  <c r="N6" i="4"/>
  <c r="H7" i="4"/>
  <c r="I7" i="4"/>
  <c r="J7" i="4"/>
  <c r="K7" i="4"/>
  <c r="H8" i="4"/>
  <c r="I8" i="4"/>
  <c r="J8" i="4"/>
  <c r="K8" i="4"/>
  <c r="H9" i="4"/>
  <c r="I9" i="4"/>
  <c r="J9" i="4"/>
  <c r="K9" i="4"/>
  <c r="H10" i="4"/>
  <c r="I10" i="4"/>
  <c r="J10" i="4"/>
  <c r="K10" i="4"/>
  <c r="H11" i="4"/>
  <c r="I11" i="4"/>
  <c r="J11" i="4"/>
  <c r="K11" i="4"/>
  <c r="H12" i="4"/>
  <c r="I12" i="4"/>
  <c r="J12" i="4"/>
  <c r="K12" i="4"/>
  <c r="H13" i="4"/>
  <c r="I13" i="4"/>
  <c r="J13" i="4"/>
  <c r="K13" i="4"/>
  <c r="H14" i="4"/>
  <c r="I14" i="4"/>
  <c r="J14" i="4"/>
  <c r="K14" i="4"/>
  <c r="H15" i="4"/>
  <c r="I15" i="4"/>
  <c r="J15" i="4"/>
  <c r="K15" i="4"/>
  <c r="K6" i="4"/>
  <c r="J6" i="4"/>
  <c r="I6" i="4"/>
  <c r="H6" i="4"/>
  <c r="K5" i="4"/>
  <c r="B12" i="4"/>
  <c r="B13" i="4"/>
  <c r="D13" i="4"/>
  <c r="D12" i="4"/>
  <c r="C13" i="4"/>
  <c r="C12" i="4"/>
  <c r="E12" i="4"/>
  <c r="E13" i="4"/>
  <c r="E14" i="4"/>
  <c r="E15" i="4"/>
  <c r="E16" i="4"/>
  <c r="E17" i="4"/>
  <c r="E18" i="4"/>
  <c r="E19" i="4"/>
  <c r="E20" i="4"/>
  <c r="C11" i="4"/>
  <c r="E11" i="4"/>
  <c r="D14" i="4"/>
  <c r="D15" i="4"/>
  <c r="D16" i="4"/>
  <c r="D17" i="4"/>
  <c r="D18" i="4"/>
  <c r="D19" i="4"/>
  <c r="D20" i="4"/>
  <c r="C14" i="4"/>
  <c r="C15" i="4"/>
  <c r="C16" i="4"/>
  <c r="C17" i="4"/>
  <c r="C18" i="4"/>
  <c r="C19" i="4"/>
  <c r="C20" i="4"/>
  <c r="B15" i="4"/>
  <c r="B16" i="4"/>
  <c r="B17" i="4"/>
  <c r="B18" i="4"/>
  <c r="B19" i="4"/>
  <c r="B20" i="4"/>
  <c r="B14" i="4"/>
  <c r="C139" i="2"/>
  <c r="C138" i="2"/>
  <c r="C79" i="1"/>
  <c r="C80" i="1"/>
  <c r="C81" i="1"/>
  <c r="C82" i="1"/>
  <c r="C83" i="1"/>
  <c r="C84" i="1"/>
  <c r="C85" i="1"/>
  <c r="C86" i="1"/>
  <c r="C78" i="1"/>
  <c r="C52" i="1"/>
  <c r="C53" i="1"/>
  <c r="C54" i="1"/>
  <c r="C55" i="1"/>
  <c r="C56" i="1"/>
  <c r="C57" i="1"/>
  <c r="C58" i="1"/>
  <c r="C59" i="1"/>
  <c r="C60" i="1"/>
  <c r="C61" i="1"/>
  <c r="C62" i="1"/>
  <c r="C51" i="1"/>
  <c r="L40" i="3"/>
  <c r="L39" i="3"/>
  <c r="K38" i="3"/>
  <c r="K34" i="3"/>
  <c r="K30" i="3"/>
  <c r="B36" i="3"/>
  <c r="D36" i="3"/>
  <c r="F36" i="3"/>
  <c r="E36" i="3"/>
  <c r="G36" i="3"/>
  <c r="J36" i="3"/>
  <c r="L36" i="3"/>
  <c r="B37" i="3"/>
  <c r="D37" i="3"/>
  <c r="F37" i="3"/>
  <c r="E37" i="3"/>
  <c r="G37" i="3"/>
  <c r="J37" i="3"/>
  <c r="L37" i="3"/>
  <c r="B38" i="3"/>
  <c r="D38" i="3"/>
  <c r="F38" i="3"/>
  <c r="E38" i="3"/>
  <c r="J38" i="3"/>
  <c r="L38" i="3"/>
  <c r="F35" i="3"/>
  <c r="D35" i="3"/>
  <c r="E35" i="3"/>
  <c r="B35" i="3"/>
  <c r="G34" i="3"/>
  <c r="C34" i="3"/>
  <c r="B32" i="3"/>
  <c r="D32" i="3"/>
  <c r="E32" i="3"/>
  <c r="F32" i="3"/>
  <c r="G32" i="3"/>
  <c r="J32" i="3"/>
  <c r="L32" i="3"/>
  <c r="B33" i="3"/>
  <c r="D33" i="3"/>
  <c r="E33" i="3"/>
  <c r="F33" i="3"/>
  <c r="G33" i="3"/>
  <c r="J33" i="3"/>
  <c r="L33" i="3"/>
  <c r="B34" i="3"/>
  <c r="D34" i="3"/>
  <c r="E34" i="3"/>
  <c r="F34" i="3"/>
  <c r="J34" i="3"/>
  <c r="L34" i="3"/>
  <c r="E31" i="3"/>
  <c r="D31" i="3"/>
  <c r="G31" i="3"/>
  <c r="G30" i="3"/>
  <c r="B31" i="3"/>
  <c r="C30" i="3"/>
  <c r="B30" i="3"/>
  <c r="A26" i="3"/>
  <c r="C26" i="3"/>
  <c r="B26" i="3"/>
  <c r="J35" i="3"/>
  <c r="L35" i="3"/>
  <c r="G35" i="3"/>
  <c r="F31" i="3"/>
  <c r="J31" i="3"/>
  <c r="L31" i="3"/>
  <c r="D30" i="3"/>
  <c r="B27" i="3"/>
  <c r="E30" i="3"/>
  <c r="F30" i="3"/>
  <c r="J30" i="3"/>
  <c r="H26" i="3"/>
  <c r="I26" i="3"/>
  <c r="D27" i="3"/>
  <c r="B28" i="3"/>
  <c r="D28" i="3"/>
  <c r="B29" i="3"/>
  <c r="D29" i="3"/>
  <c r="L30" i="3"/>
  <c r="C29" i="3"/>
  <c r="F29" i="3"/>
  <c r="J29" i="3"/>
  <c r="L29" i="3"/>
  <c r="G29" i="3"/>
  <c r="C28" i="3"/>
  <c r="F28" i="3"/>
  <c r="J28" i="3"/>
  <c r="K28" i="3"/>
  <c r="L28" i="3"/>
  <c r="G28" i="3"/>
  <c r="C27" i="3"/>
  <c r="F27" i="3"/>
  <c r="J27" i="3"/>
  <c r="K27" i="3"/>
  <c r="L27" i="3"/>
  <c r="G27" i="3"/>
  <c r="F26" i="3"/>
  <c r="J26" i="3"/>
  <c r="L26" i="3"/>
  <c r="G26" i="3"/>
  <c r="E26" i="3"/>
  <c r="D26" i="3"/>
  <c r="K23" i="3"/>
  <c r="K18" i="3"/>
  <c r="B21" i="3"/>
  <c r="D21" i="3"/>
  <c r="F21" i="3"/>
  <c r="E21" i="3"/>
  <c r="G21" i="3"/>
  <c r="J21" i="3"/>
  <c r="L21" i="3"/>
  <c r="B22" i="3"/>
  <c r="D22" i="3"/>
  <c r="F22" i="3"/>
  <c r="E22" i="3"/>
  <c r="G22" i="3"/>
  <c r="J22" i="3"/>
  <c r="L22" i="3"/>
  <c r="B23" i="3"/>
  <c r="D23" i="3"/>
  <c r="F23" i="3"/>
  <c r="E23" i="3"/>
  <c r="J23" i="3"/>
  <c r="L23" i="3"/>
  <c r="E20" i="3"/>
  <c r="D20" i="3"/>
  <c r="B20" i="3"/>
  <c r="L19" i="3"/>
  <c r="J19" i="3"/>
  <c r="G19" i="3"/>
  <c r="F20" i="3"/>
  <c r="N22" i="3"/>
  <c r="N17" i="3"/>
  <c r="C19" i="3"/>
  <c r="B16" i="3"/>
  <c r="D16" i="3"/>
  <c r="E16" i="3"/>
  <c r="F16" i="3"/>
  <c r="G16" i="3"/>
  <c r="J16" i="3"/>
  <c r="L16" i="3"/>
  <c r="B17" i="3"/>
  <c r="D17" i="3"/>
  <c r="E17" i="3"/>
  <c r="F17" i="3"/>
  <c r="G17" i="3"/>
  <c r="J17" i="3"/>
  <c r="L17" i="3"/>
  <c r="B18" i="3"/>
  <c r="D18" i="3"/>
  <c r="E18" i="3"/>
  <c r="F18" i="3"/>
  <c r="G18" i="3"/>
  <c r="J18" i="3"/>
  <c r="L18" i="3"/>
  <c r="D15" i="3"/>
  <c r="F15" i="3"/>
  <c r="J15" i="3"/>
  <c r="G15" i="3"/>
  <c r="E15" i="3"/>
  <c r="B15" i="3"/>
  <c r="L15" i="3"/>
  <c r="G14" i="3"/>
  <c r="F14" i="3"/>
  <c r="D14" i="3"/>
  <c r="C14" i="3"/>
  <c r="J14" i="3"/>
  <c r="L14" i="3"/>
  <c r="C9" i="3"/>
  <c r="F9" i="3"/>
  <c r="H9" i="3"/>
  <c r="I9" i="3"/>
  <c r="J9" i="3"/>
  <c r="B13" i="3"/>
  <c r="B10" i="3"/>
  <c r="E13" i="3"/>
  <c r="G13" i="3"/>
  <c r="N20" i="3"/>
  <c r="J20" i="3"/>
  <c r="L20" i="3"/>
  <c r="G20" i="3"/>
  <c r="N11" i="3"/>
  <c r="D10" i="3"/>
  <c r="F10" i="3"/>
  <c r="C3" i="3"/>
  <c r="C10" i="3"/>
  <c r="J10" i="3"/>
  <c r="K10" i="3"/>
  <c r="L10" i="3"/>
  <c r="B11" i="3"/>
  <c r="D11" i="3"/>
  <c r="F11" i="3"/>
  <c r="C11" i="3"/>
  <c r="J11" i="3"/>
  <c r="K11" i="3"/>
  <c r="L11" i="3"/>
  <c r="B12" i="3"/>
  <c r="D12" i="3"/>
  <c r="F12" i="3"/>
  <c r="C12" i="3"/>
  <c r="J12" i="3"/>
  <c r="L12" i="3"/>
  <c r="D13" i="3"/>
  <c r="F13" i="3"/>
  <c r="J13" i="3"/>
  <c r="K13" i="3"/>
  <c r="L13" i="3"/>
  <c r="G11" i="3"/>
  <c r="G12" i="3"/>
  <c r="G10" i="3"/>
  <c r="B119" i="2"/>
  <c r="B120" i="2"/>
  <c r="C136" i="2"/>
  <c r="C140" i="2"/>
  <c r="K99" i="2"/>
  <c r="K103" i="2"/>
  <c r="K107" i="2"/>
  <c r="K111" i="2"/>
  <c r="K115" i="2"/>
  <c r="B126" i="2"/>
  <c r="B139" i="2"/>
  <c r="B144" i="2"/>
  <c r="B147" i="2"/>
  <c r="J113" i="2"/>
  <c r="J109" i="2"/>
  <c r="J105" i="2"/>
  <c r="J101" i="2"/>
  <c r="E112" i="2"/>
  <c r="E110" i="2"/>
  <c r="E108" i="2"/>
  <c r="E106" i="2"/>
  <c r="E104" i="2"/>
  <c r="E102" i="2"/>
  <c r="E100" i="2"/>
  <c r="E98" i="2"/>
  <c r="D95" i="2"/>
  <c r="K90" i="2"/>
  <c r="N21" i="3"/>
  <c r="L9" i="3"/>
  <c r="G9" i="3"/>
  <c r="E9" i="3"/>
  <c r="D9" i="3"/>
  <c r="B9" i="3"/>
  <c r="B3" i="3"/>
  <c r="B4" i="3"/>
  <c r="B40" i="2"/>
  <c r="B41" i="2"/>
  <c r="B136" i="2"/>
  <c r="C131" i="2"/>
  <c r="C132" i="2"/>
  <c r="C137" i="2"/>
  <c r="D131" i="2"/>
  <c r="D132" i="2"/>
  <c r="B131" i="2"/>
  <c r="B132" i="2"/>
  <c r="B44" i="2"/>
  <c r="B137" i="2"/>
  <c r="C49" i="2"/>
  <c r="B47" i="2"/>
  <c r="D49" i="2"/>
  <c r="F49" i="2"/>
  <c r="I49" i="2"/>
  <c r="K49" i="2"/>
  <c r="E51" i="2"/>
  <c r="E50" i="2"/>
  <c r="G49" i="2"/>
  <c r="B50" i="2"/>
  <c r="D50" i="2"/>
  <c r="F50" i="2"/>
  <c r="I50" i="2"/>
  <c r="K50" i="2"/>
  <c r="G50" i="2"/>
  <c r="B51" i="2"/>
  <c r="D51" i="2"/>
  <c r="F51" i="2"/>
  <c r="I51" i="2"/>
  <c r="K51" i="2"/>
  <c r="E52" i="2"/>
  <c r="G51" i="2"/>
  <c r="B52" i="2"/>
  <c r="D52" i="2"/>
  <c r="F52" i="2"/>
  <c r="I52" i="2"/>
  <c r="K52" i="2"/>
  <c r="D46" i="2"/>
  <c r="E53" i="2"/>
  <c r="G52" i="2"/>
  <c r="B53" i="2"/>
  <c r="D53" i="2"/>
  <c r="F53" i="2"/>
  <c r="I53" i="2"/>
  <c r="H49" i="2"/>
  <c r="J53" i="2"/>
  <c r="K53" i="2"/>
  <c r="E55" i="2"/>
  <c r="E54" i="2"/>
  <c r="G53" i="2"/>
  <c r="B54" i="2"/>
  <c r="D54" i="2"/>
  <c r="F54" i="2"/>
  <c r="I54" i="2"/>
  <c r="K54" i="2"/>
  <c r="G54" i="2"/>
  <c r="B55" i="2"/>
  <c r="D55" i="2"/>
  <c r="F55" i="2"/>
  <c r="I55" i="2"/>
  <c r="K55" i="2"/>
  <c r="E56" i="2"/>
  <c r="G55" i="2"/>
  <c r="B56" i="2"/>
  <c r="D56" i="2"/>
  <c r="F56" i="2"/>
  <c r="I56" i="2"/>
  <c r="K56" i="2"/>
  <c r="E57" i="2"/>
  <c r="G56" i="2"/>
  <c r="B57" i="2"/>
  <c r="D57" i="2"/>
  <c r="F57" i="2"/>
  <c r="I57" i="2"/>
  <c r="J57" i="2"/>
  <c r="K57" i="2"/>
  <c r="E59" i="2"/>
  <c r="E58" i="2"/>
  <c r="G57" i="2"/>
  <c r="B58" i="2"/>
  <c r="D58" i="2"/>
  <c r="F58" i="2"/>
  <c r="I58" i="2"/>
  <c r="K58" i="2"/>
  <c r="G58" i="2"/>
  <c r="B59" i="2"/>
  <c r="D59" i="2"/>
  <c r="F59" i="2"/>
  <c r="I59" i="2"/>
  <c r="K59" i="2"/>
  <c r="E60" i="2"/>
  <c r="G59" i="2"/>
  <c r="B60" i="2"/>
  <c r="D60" i="2"/>
  <c r="F60" i="2"/>
  <c r="I60" i="2"/>
  <c r="K60" i="2"/>
  <c r="E61" i="2"/>
  <c r="G60" i="2"/>
  <c r="B61" i="2"/>
  <c r="D61" i="2"/>
  <c r="F61" i="2"/>
  <c r="I61" i="2"/>
  <c r="J61" i="2"/>
  <c r="K61" i="2"/>
  <c r="E63" i="2"/>
  <c r="E62" i="2"/>
  <c r="G61" i="2"/>
  <c r="B62" i="2"/>
  <c r="D62" i="2"/>
  <c r="F62" i="2"/>
  <c r="I62" i="2"/>
  <c r="K62" i="2"/>
  <c r="G62" i="2"/>
  <c r="B63" i="2"/>
  <c r="D63" i="2"/>
  <c r="F63" i="2"/>
  <c r="I63" i="2"/>
  <c r="K63" i="2"/>
  <c r="E64" i="2"/>
  <c r="G63" i="2"/>
  <c r="B64" i="2"/>
  <c r="D64" i="2"/>
  <c r="F64" i="2"/>
  <c r="I64" i="2"/>
  <c r="K64" i="2"/>
  <c r="E65" i="2"/>
  <c r="G64" i="2"/>
  <c r="B65" i="2"/>
  <c r="D65" i="2"/>
  <c r="F65" i="2"/>
  <c r="I65" i="2"/>
  <c r="J65" i="2"/>
  <c r="K65" i="2"/>
  <c r="E67" i="2"/>
  <c r="E66" i="2"/>
  <c r="G65" i="2"/>
  <c r="B66" i="2"/>
  <c r="D66" i="2"/>
  <c r="F66" i="2"/>
  <c r="I66" i="2"/>
  <c r="K66" i="2"/>
  <c r="G66" i="2"/>
  <c r="B67" i="2"/>
  <c r="D67" i="2"/>
  <c r="F67" i="2"/>
  <c r="I67" i="2"/>
  <c r="K67" i="2"/>
  <c r="E68" i="2"/>
  <c r="G67" i="2"/>
  <c r="B68" i="2"/>
  <c r="D68" i="2"/>
  <c r="F68" i="2"/>
  <c r="I68" i="2"/>
  <c r="K68" i="2"/>
  <c r="E69" i="2"/>
  <c r="G68" i="2"/>
  <c r="B69" i="2"/>
  <c r="D69" i="2"/>
  <c r="F69" i="2"/>
  <c r="I69" i="2"/>
  <c r="J69" i="2"/>
  <c r="K69" i="2"/>
  <c r="E71" i="2"/>
  <c r="E70" i="2"/>
  <c r="G69" i="2"/>
  <c r="B70" i="2"/>
  <c r="D70" i="2"/>
  <c r="F70" i="2"/>
  <c r="I70" i="2"/>
  <c r="K70" i="2"/>
  <c r="G70" i="2"/>
  <c r="B71" i="2"/>
  <c r="D71" i="2"/>
  <c r="F71" i="2"/>
  <c r="I71" i="2"/>
  <c r="K71" i="2"/>
  <c r="E72" i="2"/>
  <c r="G71" i="2"/>
  <c r="B72" i="2"/>
  <c r="D72" i="2"/>
  <c r="F72" i="2"/>
  <c r="I72" i="2"/>
  <c r="K72" i="2"/>
  <c r="E73" i="2"/>
  <c r="G72" i="2"/>
  <c r="B73" i="2"/>
  <c r="D73" i="2"/>
  <c r="F73" i="2"/>
  <c r="I73" i="2"/>
  <c r="J73" i="2"/>
  <c r="K73" i="2"/>
  <c r="E75" i="2"/>
  <c r="E74" i="2"/>
  <c r="G73" i="2"/>
  <c r="B74" i="2"/>
  <c r="D74" i="2"/>
  <c r="F74" i="2"/>
  <c r="I74" i="2"/>
  <c r="K74" i="2"/>
  <c r="G74" i="2"/>
  <c r="B75" i="2"/>
  <c r="D75" i="2"/>
  <c r="F75" i="2"/>
  <c r="I75" i="2"/>
  <c r="K75" i="2"/>
  <c r="E76" i="2"/>
  <c r="G75" i="2"/>
  <c r="B76" i="2"/>
  <c r="D76" i="2"/>
  <c r="F76" i="2"/>
  <c r="I76" i="2"/>
  <c r="K76" i="2"/>
  <c r="E77" i="2"/>
  <c r="G76" i="2"/>
  <c r="B77" i="2"/>
  <c r="D77" i="2"/>
  <c r="F77" i="2"/>
  <c r="I77" i="2"/>
  <c r="J77" i="2"/>
  <c r="K77" i="2"/>
  <c r="E79" i="2"/>
  <c r="E78" i="2"/>
  <c r="G77" i="2"/>
  <c r="B78" i="2"/>
  <c r="D78" i="2"/>
  <c r="F78" i="2"/>
  <c r="I78" i="2"/>
  <c r="K78" i="2"/>
  <c r="G78" i="2"/>
  <c r="B79" i="2"/>
  <c r="D79" i="2"/>
  <c r="F79" i="2"/>
  <c r="I79" i="2"/>
  <c r="K79" i="2"/>
  <c r="E80" i="2"/>
  <c r="G79" i="2"/>
  <c r="B80" i="2"/>
  <c r="D80" i="2"/>
  <c r="F80" i="2"/>
  <c r="I80" i="2"/>
  <c r="K80" i="2"/>
  <c r="E81" i="2"/>
  <c r="G80" i="2"/>
  <c r="B81" i="2"/>
  <c r="D81" i="2"/>
  <c r="F81" i="2"/>
  <c r="I81" i="2"/>
  <c r="J81" i="2"/>
  <c r="K81" i="2"/>
  <c r="E83" i="2"/>
  <c r="E82" i="2"/>
  <c r="G81" i="2"/>
  <c r="B82" i="2"/>
  <c r="D82" i="2"/>
  <c r="F82" i="2"/>
  <c r="I82" i="2"/>
  <c r="K82" i="2"/>
  <c r="G82" i="2"/>
  <c r="B83" i="2"/>
  <c r="D83" i="2"/>
  <c r="F83" i="2"/>
  <c r="I83" i="2"/>
  <c r="K83" i="2"/>
  <c r="E84" i="2"/>
  <c r="G83" i="2"/>
  <c r="B84" i="2"/>
  <c r="D84" i="2"/>
  <c r="F84" i="2"/>
  <c r="I84" i="2"/>
  <c r="K84" i="2"/>
  <c r="E85" i="2"/>
  <c r="G84" i="2"/>
  <c r="B85" i="2"/>
  <c r="D85" i="2"/>
  <c r="F85" i="2"/>
  <c r="I85" i="2"/>
  <c r="J85" i="2"/>
  <c r="K85" i="2"/>
  <c r="E87" i="2"/>
  <c r="E86" i="2"/>
  <c r="G85" i="2"/>
  <c r="B86" i="2"/>
  <c r="D86" i="2"/>
  <c r="F86" i="2"/>
  <c r="I86" i="2"/>
  <c r="K86" i="2"/>
  <c r="G86" i="2"/>
  <c r="B87" i="2"/>
  <c r="D87" i="2"/>
  <c r="F87" i="2"/>
  <c r="I87" i="2"/>
  <c r="K87" i="2"/>
  <c r="E88" i="2"/>
  <c r="G87" i="2"/>
  <c r="B88" i="2"/>
  <c r="D88" i="2"/>
  <c r="F88" i="2"/>
  <c r="I88" i="2"/>
  <c r="K88" i="2"/>
  <c r="E89" i="2"/>
  <c r="F89" i="2"/>
  <c r="I89" i="2"/>
  <c r="J89" i="2"/>
  <c r="K89" i="2"/>
  <c r="K91" i="2"/>
  <c r="B125" i="2"/>
  <c r="B138" i="2"/>
  <c r="C97" i="2"/>
  <c r="G97" i="2"/>
  <c r="H97" i="2"/>
  <c r="I97" i="2"/>
  <c r="K97" i="2"/>
  <c r="C98" i="2"/>
  <c r="B95" i="2"/>
  <c r="B98" i="2"/>
  <c r="D98" i="2"/>
  <c r="D94" i="2"/>
  <c r="F98" i="2"/>
  <c r="I98" i="2"/>
  <c r="K98" i="2"/>
  <c r="C99" i="2"/>
  <c r="G98" i="2"/>
  <c r="B99" i="2"/>
  <c r="D99" i="2"/>
  <c r="C100" i="2"/>
  <c r="C101" i="2"/>
  <c r="C102" i="2"/>
  <c r="C103" i="2"/>
  <c r="C104" i="2"/>
  <c r="C105" i="2"/>
  <c r="H101" i="2"/>
  <c r="C106" i="2"/>
  <c r="C107" i="2"/>
  <c r="C108" i="2"/>
  <c r="C109" i="2"/>
  <c r="H105" i="2"/>
  <c r="C110" i="2"/>
  <c r="C111" i="2"/>
  <c r="C112" i="2"/>
  <c r="C113" i="2"/>
  <c r="H109" i="2"/>
  <c r="A149" i="2"/>
  <c r="A148" i="2"/>
  <c r="A147" i="2"/>
  <c r="B121" i="2"/>
  <c r="B130" i="2"/>
  <c r="B133" i="2"/>
  <c r="C130" i="2"/>
  <c r="C133" i="2"/>
  <c r="D130" i="2"/>
  <c r="D133" i="2"/>
  <c r="H113" i="2"/>
  <c r="H112" i="2"/>
  <c r="H111" i="2"/>
  <c r="H110" i="2"/>
  <c r="H108" i="2"/>
  <c r="H107" i="2"/>
  <c r="H106" i="2"/>
  <c r="H104" i="2"/>
  <c r="H103" i="2"/>
  <c r="H102" i="2"/>
  <c r="H100" i="2"/>
  <c r="H99" i="2"/>
  <c r="H98" i="2"/>
  <c r="G88" i="2"/>
  <c r="B89" i="2"/>
  <c r="G89" i="2"/>
  <c r="D47" i="2"/>
  <c r="H78" i="1"/>
  <c r="J78" i="1"/>
  <c r="H79" i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J88" i="1"/>
  <c r="B146" i="1"/>
  <c r="F146" i="1"/>
  <c r="B157" i="1"/>
  <c r="E154" i="1"/>
  <c r="D154" i="1"/>
  <c r="C154" i="1"/>
  <c r="B154" i="1"/>
  <c r="D152" i="1"/>
  <c r="C152" i="1"/>
  <c r="B152" i="1"/>
  <c r="B151" i="1"/>
  <c r="B153" i="1"/>
  <c r="C151" i="1"/>
  <c r="C153" i="1"/>
  <c r="D151" i="1"/>
  <c r="D153" i="1"/>
  <c r="E151" i="1"/>
  <c r="E152" i="1"/>
  <c r="E153" i="1"/>
  <c r="E150" i="1"/>
  <c r="D150" i="1"/>
  <c r="C150" i="1"/>
  <c r="B150" i="1"/>
  <c r="F145" i="1"/>
  <c r="F147" i="1"/>
  <c r="F144" i="1"/>
  <c r="B147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J64" i="1"/>
  <c r="B145" i="1"/>
  <c r="B144" i="1"/>
  <c r="L141" i="1"/>
  <c r="L140" i="1"/>
  <c r="E139" i="1"/>
  <c r="E138" i="1"/>
  <c r="E137" i="1"/>
  <c r="E136" i="1"/>
  <c r="E135" i="1"/>
  <c r="E134" i="1"/>
  <c r="E133" i="1"/>
  <c r="E132" i="1"/>
  <c r="E131" i="1"/>
  <c r="E130" i="1"/>
  <c r="B130" i="1"/>
  <c r="C130" i="1"/>
  <c r="D130" i="1"/>
  <c r="F130" i="1"/>
  <c r="G130" i="1"/>
  <c r="H130" i="1"/>
  <c r="I130" i="1"/>
  <c r="J130" i="1"/>
  <c r="K130" i="1"/>
  <c r="L130" i="1"/>
  <c r="B131" i="1"/>
  <c r="D131" i="1"/>
  <c r="F131" i="1"/>
  <c r="G131" i="1"/>
  <c r="H131" i="1"/>
  <c r="I131" i="1"/>
  <c r="J131" i="1"/>
  <c r="K131" i="1"/>
  <c r="L131" i="1"/>
  <c r="B132" i="1"/>
  <c r="C132" i="1"/>
  <c r="D132" i="1"/>
  <c r="F132" i="1"/>
  <c r="G132" i="1"/>
  <c r="H132" i="1"/>
  <c r="I132" i="1"/>
  <c r="J132" i="1"/>
  <c r="K132" i="1"/>
  <c r="L132" i="1"/>
  <c r="B133" i="1"/>
  <c r="D133" i="1"/>
  <c r="F133" i="1"/>
  <c r="G133" i="1"/>
  <c r="H133" i="1"/>
  <c r="I133" i="1"/>
  <c r="J133" i="1"/>
  <c r="K133" i="1"/>
  <c r="L133" i="1"/>
  <c r="B134" i="1"/>
  <c r="C134" i="1"/>
  <c r="D134" i="1"/>
  <c r="F134" i="1"/>
  <c r="G134" i="1"/>
  <c r="H134" i="1"/>
  <c r="I134" i="1"/>
  <c r="J134" i="1"/>
  <c r="K134" i="1"/>
  <c r="L134" i="1"/>
  <c r="B135" i="1"/>
  <c r="D135" i="1"/>
  <c r="F135" i="1"/>
  <c r="G135" i="1"/>
  <c r="H135" i="1"/>
  <c r="I135" i="1"/>
  <c r="J135" i="1"/>
  <c r="K135" i="1"/>
  <c r="L135" i="1"/>
  <c r="B136" i="1"/>
  <c r="C136" i="1"/>
  <c r="D136" i="1"/>
  <c r="F136" i="1"/>
  <c r="G136" i="1"/>
  <c r="H136" i="1"/>
  <c r="I136" i="1"/>
  <c r="J136" i="1"/>
  <c r="K136" i="1"/>
  <c r="L136" i="1"/>
  <c r="B137" i="1"/>
  <c r="D137" i="1"/>
  <c r="F137" i="1"/>
  <c r="G137" i="1"/>
  <c r="H137" i="1"/>
  <c r="I137" i="1"/>
  <c r="J137" i="1"/>
  <c r="K137" i="1"/>
  <c r="L137" i="1"/>
  <c r="B138" i="1"/>
  <c r="C138" i="1"/>
  <c r="D138" i="1"/>
  <c r="F138" i="1"/>
  <c r="G138" i="1"/>
  <c r="H138" i="1"/>
  <c r="I138" i="1"/>
  <c r="J138" i="1"/>
  <c r="K138" i="1"/>
  <c r="L138" i="1"/>
  <c r="B139" i="1"/>
  <c r="D139" i="1"/>
  <c r="F139" i="1"/>
  <c r="G139" i="1"/>
  <c r="H139" i="1"/>
  <c r="I139" i="1"/>
  <c r="J139" i="1"/>
  <c r="K139" i="1"/>
  <c r="L139" i="1"/>
  <c r="E128" i="1"/>
  <c r="C128" i="1"/>
  <c r="D129" i="1"/>
  <c r="K128" i="1"/>
  <c r="D128" i="1"/>
  <c r="C120" i="1"/>
  <c r="I127" i="1"/>
  <c r="H127" i="1"/>
  <c r="C127" i="1"/>
  <c r="G127" i="1"/>
  <c r="B129" i="1"/>
  <c r="F129" i="1"/>
  <c r="J129" i="1"/>
  <c r="B128" i="1"/>
  <c r="K129" i="1"/>
  <c r="L129" i="1"/>
  <c r="I129" i="1"/>
  <c r="H129" i="1"/>
  <c r="G129" i="1"/>
  <c r="F128" i="1"/>
  <c r="J128" i="1"/>
  <c r="L128" i="1"/>
  <c r="I128" i="1"/>
  <c r="H128" i="1"/>
  <c r="G128" i="1"/>
  <c r="J127" i="1"/>
  <c r="L127" i="1"/>
  <c r="B127" i="1"/>
  <c r="B122" i="1"/>
  <c r="B116" i="1"/>
  <c r="B115" i="1"/>
  <c r="B123" i="1"/>
  <c r="B124" i="1"/>
  <c r="B119" i="1"/>
  <c r="J112" i="1"/>
  <c r="J111" i="1"/>
  <c r="B102" i="1"/>
  <c r="D102" i="1"/>
  <c r="E102" i="1"/>
  <c r="F102" i="1"/>
  <c r="G102" i="1"/>
  <c r="H102" i="1"/>
  <c r="I102" i="1"/>
  <c r="J102" i="1"/>
  <c r="B103" i="1"/>
  <c r="D103" i="1"/>
  <c r="E103" i="1"/>
  <c r="F103" i="1"/>
  <c r="G103" i="1"/>
  <c r="H103" i="1"/>
  <c r="I103" i="1"/>
  <c r="J103" i="1"/>
  <c r="B104" i="1"/>
  <c r="D104" i="1"/>
  <c r="E104" i="1"/>
  <c r="F104" i="1"/>
  <c r="G104" i="1"/>
  <c r="H104" i="1"/>
  <c r="I104" i="1"/>
  <c r="J104" i="1"/>
  <c r="B105" i="1"/>
  <c r="D105" i="1"/>
  <c r="E105" i="1"/>
  <c r="F105" i="1"/>
  <c r="G105" i="1"/>
  <c r="H105" i="1"/>
  <c r="I105" i="1"/>
  <c r="J105" i="1"/>
  <c r="B106" i="1"/>
  <c r="D106" i="1"/>
  <c r="E106" i="1"/>
  <c r="F106" i="1"/>
  <c r="G106" i="1"/>
  <c r="H106" i="1"/>
  <c r="I106" i="1"/>
  <c r="J106" i="1"/>
  <c r="B107" i="1"/>
  <c r="D107" i="1"/>
  <c r="E107" i="1"/>
  <c r="F107" i="1"/>
  <c r="G107" i="1"/>
  <c r="H107" i="1"/>
  <c r="I107" i="1"/>
  <c r="J107" i="1"/>
  <c r="B108" i="1"/>
  <c r="D108" i="1"/>
  <c r="E108" i="1"/>
  <c r="F108" i="1"/>
  <c r="G108" i="1"/>
  <c r="H108" i="1"/>
  <c r="I108" i="1"/>
  <c r="J108" i="1"/>
  <c r="B109" i="1"/>
  <c r="D109" i="1"/>
  <c r="E109" i="1"/>
  <c r="F109" i="1"/>
  <c r="G109" i="1"/>
  <c r="H109" i="1"/>
  <c r="I109" i="1"/>
  <c r="J109" i="1"/>
  <c r="B110" i="1"/>
  <c r="D110" i="1"/>
  <c r="E110" i="1"/>
  <c r="F110" i="1"/>
  <c r="G110" i="1"/>
  <c r="H110" i="1"/>
  <c r="I110" i="1"/>
  <c r="J110" i="1"/>
  <c r="I101" i="1"/>
  <c r="E101" i="1"/>
  <c r="D101" i="1"/>
  <c r="B101" i="1"/>
  <c r="F101" i="1"/>
  <c r="G101" i="1"/>
  <c r="H101" i="1"/>
  <c r="J101" i="1"/>
  <c r="I99" i="1"/>
  <c r="D100" i="1"/>
  <c r="D99" i="1"/>
  <c r="E100" i="1"/>
  <c r="E99" i="1"/>
  <c r="C98" i="1"/>
  <c r="G98" i="1"/>
  <c r="B99" i="1"/>
  <c r="G99" i="1"/>
  <c r="B100" i="1"/>
  <c r="G100" i="1"/>
  <c r="F100" i="1"/>
  <c r="H100" i="1"/>
  <c r="I100" i="1"/>
  <c r="J100" i="1"/>
  <c r="F99" i="1"/>
  <c r="H99" i="1"/>
  <c r="J99" i="1"/>
  <c r="H98" i="1"/>
  <c r="I98" i="1"/>
  <c r="J98" i="1"/>
  <c r="B92" i="1"/>
  <c r="B95" i="1"/>
  <c r="E64" i="1"/>
  <c r="B91" i="1"/>
  <c r="J87" i="1"/>
  <c r="I77" i="1"/>
  <c r="I78" i="1"/>
  <c r="I79" i="1"/>
  <c r="I80" i="1"/>
  <c r="I81" i="1"/>
  <c r="I82" i="1"/>
  <c r="I83" i="1"/>
  <c r="I84" i="1"/>
  <c r="I85" i="1"/>
  <c r="I86" i="1"/>
  <c r="I75" i="1"/>
  <c r="C67" i="1"/>
  <c r="B78" i="1"/>
  <c r="D78" i="1"/>
  <c r="E78" i="1"/>
  <c r="F78" i="1"/>
  <c r="G78" i="1"/>
  <c r="B79" i="1"/>
  <c r="D79" i="1"/>
  <c r="E79" i="1"/>
  <c r="F79" i="1"/>
  <c r="G79" i="1"/>
  <c r="B80" i="1"/>
  <c r="D80" i="1"/>
  <c r="E80" i="1"/>
  <c r="F80" i="1"/>
  <c r="G80" i="1"/>
  <c r="B81" i="1"/>
  <c r="D81" i="1"/>
  <c r="E81" i="1"/>
  <c r="F81" i="1"/>
  <c r="G81" i="1"/>
  <c r="B82" i="1"/>
  <c r="D82" i="1"/>
  <c r="E82" i="1"/>
  <c r="F82" i="1"/>
  <c r="G82" i="1"/>
  <c r="B83" i="1"/>
  <c r="D83" i="1"/>
  <c r="E83" i="1"/>
  <c r="F83" i="1"/>
  <c r="G83" i="1"/>
  <c r="B84" i="1"/>
  <c r="D84" i="1"/>
  <c r="E84" i="1"/>
  <c r="F84" i="1"/>
  <c r="G84" i="1"/>
  <c r="B85" i="1"/>
  <c r="D85" i="1"/>
  <c r="E85" i="1"/>
  <c r="F85" i="1"/>
  <c r="G85" i="1"/>
  <c r="B86" i="1"/>
  <c r="D86" i="1"/>
  <c r="E86" i="1"/>
  <c r="F86" i="1"/>
  <c r="G86" i="1"/>
  <c r="E77" i="1"/>
  <c r="F77" i="1"/>
  <c r="D77" i="1"/>
  <c r="D76" i="1"/>
  <c r="B76" i="1"/>
  <c r="D75" i="1"/>
  <c r="C74" i="1"/>
  <c r="G74" i="1"/>
  <c r="B75" i="1"/>
  <c r="G75" i="1"/>
  <c r="G76" i="1"/>
  <c r="B77" i="1"/>
  <c r="G77" i="1"/>
  <c r="H77" i="1"/>
  <c r="J77" i="1"/>
  <c r="F76" i="1"/>
  <c r="H76" i="1"/>
  <c r="I76" i="1"/>
  <c r="J76" i="1"/>
  <c r="F75" i="1"/>
  <c r="H75" i="1"/>
  <c r="J75" i="1"/>
  <c r="H74" i="1"/>
  <c r="I74" i="1"/>
  <c r="J74" i="1"/>
  <c r="B71" i="1"/>
  <c r="B68" i="1"/>
  <c r="B67" i="1"/>
  <c r="J63" i="1"/>
  <c r="E62" i="1"/>
  <c r="B53" i="1"/>
  <c r="D53" i="1"/>
  <c r="E53" i="1"/>
  <c r="F53" i="1"/>
  <c r="G53" i="1"/>
  <c r="I53" i="1"/>
  <c r="B54" i="1"/>
  <c r="D54" i="1"/>
  <c r="E54" i="1"/>
  <c r="F54" i="1"/>
  <c r="G54" i="1"/>
  <c r="I54" i="1"/>
  <c r="B55" i="1"/>
  <c r="D55" i="1"/>
  <c r="E55" i="1"/>
  <c r="F55" i="1"/>
  <c r="G55" i="1"/>
  <c r="I55" i="1"/>
  <c r="B56" i="1"/>
  <c r="D56" i="1"/>
  <c r="E56" i="1"/>
  <c r="F56" i="1"/>
  <c r="G56" i="1"/>
  <c r="I56" i="1"/>
  <c r="B57" i="1"/>
  <c r="D57" i="1"/>
  <c r="E57" i="1"/>
  <c r="F57" i="1"/>
  <c r="G57" i="1"/>
  <c r="I57" i="1"/>
  <c r="B58" i="1"/>
  <c r="D58" i="1"/>
  <c r="E58" i="1"/>
  <c r="F58" i="1"/>
  <c r="G58" i="1"/>
  <c r="I58" i="1"/>
  <c r="B59" i="1"/>
  <c r="D59" i="1"/>
  <c r="E59" i="1"/>
  <c r="F59" i="1"/>
  <c r="G59" i="1"/>
  <c r="I59" i="1"/>
  <c r="B60" i="1"/>
  <c r="D60" i="1"/>
  <c r="E60" i="1"/>
  <c r="F60" i="1"/>
  <c r="G60" i="1"/>
  <c r="I60" i="1"/>
  <c r="B61" i="1"/>
  <c r="D61" i="1"/>
  <c r="E61" i="1"/>
  <c r="F61" i="1"/>
  <c r="G61" i="1"/>
  <c r="I61" i="1"/>
  <c r="B62" i="1"/>
  <c r="D62" i="1"/>
  <c r="F62" i="1"/>
  <c r="G62" i="1"/>
  <c r="I62" i="1"/>
  <c r="I52" i="1"/>
  <c r="I51" i="1"/>
  <c r="E51" i="1"/>
  <c r="E52" i="1"/>
  <c r="E50" i="1"/>
  <c r="C43" i="1"/>
  <c r="G51" i="1"/>
  <c r="B52" i="1"/>
  <c r="D52" i="1"/>
  <c r="F52" i="1"/>
  <c r="G52" i="1"/>
  <c r="D51" i="1"/>
  <c r="B51" i="1"/>
  <c r="C50" i="1"/>
  <c r="G50" i="1"/>
  <c r="F51" i="1"/>
  <c r="H50" i="1"/>
  <c r="J50" i="1"/>
  <c r="B44" i="1"/>
  <c r="B43" i="1"/>
  <c r="I29" i="1"/>
  <c r="J29" i="1"/>
  <c r="J40" i="1"/>
  <c r="J39" i="1"/>
  <c r="I38" i="1"/>
  <c r="I36" i="1"/>
  <c r="I34" i="1"/>
  <c r="I32" i="1"/>
  <c r="I30" i="1"/>
  <c r="B29" i="1"/>
  <c r="D29" i="1"/>
  <c r="F29" i="1"/>
  <c r="E29" i="1"/>
  <c r="G29" i="1"/>
  <c r="H29" i="1"/>
  <c r="B30" i="1"/>
  <c r="D30" i="1"/>
  <c r="F30" i="1"/>
  <c r="E30" i="1"/>
  <c r="G30" i="1"/>
  <c r="H30" i="1"/>
  <c r="J30" i="1"/>
  <c r="B31" i="1"/>
  <c r="D31" i="1"/>
  <c r="F31" i="1"/>
  <c r="E31" i="1"/>
  <c r="G31" i="1"/>
  <c r="H31" i="1"/>
  <c r="J31" i="1"/>
  <c r="B32" i="1"/>
  <c r="D32" i="1"/>
  <c r="F32" i="1"/>
  <c r="E32" i="1"/>
  <c r="G32" i="1"/>
  <c r="H32" i="1"/>
  <c r="J32" i="1"/>
  <c r="B33" i="1"/>
  <c r="D33" i="1"/>
  <c r="F33" i="1"/>
  <c r="E33" i="1"/>
  <c r="G33" i="1"/>
  <c r="H33" i="1"/>
  <c r="J33" i="1"/>
  <c r="B34" i="1"/>
  <c r="D34" i="1"/>
  <c r="F34" i="1"/>
  <c r="E34" i="1"/>
  <c r="G34" i="1"/>
  <c r="H34" i="1"/>
  <c r="J34" i="1"/>
  <c r="B35" i="1"/>
  <c r="D35" i="1"/>
  <c r="F35" i="1"/>
  <c r="E35" i="1"/>
  <c r="G35" i="1"/>
  <c r="H35" i="1"/>
  <c r="J35" i="1"/>
  <c r="B36" i="1"/>
  <c r="D36" i="1"/>
  <c r="F36" i="1"/>
  <c r="E36" i="1"/>
  <c r="G36" i="1"/>
  <c r="H36" i="1"/>
  <c r="J36" i="1"/>
  <c r="B37" i="1"/>
  <c r="D37" i="1"/>
  <c r="F37" i="1"/>
  <c r="E37" i="1"/>
  <c r="G37" i="1"/>
  <c r="H37" i="1"/>
  <c r="J37" i="1"/>
  <c r="B38" i="1"/>
  <c r="D38" i="1"/>
  <c r="F38" i="1"/>
  <c r="E38" i="1"/>
  <c r="G38" i="1"/>
  <c r="H38" i="1"/>
  <c r="J38" i="1"/>
  <c r="I27" i="1"/>
  <c r="I28" i="1"/>
  <c r="B28" i="1"/>
  <c r="D28" i="1"/>
  <c r="F28" i="1"/>
  <c r="E28" i="1"/>
  <c r="G28" i="1"/>
  <c r="H28" i="1"/>
  <c r="J28" i="1"/>
  <c r="F27" i="1"/>
  <c r="D27" i="1"/>
  <c r="C26" i="1"/>
  <c r="G26" i="1"/>
  <c r="B27" i="1"/>
  <c r="E27" i="1"/>
  <c r="G27" i="1"/>
  <c r="H27" i="1"/>
  <c r="J27" i="1"/>
  <c r="H26" i="1"/>
  <c r="I26" i="1"/>
  <c r="J26" i="1"/>
  <c r="B19" i="1"/>
  <c r="B20" i="1"/>
  <c r="B23" i="1"/>
  <c r="B5" i="1"/>
  <c r="E105" i="2"/>
  <c r="E99" i="2"/>
  <c r="G99" i="2"/>
  <c r="B100" i="2"/>
  <c r="D100" i="2"/>
  <c r="F100" i="2"/>
  <c r="I100" i="2"/>
  <c r="K100" i="2"/>
  <c r="E101" i="2"/>
  <c r="G100" i="2"/>
  <c r="B101" i="2"/>
  <c r="D101" i="2"/>
  <c r="F101" i="2"/>
  <c r="I101" i="2"/>
  <c r="K101" i="2"/>
  <c r="G101" i="2"/>
  <c r="B102" i="2"/>
  <c r="D102" i="2"/>
  <c r="F102" i="2"/>
  <c r="I102" i="2"/>
  <c r="K102" i="2"/>
  <c r="E103" i="2"/>
  <c r="G102" i="2"/>
  <c r="B103" i="2"/>
  <c r="D103" i="2"/>
  <c r="F103" i="2"/>
  <c r="I103" i="2"/>
  <c r="G103" i="2"/>
  <c r="B104" i="2"/>
  <c r="D104" i="2"/>
  <c r="F104" i="2"/>
  <c r="I104" i="2"/>
  <c r="K104" i="2"/>
  <c r="G104" i="2"/>
  <c r="B105" i="2"/>
  <c r="D105" i="2"/>
  <c r="F105" i="2"/>
  <c r="I105" i="2"/>
  <c r="K105" i="2"/>
  <c r="G105" i="2"/>
  <c r="B106" i="2"/>
  <c r="D106" i="2"/>
  <c r="F106" i="2"/>
  <c r="I106" i="2"/>
  <c r="K106" i="2"/>
  <c r="E107" i="2"/>
  <c r="G106" i="2"/>
  <c r="B107" i="2"/>
  <c r="D107" i="2"/>
  <c r="F107" i="2"/>
  <c r="I107" i="2"/>
  <c r="G107" i="2"/>
  <c r="B108" i="2"/>
  <c r="D108" i="2"/>
  <c r="F108" i="2"/>
  <c r="I108" i="2"/>
  <c r="K108" i="2"/>
  <c r="E109" i="2"/>
  <c r="G108" i="2"/>
  <c r="B109" i="2"/>
  <c r="D109" i="2"/>
  <c r="F109" i="2"/>
  <c r="I109" i="2"/>
  <c r="K109" i="2"/>
  <c r="G109" i="2"/>
  <c r="B110" i="2"/>
  <c r="D110" i="2"/>
  <c r="F110" i="2"/>
  <c r="I110" i="2"/>
  <c r="K110" i="2"/>
  <c r="E111" i="2"/>
  <c r="G110" i="2"/>
  <c r="B111" i="2"/>
  <c r="D111" i="2"/>
  <c r="F111" i="2"/>
  <c r="I111" i="2"/>
  <c r="G111" i="2"/>
  <c r="B112" i="2"/>
  <c r="D112" i="2"/>
  <c r="F112" i="2"/>
  <c r="I112" i="2"/>
  <c r="K112" i="2"/>
  <c r="E113" i="2"/>
  <c r="G112" i="2"/>
  <c r="B113" i="2"/>
  <c r="D113" i="2"/>
  <c r="F113" i="2"/>
  <c r="I113" i="2"/>
  <c r="K113" i="2"/>
  <c r="F99" i="2"/>
  <c r="I99" i="2"/>
  <c r="B149" i="2"/>
  <c r="B148" i="2"/>
  <c r="K114" i="2"/>
  <c r="G113" i="2"/>
  <c r="H50" i="2"/>
  <c r="H51" i="2"/>
  <c r="H52" i="2"/>
  <c r="H53" i="2"/>
  <c r="H54" i="2"/>
  <c r="H55" i="2"/>
  <c r="H56" i="2"/>
  <c r="H57" i="2"/>
  <c r="H58" i="2"/>
  <c r="H59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60" i="2"/>
  <c r="H89" i="2"/>
</calcChain>
</file>

<file path=xl/sharedStrings.xml><?xml version="1.0" encoding="utf-8"?>
<sst xmlns="http://schemas.openxmlformats.org/spreadsheetml/2006/main" count="382" uniqueCount="165">
  <si>
    <t>Máquina</t>
  </si>
  <si>
    <t>Precio</t>
  </si>
  <si>
    <t>Mezcladora de alta viscosidad</t>
  </si>
  <si>
    <t>Homogeneizador</t>
  </si>
  <si>
    <t>Torre de secado</t>
  </si>
  <si>
    <t>Total</t>
  </si>
  <si>
    <t>Tasa impositiva</t>
  </si>
  <si>
    <t>El ahorro tributario se contabiliza anual</t>
  </si>
  <si>
    <t>Fuente</t>
  </si>
  <si>
    <t>Banco capital</t>
  </si>
  <si>
    <t>Banco de Boyacá</t>
  </si>
  <si>
    <t>Banco profuturo</t>
  </si>
  <si>
    <t>Banco VVBA</t>
  </si>
  <si>
    <t>Monto máximo</t>
  </si>
  <si>
    <t>Tasa de interés (NA/SV)</t>
  </si>
  <si>
    <t>Plazo (años)</t>
  </si>
  <si>
    <t>Periodo de gracia</t>
  </si>
  <si>
    <t>No aplica</t>
  </si>
  <si>
    <t>1 año sobre capital</t>
  </si>
  <si>
    <t>Modalidad de pago</t>
  </si>
  <si>
    <t>Cuota semestral constante</t>
  </si>
  <si>
    <t>Bullet</t>
  </si>
  <si>
    <t>Amortización semestral constante</t>
  </si>
  <si>
    <t>FCD Banco capital</t>
  </si>
  <si>
    <t>Valor</t>
  </si>
  <si>
    <t>Monto</t>
  </si>
  <si>
    <t>Tasa (SV)</t>
  </si>
  <si>
    <t>Plazo (Semestres)</t>
  </si>
  <si>
    <t>Cuota</t>
  </si>
  <si>
    <t>Periodo</t>
  </si>
  <si>
    <t>Saldo inicial</t>
  </si>
  <si>
    <t>Adquisición deuda</t>
  </si>
  <si>
    <t>Interés</t>
  </si>
  <si>
    <t>Amortización</t>
  </si>
  <si>
    <t>Saldo final</t>
  </si>
  <si>
    <t>FCD Pre</t>
  </si>
  <si>
    <t>Tax shield</t>
  </si>
  <si>
    <t>FCD Pos</t>
  </si>
  <si>
    <t>Deuda</t>
  </si>
  <si>
    <t>KD Pre (S.V)</t>
  </si>
  <si>
    <t>KD Pos (S.V)</t>
  </si>
  <si>
    <t>FCD Banco de Boyacá</t>
  </si>
  <si>
    <t>FCD Banco Profuturo</t>
  </si>
  <si>
    <t>FCD VVBA</t>
  </si>
  <si>
    <t>Comisión</t>
  </si>
  <si>
    <t>Inflación (E.A)</t>
  </si>
  <si>
    <t>Periodos</t>
  </si>
  <si>
    <t>Monto reciprocidad</t>
  </si>
  <si>
    <t>Magnitud</t>
  </si>
  <si>
    <t>Reciprocidad</t>
  </si>
  <si>
    <t>Comision</t>
  </si>
  <si>
    <t>Banco</t>
  </si>
  <si>
    <t>Costo de deuda</t>
  </si>
  <si>
    <t>Posición</t>
  </si>
  <si>
    <t>Banco Profuturo</t>
  </si>
  <si>
    <t>Abono</t>
  </si>
  <si>
    <t>Faltante</t>
  </si>
  <si>
    <t>Porcetage</t>
  </si>
  <si>
    <t>WACC</t>
  </si>
  <si>
    <t>Flujo de caja P1 (Inclusión San Andrés)</t>
  </si>
  <si>
    <t>Año</t>
  </si>
  <si>
    <t>Flujo (millones de USD)</t>
  </si>
  <si>
    <t>Flujo de caja P2 (Tren de Colombia)</t>
  </si>
  <si>
    <t>Flujo de caja P1 (Colombia internacional)</t>
  </si>
  <si>
    <t>Politica de financiación</t>
  </si>
  <si>
    <t>Emisión de acciones</t>
  </si>
  <si>
    <t>Banco AAAA</t>
  </si>
  <si>
    <t>Valor de emisión</t>
  </si>
  <si>
    <t>Dividendo actual</t>
  </si>
  <si>
    <t>Tasa de interés (E.A)</t>
  </si>
  <si>
    <t>Tasa de crecimiento</t>
  </si>
  <si>
    <t>Plazo (Años)</t>
  </si>
  <si>
    <t>Costo de emisión</t>
  </si>
  <si>
    <t>Pago</t>
  </si>
  <si>
    <t>Cuota fija</t>
  </si>
  <si>
    <t>Correspondencia</t>
  </si>
  <si>
    <t>Banco BBB</t>
  </si>
  <si>
    <t>Banco CCC</t>
  </si>
  <si>
    <t>Tasa de interés (NA/TA)</t>
  </si>
  <si>
    <t>Amortización anual igual</t>
  </si>
  <si>
    <t>Amortización semestral igual</t>
  </si>
  <si>
    <t>Po</t>
  </si>
  <si>
    <t>Ke (E.A)</t>
  </si>
  <si>
    <t>FCD Banco AAA</t>
  </si>
  <si>
    <t>Kd (E.A)</t>
  </si>
  <si>
    <t>FCD Banco BBB</t>
  </si>
  <si>
    <t>Amortización anual</t>
  </si>
  <si>
    <t>Tasa</t>
  </si>
  <si>
    <t>Amortización trimestral</t>
  </si>
  <si>
    <t>FCD pre</t>
  </si>
  <si>
    <t>TAX Shield</t>
  </si>
  <si>
    <t>FCD Post</t>
  </si>
  <si>
    <t>Kd Pre (E.T)</t>
  </si>
  <si>
    <t>Kd Post  (E.T)</t>
  </si>
  <si>
    <t>FCD Banco CCC</t>
  </si>
  <si>
    <t>Kd Pre (E.S)</t>
  </si>
  <si>
    <t>Kd Post (E.S)</t>
  </si>
  <si>
    <t>Equity</t>
  </si>
  <si>
    <t>Favorabilidad</t>
  </si>
  <si>
    <t>AAA</t>
  </si>
  <si>
    <t>BBB</t>
  </si>
  <si>
    <t>CCC</t>
  </si>
  <si>
    <t>Total necesario</t>
  </si>
  <si>
    <t>Monto necesario</t>
  </si>
  <si>
    <t>Peso</t>
  </si>
  <si>
    <t>Proyecto</t>
  </si>
  <si>
    <t>VPN</t>
  </si>
  <si>
    <t>Concepto</t>
  </si>
  <si>
    <t>Terreno</t>
  </si>
  <si>
    <t>Maquinaria</t>
  </si>
  <si>
    <t>Seguro</t>
  </si>
  <si>
    <t>Tasa (NA/TV)</t>
  </si>
  <si>
    <t>Tasa ET</t>
  </si>
  <si>
    <t>Amortizacón</t>
  </si>
  <si>
    <t>KD Pre</t>
  </si>
  <si>
    <t>KD Post</t>
  </si>
  <si>
    <t>Ítem</t>
  </si>
  <si>
    <t>Costo inicial</t>
  </si>
  <si>
    <t>Salvamento</t>
  </si>
  <si>
    <t>Método depreciación</t>
  </si>
  <si>
    <t>Laboratorios</t>
  </si>
  <si>
    <t>Equipo</t>
  </si>
  <si>
    <t>Linea recta</t>
  </si>
  <si>
    <t>Patentes</t>
  </si>
  <si>
    <t>Vida útil (años)</t>
  </si>
  <si>
    <t>Unidades</t>
  </si>
  <si>
    <t>Costos operacionales</t>
  </si>
  <si>
    <t>Cuentas por cobrar</t>
  </si>
  <si>
    <t>Ganacia operacional</t>
  </si>
  <si>
    <t>Valor venta periodo 10</t>
  </si>
  <si>
    <t>Patente</t>
  </si>
  <si>
    <t>Ingresos</t>
  </si>
  <si>
    <t>Gastos operacionales</t>
  </si>
  <si>
    <t>Depreciación</t>
  </si>
  <si>
    <t>EBIT</t>
  </si>
  <si>
    <t>CAPEX</t>
  </si>
  <si>
    <t>Delta WK</t>
  </si>
  <si>
    <t>TAX</t>
  </si>
  <si>
    <t>FCL</t>
  </si>
  <si>
    <t>Valor inicial</t>
  </si>
  <si>
    <t>Dep acumulada</t>
  </si>
  <si>
    <t>Valor final</t>
  </si>
  <si>
    <t>Depreciación lab</t>
  </si>
  <si>
    <t>Depreciación equipo</t>
  </si>
  <si>
    <t>Depreciación patente</t>
  </si>
  <si>
    <t>WK</t>
  </si>
  <si>
    <t>Fuentes de financiación</t>
  </si>
  <si>
    <t>Dividendo</t>
  </si>
  <si>
    <t>Tasa crecimiento</t>
  </si>
  <si>
    <t>Banco BPOS (E.S)</t>
  </si>
  <si>
    <t>Banco SANT (NA/SV)</t>
  </si>
  <si>
    <t>Duración (años)</t>
  </si>
  <si>
    <t>Amortización anual cte</t>
  </si>
  <si>
    <t>Ke</t>
  </si>
  <si>
    <t>Numerador</t>
  </si>
  <si>
    <t>Denominador</t>
  </si>
  <si>
    <t>Kd SANT</t>
  </si>
  <si>
    <t>Tax shiels</t>
  </si>
  <si>
    <t>BPOS</t>
  </si>
  <si>
    <t>SANT</t>
  </si>
  <si>
    <t>Kd Post ES</t>
  </si>
  <si>
    <t>Kd Post EA</t>
  </si>
  <si>
    <t>Costo de oprtunidad EA</t>
  </si>
  <si>
    <t>Monto máximo efectivo</t>
  </si>
  <si>
    <t>Monto solicitado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</si>
</sst>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COP&quot;#,##0.00_);[Red]\(&quot;COP&quot;#,##0.00\)"/>
    <numFmt numFmtId="42" formatCode="_(&quot;COP&quot;* #,##0_);_(&quot;COP&quot;* \(#,##0\);_(&quot;COP&quot;* &quot;-&quot;_);_(@_)"/>
    <numFmt numFmtId="41" formatCode="_(* #,##0_);_(* \(#,##0\);_(* &quot;-&quot;_);_(@_)"/>
    <numFmt numFmtId="164" formatCode="_([$$-409]* #,##0.00_);_([$$-409]* \(#,##0.00\);_([$$-409]* &quot;-&quot;??_);_(@_)"/>
    <numFmt numFmtId="165" formatCode="0.000000%"/>
    <numFmt numFmtId="166" formatCode="0.000%"/>
    <numFmt numFmtId="167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6933C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18">
    <xf numFmtId="0" fontId="0" fillId="0" borderId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3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10" fontId="0" fillId="0" borderId="1" xfId="0" applyNumberFormat="1" applyBorder="1"/>
    <xf numFmtId="0" fontId="0" fillId="3" borderId="1" xfId="0" applyFill="1" applyBorder="1"/>
    <xf numFmtId="165" fontId="0" fillId="0" borderId="1" xfId="0" applyNumberFormat="1" applyBorder="1"/>
    <xf numFmtId="0" fontId="3" fillId="2" borderId="1" xfId="0" applyFont="1" applyFill="1" applyBorder="1" applyAlignment="1">
      <alignment shrinkToFit="1"/>
    </xf>
    <xf numFmtId="0" fontId="0" fillId="0" borderId="0" xfId="0" applyAlignment="1">
      <alignment shrinkToFit="1"/>
    </xf>
    <xf numFmtId="0" fontId="0" fillId="0" borderId="1" xfId="0" applyBorder="1" applyAlignment="1">
      <alignment shrinkToFit="1"/>
    </xf>
    <xf numFmtId="164" fontId="0" fillId="0" borderId="1" xfId="0" applyNumberFormat="1" applyBorder="1" applyAlignment="1">
      <alignment shrinkToFit="1"/>
    </xf>
    <xf numFmtId="9" fontId="0" fillId="0" borderId="1" xfId="0" applyNumberFormat="1" applyBorder="1" applyAlignment="1">
      <alignment shrinkToFit="1"/>
    </xf>
    <xf numFmtId="10" fontId="0" fillId="0" borderId="1" xfId="0" applyNumberFormat="1" applyBorder="1" applyAlignment="1">
      <alignment shrinkToFit="1"/>
    </xf>
    <xf numFmtId="0" fontId="0" fillId="3" borderId="1" xfId="0" applyFill="1" applyBorder="1" applyAlignment="1">
      <alignment shrinkToFit="1"/>
    </xf>
    <xf numFmtId="164" fontId="0" fillId="3" borderId="1" xfId="0" applyNumberFormat="1" applyFill="1" applyBorder="1" applyAlignment="1">
      <alignment shrinkToFit="1"/>
    </xf>
    <xf numFmtId="166" fontId="0" fillId="0" borderId="1" xfId="0" applyNumberFormat="1" applyBorder="1" applyAlignment="1">
      <alignment shrinkToFit="1"/>
    </xf>
    <xf numFmtId="0" fontId="3" fillId="4" borderId="1" xfId="0" applyFont="1" applyFill="1" applyBorder="1" applyAlignment="1">
      <alignment shrinkToFit="1"/>
    </xf>
    <xf numFmtId="164" fontId="0" fillId="0" borderId="0" xfId="0" applyNumberFormat="1" applyAlignment="1">
      <alignment shrinkToFit="1"/>
    </xf>
    <xf numFmtId="0" fontId="3" fillId="2" borderId="1" xfId="0" applyFont="1" applyFill="1" applyBorder="1" applyAlignment="1"/>
    <xf numFmtId="0" fontId="0" fillId="0" borderId="0" xfId="0" applyAlignment="1"/>
    <xf numFmtId="0" fontId="0" fillId="0" borderId="1" xfId="0" applyBorder="1" applyAlignment="1"/>
    <xf numFmtId="164" fontId="0" fillId="0" borderId="1" xfId="1" applyNumberFormat="1" applyFont="1" applyBorder="1" applyAlignment="1"/>
    <xf numFmtId="164" fontId="0" fillId="0" borderId="1" xfId="0" applyNumberFormat="1" applyBorder="1" applyAlignment="1"/>
    <xf numFmtId="9" fontId="0" fillId="0" borderId="1" xfId="0" applyNumberFormat="1" applyBorder="1" applyAlignment="1"/>
    <xf numFmtId="10" fontId="0" fillId="0" borderId="1" xfId="0" applyNumberFormat="1" applyBorder="1" applyAlignment="1"/>
    <xf numFmtId="0" fontId="0" fillId="3" borderId="1" xfId="0" applyFill="1" applyBorder="1" applyAlignment="1"/>
    <xf numFmtId="164" fontId="0" fillId="3" borderId="1" xfId="0" applyNumberFormat="1" applyFill="1" applyBorder="1" applyAlignment="1"/>
    <xf numFmtId="164" fontId="0" fillId="3" borderId="1" xfId="1" applyNumberFormat="1" applyFont="1" applyFill="1" applyBorder="1" applyAlignment="1"/>
    <xf numFmtId="0" fontId="0" fillId="2" borderId="1" xfId="0" applyFill="1" applyBorder="1" applyAlignment="1"/>
    <xf numFmtId="0" fontId="0" fillId="0" borderId="0" xfId="0" applyBorder="1" applyAlignment="1"/>
    <xf numFmtId="165" fontId="0" fillId="0" borderId="1" xfId="0" applyNumberFormat="1" applyBorder="1" applyAlignment="1"/>
    <xf numFmtId="164" fontId="0" fillId="0" borderId="0" xfId="0" applyNumberFormat="1" applyAlignment="1"/>
    <xf numFmtId="0" fontId="0" fillId="2" borderId="1" xfId="0" applyFill="1" applyBorder="1"/>
    <xf numFmtId="167" fontId="0" fillId="0" borderId="1" xfId="2" applyNumberFormat="1" applyFont="1" applyBorder="1" applyAlignment="1"/>
    <xf numFmtId="164" fontId="7" fillId="0" borderId="2" xfId="0" applyNumberFormat="1" applyFont="1" applyBorder="1"/>
    <xf numFmtId="164" fontId="7" fillId="0" borderId="4" xfId="2" applyNumberFormat="1" applyFont="1" applyBorder="1"/>
    <xf numFmtId="164" fontId="7" fillId="0" borderId="4" xfId="0" applyNumberFormat="1" applyFont="1" applyBorder="1"/>
    <xf numFmtId="0" fontId="6" fillId="6" borderId="1" xfId="0" applyFont="1" applyFill="1" applyBorder="1"/>
    <xf numFmtId="0" fontId="6" fillId="6" borderId="3" xfId="0" applyFont="1" applyFill="1" applyBorder="1"/>
    <xf numFmtId="9" fontId="0" fillId="0" borderId="1" xfId="2" applyFont="1" applyBorder="1"/>
    <xf numFmtId="164" fontId="3" fillId="2" borderId="1" xfId="0" applyNumberFormat="1" applyFont="1" applyFill="1" applyBorder="1"/>
    <xf numFmtId="0" fontId="3" fillId="5" borderId="1" xfId="0" applyFont="1" applyFill="1" applyBorder="1" applyAlignment="1">
      <alignment shrinkToFit="1"/>
    </xf>
    <xf numFmtId="0" fontId="0" fillId="5" borderId="1" xfId="0" applyFill="1" applyBorder="1" applyAlignment="1">
      <alignment shrinkToFit="1"/>
    </xf>
    <xf numFmtId="9" fontId="0" fillId="0" borderId="1" xfId="2" applyFont="1" applyBorder="1" applyAlignment="1">
      <alignment shrinkToFit="1"/>
    </xf>
    <xf numFmtId="0" fontId="8" fillId="0" borderId="0" xfId="0" applyFont="1" applyAlignment="1">
      <alignment shrinkToFit="1"/>
    </xf>
    <xf numFmtId="0" fontId="3" fillId="7" borderId="1" xfId="0" applyFont="1" applyFill="1" applyBorder="1" applyAlignment="1">
      <alignment shrinkToFit="1"/>
    </xf>
    <xf numFmtId="10" fontId="0" fillId="0" borderId="1" xfId="2" applyNumberFormat="1" applyFont="1" applyBorder="1" applyAlignment="1">
      <alignment shrinkToFit="1"/>
    </xf>
    <xf numFmtId="0" fontId="0" fillId="5" borderId="5" xfId="0" applyFill="1" applyBorder="1" applyAlignment="1">
      <alignment shrinkToFit="1"/>
    </xf>
    <xf numFmtId="0" fontId="3" fillId="5" borderId="0" xfId="0" applyFont="1" applyFill="1" applyBorder="1" applyAlignment="1">
      <alignment shrinkToFit="1"/>
    </xf>
    <xf numFmtId="0" fontId="0" fillId="8" borderId="1" xfId="0" applyFill="1" applyBorder="1" applyAlignment="1">
      <alignment shrinkToFit="1"/>
    </xf>
    <xf numFmtId="164" fontId="0" fillId="8" borderId="1" xfId="0" applyNumberFormat="1" applyFill="1" applyBorder="1" applyAlignment="1">
      <alignment shrinkToFit="1"/>
    </xf>
    <xf numFmtId="164" fontId="0" fillId="8" borderId="1" xfId="0" applyNumberFormat="1" applyFont="1" applyFill="1" applyBorder="1" applyAlignment="1">
      <alignment shrinkToFit="1"/>
    </xf>
    <xf numFmtId="164" fontId="0" fillId="3" borderId="1" xfId="0" applyNumberFormat="1" applyFont="1" applyFill="1" applyBorder="1" applyAlignment="1">
      <alignment shrinkToFit="1"/>
    </xf>
    <xf numFmtId="0" fontId="0" fillId="7" borderId="1" xfId="0" applyFill="1" applyBorder="1" applyAlignment="1">
      <alignment shrinkToFit="1"/>
    </xf>
    <xf numFmtId="164" fontId="0" fillId="9" borderId="1" xfId="0" applyNumberFormat="1" applyFill="1" applyBorder="1"/>
    <xf numFmtId="0" fontId="0" fillId="9" borderId="1" xfId="0" applyFill="1" applyBorder="1"/>
    <xf numFmtId="164" fontId="0" fillId="10" borderId="1" xfId="0" applyNumberFormat="1" applyFill="1" applyBorder="1" applyAlignment="1">
      <alignment shrinkToFit="1"/>
    </xf>
    <xf numFmtId="0" fontId="0" fillId="9" borderId="1" xfId="0" applyFill="1" applyBorder="1" applyAlignment="1">
      <alignment shrinkToFit="1"/>
    </xf>
    <xf numFmtId="164" fontId="0" fillId="9" borderId="1" xfId="0" applyNumberFormat="1" applyFill="1" applyBorder="1" applyAlignment="1">
      <alignment shrinkToFit="1"/>
    </xf>
    <xf numFmtId="164" fontId="0" fillId="2" borderId="1" xfId="0" applyNumberFormat="1" applyFill="1" applyBorder="1" applyAlignment="1">
      <alignment shrinkToFit="1"/>
    </xf>
    <xf numFmtId="167" fontId="0" fillId="0" borderId="1" xfId="2" applyNumberFormat="1" applyFont="1" applyBorder="1" applyAlignment="1">
      <alignment shrinkToFit="1"/>
    </xf>
    <xf numFmtId="0" fontId="0" fillId="4" borderId="1" xfId="0" applyFill="1" applyBorder="1" applyAlignment="1">
      <alignment shrinkToFit="1"/>
    </xf>
    <xf numFmtId="167" fontId="7" fillId="0" borderId="2" xfId="0" applyNumberFormat="1" applyFont="1" applyBorder="1" applyAlignment="1">
      <alignment shrinkToFit="1"/>
    </xf>
    <xf numFmtId="0" fontId="7" fillId="0" borderId="4" xfId="0" applyFont="1" applyBorder="1" applyAlignment="1">
      <alignment shrinkToFit="1"/>
    </xf>
    <xf numFmtId="0" fontId="7" fillId="11" borderId="2" xfId="0" applyFont="1" applyFill="1" applyBorder="1" applyAlignment="1">
      <alignment shrinkToFit="1"/>
    </xf>
    <xf numFmtId="0" fontId="7" fillId="11" borderId="4" xfId="0" applyFont="1" applyFill="1" applyBorder="1" applyAlignment="1">
      <alignment shrinkToFit="1"/>
    </xf>
    <xf numFmtId="0" fontId="7" fillId="0" borderId="0" xfId="0" applyFont="1" applyAlignment="1">
      <alignment shrinkToFit="1"/>
    </xf>
    <xf numFmtId="0" fontId="0" fillId="4" borderId="2" xfId="0" applyFill="1" applyBorder="1" applyAlignment="1">
      <alignment shrinkToFit="1"/>
    </xf>
    <xf numFmtId="0" fontId="0" fillId="12" borderId="1" xfId="0" applyFill="1" applyBorder="1" applyAlignment="1">
      <alignment shrinkToFit="1"/>
    </xf>
    <xf numFmtId="164" fontId="0" fillId="12" borderId="1" xfId="0" applyNumberFormat="1" applyFill="1" applyBorder="1" applyAlignment="1">
      <alignment shrinkToFit="1"/>
    </xf>
    <xf numFmtId="0" fontId="7" fillId="13" borderId="1" xfId="0" applyFont="1" applyFill="1" applyBorder="1" applyAlignment="1">
      <alignment shrinkToFit="1"/>
    </xf>
    <xf numFmtId="164" fontId="7" fillId="0" borderId="1" xfId="0" applyNumberFormat="1" applyFont="1" applyBorder="1" applyAlignment="1">
      <alignment shrinkToFit="1"/>
    </xf>
    <xf numFmtId="0" fontId="7" fillId="4" borderId="1" xfId="0" applyFont="1" applyFill="1" applyBorder="1" applyAlignment="1">
      <alignment shrinkToFit="1"/>
    </xf>
    <xf numFmtId="164" fontId="0" fillId="9" borderId="1" xfId="0" quotePrefix="1" applyNumberFormat="1" applyFill="1" applyBorder="1" applyAlignment="1">
      <alignment shrinkToFit="1"/>
    </xf>
    <xf numFmtId="0" fontId="7" fillId="6" borderId="1" xfId="0" applyFont="1" applyFill="1" applyBorder="1" applyAlignment="1">
      <alignment shrinkToFit="1"/>
    </xf>
    <xf numFmtId="164" fontId="0" fillId="0" borderId="0" xfId="0" applyNumberFormat="1"/>
    <xf numFmtId="9" fontId="0" fillId="0" borderId="1" xfId="0" applyNumberFormat="1" applyBorder="1"/>
    <xf numFmtId="41" fontId="0" fillId="0" borderId="1" xfId="59" applyFont="1" applyBorder="1"/>
    <xf numFmtId="0" fontId="0" fillId="5" borderId="1" xfId="0" applyFill="1" applyBorder="1"/>
    <xf numFmtId="0" fontId="3" fillId="5" borderId="1" xfId="0" applyFont="1" applyFill="1" applyBorder="1"/>
    <xf numFmtId="0" fontId="3" fillId="8" borderId="1" xfId="0" applyFont="1" applyFill="1" applyBorder="1"/>
    <xf numFmtId="166" fontId="0" fillId="0" borderId="1" xfId="0" applyNumberFormat="1" applyBorder="1"/>
    <xf numFmtId="10" fontId="0" fillId="0" borderId="1" xfId="2" applyNumberFormat="1" applyFont="1" applyBorder="1"/>
    <xf numFmtId="164" fontId="7" fillId="0" borderId="1" xfId="0" applyNumberFormat="1" applyFont="1" applyBorder="1"/>
    <xf numFmtId="0" fontId="6" fillId="5" borderId="1" xfId="0" applyFont="1" applyFill="1" applyBorder="1"/>
    <xf numFmtId="0" fontId="0" fillId="14" borderId="1" xfId="0" applyFill="1" applyBorder="1"/>
    <xf numFmtId="164" fontId="0" fillId="14" borderId="1" xfId="0" applyNumberFormat="1" applyFill="1" applyBorder="1"/>
    <xf numFmtId="164" fontId="7" fillId="14" borderId="1" xfId="0" applyNumberFormat="1" applyFont="1" applyFill="1" applyBorder="1"/>
    <xf numFmtId="164" fontId="0" fillId="5" borderId="1" xfId="0" applyNumberFormat="1" applyFill="1" applyBorder="1"/>
    <xf numFmtId="167" fontId="0" fillId="0" borderId="1" xfId="0" applyNumberFormat="1" applyBorder="1"/>
    <xf numFmtId="167" fontId="0" fillId="0" borderId="1" xfId="2" applyNumberFormat="1" applyFont="1" applyBorder="1"/>
    <xf numFmtId="8" fontId="0" fillId="0" borderId="1" xfId="0" applyNumberFormat="1" applyBorder="1"/>
  </cellXfs>
  <cellStyles count="118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Millares [0]" xfId="59" builtinId="6"/>
    <cellStyle name="Moneda [0]" xfId="1" builtinId="7"/>
    <cellStyle name="Normal" xfId="0" builtinId="0"/>
    <cellStyle name="Porcentual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7"/>
  <sheetViews>
    <sheetView topLeftCell="A125" workbookViewId="0">
      <selection activeCell="A10" sqref="A10:E15"/>
    </sheetView>
  </sheetViews>
  <sheetFormatPr baseColWidth="10" defaultColWidth="18.83203125" defaultRowHeight="15" x14ac:dyDescent="0"/>
  <cols>
    <col min="1" max="1" width="18.83203125" style="20"/>
    <col min="2" max="2" width="30.5" style="20" bestFit="1" customWidth="1"/>
    <col min="3" max="16384" width="18.83203125" style="20"/>
  </cols>
  <sheetData>
    <row r="1" spans="1:5">
      <c r="A1" s="19" t="s">
        <v>0</v>
      </c>
      <c r="B1" s="19" t="s">
        <v>1</v>
      </c>
    </row>
    <row r="2" spans="1:5">
      <c r="A2" s="21" t="s">
        <v>2</v>
      </c>
      <c r="B2" s="22">
        <v>290000000</v>
      </c>
    </row>
    <row r="3" spans="1:5">
      <c r="A3" s="21" t="s">
        <v>3</v>
      </c>
      <c r="B3" s="23">
        <v>375000000</v>
      </c>
    </row>
    <row r="4" spans="1:5">
      <c r="A4" s="21" t="s">
        <v>4</v>
      </c>
      <c r="B4" s="23">
        <v>580000000</v>
      </c>
    </row>
    <row r="5" spans="1:5">
      <c r="A5" s="21" t="s">
        <v>5</v>
      </c>
      <c r="B5" s="23">
        <f>SUM(B2:B4)</f>
        <v>1245000000</v>
      </c>
    </row>
    <row r="7" spans="1:5">
      <c r="A7" s="19" t="s">
        <v>6</v>
      </c>
      <c r="B7" s="24">
        <v>0.33</v>
      </c>
    </row>
    <row r="8" spans="1:5">
      <c r="A8" s="21" t="s">
        <v>7</v>
      </c>
      <c r="B8" s="21"/>
    </row>
    <row r="10" spans="1:5">
      <c r="A10" s="19" t="s">
        <v>8</v>
      </c>
      <c r="B10" s="19" t="s">
        <v>9</v>
      </c>
      <c r="C10" s="19" t="s">
        <v>10</v>
      </c>
      <c r="D10" s="19" t="s">
        <v>11</v>
      </c>
      <c r="E10" s="19" t="s">
        <v>12</v>
      </c>
    </row>
    <row r="11" spans="1:5">
      <c r="A11" s="19" t="s">
        <v>13</v>
      </c>
      <c r="B11" s="23">
        <v>400000000</v>
      </c>
      <c r="C11" s="23">
        <v>500000000</v>
      </c>
      <c r="D11" s="23">
        <v>200000000</v>
      </c>
      <c r="E11" s="23">
        <v>300000000</v>
      </c>
    </row>
    <row r="12" spans="1:5">
      <c r="A12" s="19" t="s">
        <v>14</v>
      </c>
      <c r="B12" s="25">
        <v>0.114</v>
      </c>
      <c r="C12" s="25">
        <v>0.114</v>
      </c>
      <c r="D12" s="25">
        <v>0.114</v>
      </c>
      <c r="E12" s="25">
        <v>0.114</v>
      </c>
    </row>
    <row r="13" spans="1:5">
      <c r="A13" s="19" t="s">
        <v>15</v>
      </c>
      <c r="B13" s="21">
        <v>6</v>
      </c>
      <c r="C13" s="21">
        <v>6</v>
      </c>
      <c r="D13" s="21">
        <v>6</v>
      </c>
      <c r="E13" s="21">
        <v>6</v>
      </c>
    </row>
    <row r="14" spans="1:5">
      <c r="A14" s="19" t="s">
        <v>16</v>
      </c>
      <c r="B14" s="21" t="s">
        <v>17</v>
      </c>
      <c r="C14" s="21" t="s">
        <v>17</v>
      </c>
      <c r="D14" s="21" t="s">
        <v>18</v>
      </c>
      <c r="E14" s="21" t="s">
        <v>17</v>
      </c>
    </row>
    <row r="15" spans="1:5">
      <c r="A15" s="19" t="s">
        <v>19</v>
      </c>
      <c r="B15" s="21" t="s">
        <v>20</v>
      </c>
      <c r="C15" s="21" t="s">
        <v>21</v>
      </c>
      <c r="D15" s="21" t="s">
        <v>22</v>
      </c>
      <c r="E15" s="21" t="s">
        <v>22</v>
      </c>
    </row>
    <row r="18" spans="1:10">
      <c r="A18" s="19" t="s">
        <v>23</v>
      </c>
      <c r="B18" s="19" t="s">
        <v>24</v>
      </c>
    </row>
    <row r="19" spans="1:10">
      <c r="A19" s="26" t="s">
        <v>25</v>
      </c>
      <c r="B19" s="27">
        <f>B11</f>
        <v>400000000</v>
      </c>
    </row>
    <row r="20" spans="1:10">
      <c r="A20" s="26" t="s">
        <v>26</v>
      </c>
      <c r="B20" s="26">
        <f>(B12/2) *100%</f>
        <v>5.7000000000000002E-2</v>
      </c>
    </row>
    <row r="21" spans="1:10">
      <c r="A21" s="26" t="s">
        <v>27</v>
      </c>
      <c r="B21" s="26">
        <v>12</v>
      </c>
    </row>
    <row r="23" spans="1:10">
      <c r="A23" s="19" t="s">
        <v>28</v>
      </c>
      <c r="B23" s="28">
        <f>B19*((B20*(1+B20)^B21)/((1+B20)^B21-1))</f>
        <v>46929243.457100071</v>
      </c>
    </row>
    <row r="25" spans="1:10">
      <c r="A25" s="19" t="s">
        <v>29</v>
      </c>
      <c r="B25" s="19" t="s">
        <v>30</v>
      </c>
      <c r="C25" s="19" t="s">
        <v>31</v>
      </c>
      <c r="D25" s="19" t="s">
        <v>32</v>
      </c>
      <c r="E25" s="19" t="s">
        <v>33</v>
      </c>
      <c r="F25" s="19" t="s">
        <v>28</v>
      </c>
      <c r="G25" s="19" t="s">
        <v>34</v>
      </c>
      <c r="H25" s="19" t="s">
        <v>35</v>
      </c>
      <c r="I25" s="19" t="s">
        <v>36</v>
      </c>
      <c r="J25" s="19" t="s">
        <v>37</v>
      </c>
    </row>
    <row r="26" spans="1:10">
      <c r="A26" s="29">
        <v>0</v>
      </c>
      <c r="B26" s="23">
        <v>0</v>
      </c>
      <c r="C26" s="23">
        <f>B19</f>
        <v>400000000</v>
      </c>
      <c r="D26" s="22">
        <v>0</v>
      </c>
      <c r="E26" s="22">
        <v>0</v>
      </c>
      <c r="F26" s="22">
        <v>0</v>
      </c>
      <c r="G26" s="23">
        <f>C26</f>
        <v>400000000</v>
      </c>
      <c r="H26" s="23">
        <f>C26-F26</f>
        <v>400000000</v>
      </c>
      <c r="I26" s="23">
        <f>0</f>
        <v>0</v>
      </c>
      <c r="J26" s="22">
        <f>H26-I26</f>
        <v>400000000</v>
      </c>
    </row>
    <row r="27" spans="1:10">
      <c r="A27" s="29">
        <v>1</v>
      </c>
      <c r="B27" s="23">
        <f>G26</f>
        <v>400000000</v>
      </c>
      <c r="C27" s="23">
        <v>0</v>
      </c>
      <c r="D27" s="23">
        <f>$B$20*B27</f>
        <v>22800000</v>
      </c>
      <c r="E27" s="23">
        <f>F27-D27</f>
        <v>24129243.457100071</v>
      </c>
      <c r="F27" s="23">
        <f>$B$23</f>
        <v>46929243.457100071</v>
      </c>
      <c r="G27" s="23">
        <f>B27-E27</f>
        <v>375870756.54289991</v>
      </c>
      <c r="H27" s="23">
        <f>C27-F27</f>
        <v>-46929243.457100071</v>
      </c>
      <c r="I27" s="23">
        <f>$I$26</f>
        <v>0</v>
      </c>
      <c r="J27" s="22">
        <f>H27+I27</f>
        <v>-46929243.457100071</v>
      </c>
    </row>
    <row r="28" spans="1:10">
      <c r="A28" s="29">
        <v>2</v>
      </c>
      <c r="B28" s="23">
        <f t="shared" ref="B28:B29" si="0">G27</f>
        <v>375870756.54289991</v>
      </c>
      <c r="C28" s="23">
        <v>0</v>
      </c>
      <c r="D28" s="23">
        <f t="shared" ref="D28:D29" si="1">$B$20*B28</f>
        <v>21424633.122945294</v>
      </c>
      <c r="E28" s="23">
        <f t="shared" ref="E28:E38" si="2">F28-D28</f>
        <v>25504610.334154777</v>
      </c>
      <c r="F28" s="23">
        <f t="shared" ref="F28:F38" si="3">$B$23</f>
        <v>46929243.457100071</v>
      </c>
      <c r="G28" s="23">
        <f t="shared" ref="G28:G29" si="4">B28-E28</f>
        <v>350366146.20874512</v>
      </c>
      <c r="H28" s="23">
        <f t="shared" ref="H28:H29" si="5">C28-F28</f>
        <v>-46929243.457100071</v>
      </c>
      <c r="I28" s="23">
        <f>(D27+D28)*B7</f>
        <v>14594128.930571947</v>
      </c>
      <c r="J28" s="22">
        <f t="shared" ref="J28:J29" si="6">H28+I28</f>
        <v>-32335114.526528124</v>
      </c>
    </row>
    <row r="29" spans="1:10">
      <c r="A29" s="29">
        <v>3</v>
      </c>
      <c r="B29" s="23">
        <f t="shared" si="0"/>
        <v>350366146.20874512</v>
      </c>
      <c r="C29" s="23">
        <v>0</v>
      </c>
      <c r="D29" s="23">
        <f t="shared" si="1"/>
        <v>19970870.333898474</v>
      </c>
      <c r="E29" s="23">
        <f t="shared" si="2"/>
        <v>26958373.123201597</v>
      </c>
      <c r="F29" s="23">
        <f t="shared" si="3"/>
        <v>46929243.457100071</v>
      </c>
      <c r="G29" s="23">
        <f t="shared" si="4"/>
        <v>323407773.08554351</v>
      </c>
      <c r="H29" s="23">
        <f t="shared" si="5"/>
        <v>-46929243.457100071</v>
      </c>
      <c r="I29" s="23">
        <f>0</f>
        <v>0</v>
      </c>
      <c r="J29" s="22">
        <f t="shared" si="6"/>
        <v>-46929243.457100071</v>
      </c>
    </row>
    <row r="30" spans="1:10">
      <c r="A30" s="29">
        <v>4</v>
      </c>
      <c r="B30" s="23">
        <f t="shared" ref="B30:B38" si="7">G29</f>
        <v>323407773.08554351</v>
      </c>
      <c r="C30" s="23">
        <v>0</v>
      </c>
      <c r="D30" s="23">
        <f t="shared" ref="D30:D38" si="8">$B$20*B30</f>
        <v>18434243.065875981</v>
      </c>
      <c r="E30" s="23">
        <f t="shared" si="2"/>
        <v>28495000.39122409</v>
      </c>
      <c r="F30" s="23">
        <f t="shared" si="3"/>
        <v>46929243.457100071</v>
      </c>
      <c r="G30" s="23">
        <f t="shared" ref="G30:G38" si="9">B30-E30</f>
        <v>294912772.69431943</v>
      </c>
      <c r="H30" s="23">
        <f t="shared" ref="H30:H38" si="10">C30-F30</f>
        <v>-46929243.457100071</v>
      </c>
      <c r="I30" s="23">
        <f>(D29+D30)*B7</f>
        <v>12673687.421925571</v>
      </c>
      <c r="J30" s="22">
        <f t="shared" ref="J30:J38" si="11">H30+I30</f>
        <v>-34255556.035174504</v>
      </c>
    </row>
    <row r="31" spans="1:10">
      <c r="A31" s="29">
        <v>5</v>
      </c>
      <c r="B31" s="23">
        <f t="shared" si="7"/>
        <v>294912772.69431943</v>
      </c>
      <c r="C31" s="23">
        <v>0</v>
      </c>
      <c r="D31" s="23">
        <f t="shared" si="8"/>
        <v>16810028.043576207</v>
      </c>
      <c r="E31" s="23">
        <f t="shared" si="2"/>
        <v>30119215.413523864</v>
      </c>
      <c r="F31" s="23">
        <f t="shared" si="3"/>
        <v>46929243.457100071</v>
      </c>
      <c r="G31" s="23">
        <f t="shared" si="9"/>
        <v>264793557.28079557</v>
      </c>
      <c r="H31" s="23">
        <f t="shared" si="10"/>
        <v>-46929243.457100071</v>
      </c>
      <c r="I31" s="23">
        <v>0</v>
      </c>
      <c r="J31" s="22">
        <f t="shared" si="11"/>
        <v>-46929243.457100071</v>
      </c>
    </row>
    <row r="32" spans="1:10">
      <c r="A32" s="29">
        <v>6</v>
      </c>
      <c r="B32" s="23">
        <f t="shared" si="7"/>
        <v>264793557.28079557</v>
      </c>
      <c r="C32" s="23">
        <v>0</v>
      </c>
      <c r="D32" s="23">
        <f t="shared" si="8"/>
        <v>15093232.765005348</v>
      </c>
      <c r="E32" s="23">
        <f t="shared" si="2"/>
        <v>31836010.692094721</v>
      </c>
      <c r="F32" s="23">
        <f t="shared" si="3"/>
        <v>46929243.457100071</v>
      </c>
      <c r="G32" s="23">
        <f t="shared" si="9"/>
        <v>232957546.58870086</v>
      </c>
      <c r="H32" s="23">
        <f t="shared" si="10"/>
        <v>-46929243.457100071</v>
      </c>
      <c r="I32" s="23">
        <f>(D31+D32)*B7</f>
        <v>10528076.066831913</v>
      </c>
      <c r="J32" s="22">
        <f t="shared" si="11"/>
        <v>-36401167.390268162</v>
      </c>
    </row>
    <row r="33" spans="1:14">
      <c r="A33" s="29">
        <v>7</v>
      </c>
      <c r="B33" s="23">
        <f t="shared" si="7"/>
        <v>232957546.58870086</v>
      </c>
      <c r="C33" s="23">
        <v>0</v>
      </c>
      <c r="D33" s="23">
        <f t="shared" si="8"/>
        <v>13278580.155555949</v>
      </c>
      <c r="E33" s="23">
        <f t="shared" si="2"/>
        <v>33650663.301544122</v>
      </c>
      <c r="F33" s="23">
        <f t="shared" si="3"/>
        <v>46929243.457100071</v>
      </c>
      <c r="G33" s="23">
        <f t="shared" si="9"/>
        <v>199306883.28715673</v>
      </c>
      <c r="H33" s="23">
        <f t="shared" si="10"/>
        <v>-46929243.457100071</v>
      </c>
      <c r="I33" s="23">
        <v>0</v>
      </c>
      <c r="J33" s="22">
        <f t="shared" si="11"/>
        <v>-46929243.457100071</v>
      </c>
    </row>
    <row r="34" spans="1:14">
      <c r="A34" s="29">
        <v>8</v>
      </c>
      <c r="B34" s="23">
        <f t="shared" si="7"/>
        <v>199306883.28715673</v>
      </c>
      <c r="C34" s="23">
        <v>0</v>
      </c>
      <c r="D34" s="23">
        <f t="shared" si="8"/>
        <v>11360492.347367935</v>
      </c>
      <c r="E34" s="23">
        <f t="shared" si="2"/>
        <v>35568751.109732136</v>
      </c>
      <c r="F34" s="23">
        <f t="shared" si="3"/>
        <v>46929243.457100071</v>
      </c>
      <c r="G34" s="23">
        <f t="shared" si="9"/>
        <v>163738132.17742461</v>
      </c>
      <c r="H34" s="23">
        <f t="shared" si="10"/>
        <v>-46929243.457100071</v>
      </c>
      <c r="I34" s="23">
        <f>(D33+D34)*B7</f>
        <v>8130893.9259648817</v>
      </c>
      <c r="J34" s="22">
        <f t="shared" si="11"/>
        <v>-38798349.531135187</v>
      </c>
    </row>
    <row r="35" spans="1:14">
      <c r="A35" s="29">
        <v>9</v>
      </c>
      <c r="B35" s="23">
        <f t="shared" si="7"/>
        <v>163738132.17742461</v>
      </c>
      <c r="C35" s="23">
        <v>0</v>
      </c>
      <c r="D35" s="23">
        <f t="shared" si="8"/>
        <v>9333073.5341132022</v>
      </c>
      <c r="E35" s="23">
        <f t="shared" si="2"/>
        <v>37596169.922986865</v>
      </c>
      <c r="F35" s="23">
        <f t="shared" si="3"/>
        <v>46929243.457100071</v>
      </c>
      <c r="G35" s="23">
        <f t="shared" si="9"/>
        <v>126141962.25443774</v>
      </c>
      <c r="H35" s="23">
        <f t="shared" si="10"/>
        <v>-46929243.457100071</v>
      </c>
      <c r="I35" s="23">
        <v>0</v>
      </c>
      <c r="J35" s="22">
        <f t="shared" si="11"/>
        <v>-46929243.457100071</v>
      </c>
      <c r="K35" s="30"/>
      <c r="L35" s="30"/>
      <c r="M35" s="30"/>
      <c r="N35" s="30"/>
    </row>
    <row r="36" spans="1:14">
      <c r="A36" s="29">
        <v>10</v>
      </c>
      <c r="B36" s="23">
        <f t="shared" si="7"/>
        <v>126141962.25443774</v>
      </c>
      <c r="C36" s="23">
        <v>0</v>
      </c>
      <c r="D36" s="23">
        <f t="shared" si="8"/>
        <v>7190091.8485029517</v>
      </c>
      <c r="E36" s="23">
        <f t="shared" si="2"/>
        <v>39739151.608597122</v>
      </c>
      <c r="F36" s="23">
        <f t="shared" si="3"/>
        <v>46929243.457100071</v>
      </c>
      <c r="G36" s="23">
        <f t="shared" si="9"/>
        <v>86402810.645840615</v>
      </c>
      <c r="H36" s="23">
        <f t="shared" si="10"/>
        <v>-46929243.457100071</v>
      </c>
      <c r="I36" s="23">
        <f>(D35+D36)*B7</f>
        <v>5452644.5762633318</v>
      </c>
      <c r="J36" s="22">
        <f t="shared" si="11"/>
        <v>-41476598.88083674</v>
      </c>
      <c r="K36" s="30"/>
      <c r="L36" s="30"/>
      <c r="M36" s="30"/>
      <c r="N36" s="30"/>
    </row>
    <row r="37" spans="1:14">
      <c r="A37" s="29">
        <v>11</v>
      </c>
      <c r="B37" s="23">
        <f t="shared" si="7"/>
        <v>86402810.645840615</v>
      </c>
      <c r="C37" s="23">
        <v>0</v>
      </c>
      <c r="D37" s="23">
        <f t="shared" si="8"/>
        <v>4924960.2068129154</v>
      </c>
      <c r="E37" s="23">
        <f t="shared" si="2"/>
        <v>42004283.250287153</v>
      </c>
      <c r="F37" s="23">
        <f t="shared" si="3"/>
        <v>46929243.457100071</v>
      </c>
      <c r="G37" s="23">
        <f t="shared" si="9"/>
        <v>44398527.395553462</v>
      </c>
      <c r="H37" s="23">
        <f t="shared" si="10"/>
        <v>-46929243.457100071</v>
      </c>
      <c r="I37" s="23">
        <v>0</v>
      </c>
      <c r="J37" s="22">
        <f t="shared" si="11"/>
        <v>-46929243.457100071</v>
      </c>
      <c r="K37" s="30"/>
      <c r="L37" s="30"/>
      <c r="M37" s="30"/>
      <c r="N37" s="30"/>
    </row>
    <row r="38" spans="1:14">
      <c r="A38" s="29">
        <v>12</v>
      </c>
      <c r="B38" s="23">
        <f t="shared" si="7"/>
        <v>44398527.395553462</v>
      </c>
      <c r="C38" s="23">
        <v>0</v>
      </c>
      <c r="D38" s="23">
        <f t="shared" si="8"/>
        <v>2530716.0615465473</v>
      </c>
      <c r="E38" s="23">
        <f t="shared" si="2"/>
        <v>44398527.395553522</v>
      </c>
      <c r="F38" s="23">
        <f t="shared" si="3"/>
        <v>46929243.457100071</v>
      </c>
      <c r="G38" s="23">
        <f t="shared" si="9"/>
        <v>-5.9604644775390625E-8</v>
      </c>
      <c r="H38" s="23">
        <f t="shared" si="10"/>
        <v>-46929243.457100071</v>
      </c>
      <c r="I38" s="23">
        <f>(D37+D38)*B7</f>
        <v>2460373.1685586227</v>
      </c>
      <c r="J38" s="22">
        <f t="shared" si="11"/>
        <v>-44468870.288541451</v>
      </c>
    </row>
    <row r="39" spans="1:14">
      <c r="I39" s="19" t="s">
        <v>39</v>
      </c>
      <c r="J39" s="31">
        <f>IRR(H26:H38)</f>
        <v>5.7000000000000162E-2</v>
      </c>
    </row>
    <row r="40" spans="1:14">
      <c r="I40" s="19" t="s">
        <v>40</v>
      </c>
      <c r="J40" s="31">
        <f>IRR(J26:J38)</f>
        <v>3.8567697357282826E-2</v>
      </c>
    </row>
    <row r="42" spans="1:14">
      <c r="A42" s="19" t="s">
        <v>41</v>
      </c>
      <c r="B42" s="19" t="s">
        <v>24</v>
      </c>
    </row>
    <row r="43" spans="1:14">
      <c r="A43" s="26" t="s">
        <v>25</v>
      </c>
      <c r="B43" s="23">
        <f>C11</f>
        <v>500000000</v>
      </c>
      <c r="C43" s="32">
        <f>0</f>
        <v>0</v>
      </c>
    </row>
    <row r="44" spans="1:14">
      <c r="A44" s="21" t="s">
        <v>26</v>
      </c>
      <c r="B44" s="21">
        <f>C12/2</f>
        <v>5.7000000000000002E-2</v>
      </c>
    </row>
    <row r="45" spans="1:14">
      <c r="A45" s="21" t="s">
        <v>27</v>
      </c>
      <c r="B45" s="21">
        <v>12</v>
      </c>
    </row>
    <row r="48" spans="1:14">
      <c r="C48" s="32"/>
    </row>
    <row r="49" spans="1:10">
      <c r="A49" s="19" t="s">
        <v>29</v>
      </c>
      <c r="B49" s="19" t="s">
        <v>30</v>
      </c>
      <c r="C49" s="19" t="s">
        <v>31</v>
      </c>
      <c r="D49" s="19" t="s">
        <v>32</v>
      </c>
      <c r="E49" s="19" t="s">
        <v>33</v>
      </c>
      <c r="F49" s="19" t="s">
        <v>28</v>
      </c>
      <c r="G49" s="19" t="s">
        <v>34</v>
      </c>
      <c r="H49" s="19" t="s">
        <v>35</v>
      </c>
      <c r="I49" s="19" t="s">
        <v>36</v>
      </c>
      <c r="J49" s="19" t="s">
        <v>37</v>
      </c>
    </row>
    <row r="50" spans="1:10">
      <c r="A50" s="29">
        <v>0</v>
      </c>
      <c r="B50" s="23">
        <v>0</v>
      </c>
      <c r="C50" s="23">
        <f>B43</f>
        <v>500000000</v>
      </c>
      <c r="D50" s="23">
        <v>0</v>
      </c>
      <c r="E50" s="23">
        <f>$C$43</f>
        <v>0</v>
      </c>
      <c r="F50" s="23">
        <v>0</v>
      </c>
      <c r="G50" s="23">
        <f>C50</f>
        <v>500000000</v>
      </c>
      <c r="H50" s="23">
        <f>C50-F50</f>
        <v>500000000</v>
      </c>
      <c r="I50" s="23">
        <v>0</v>
      </c>
      <c r="J50" s="22">
        <f>H50-I50</f>
        <v>500000000</v>
      </c>
    </row>
    <row r="51" spans="1:10">
      <c r="A51" s="29">
        <v>1</v>
      </c>
      <c r="B51" s="23">
        <f>G50</f>
        <v>500000000</v>
      </c>
      <c r="C51" s="23">
        <f>$C$43</f>
        <v>0</v>
      </c>
      <c r="D51" s="23">
        <f>B51*$B$44</f>
        <v>28500000</v>
      </c>
      <c r="E51" s="23">
        <f t="shared" ref="E51:E61" si="12">$C$43</f>
        <v>0</v>
      </c>
      <c r="F51" s="23">
        <f>D51+E51</f>
        <v>28500000</v>
      </c>
      <c r="G51" s="23">
        <f>B51-E51</f>
        <v>500000000</v>
      </c>
      <c r="H51" s="23">
        <f>C51-F51</f>
        <v>-28500000</v>
      </c>
      <c r="I51" s="23">
        <f>$C$43</f>
        <v>0</v>
      </c>
      <c r="J51" s="22">
        <f>H51+I51</f>
        <v>-28500000</v>
      </c>
    </row>
    <row r="52" spans="1:10">
      <c r="A52" s="29">
        <v>2</v>
      </c>
      <c r="B52" s="23">
        <f>G51</f>
        <v>500000000</v>
      </c>
      <c r="C52" s="23">
        <f t="shared" ref="C52:C62" si="13">$C$43</f>
        <v>0</v>
      </c>
      <c r="D52" s="23">
        <f>B52*$B$44</f>
        <v>28500000</v>
      </c>
      <c r="E52" s="23">
        <f t="shared" si="12"/>
        <v>0</v>
      </c>
      <c r="F52" s="23">
        <f>D52+E52</f>
        <v>28500000</v>
      </c>
      <c r="G52" s="23">
        <f>B52-E52</f>
        <v>500000000</v>
      </c>
      <c r="H52" s="23">
        <f>C52-F52</f>
        <v>-28500000</v>
      </c>
      <c r="I52" s="23">
        <f>(D51+D52)*$B$7</f>
        <v>18810000</v>
      </c>
      <c r="J52" s="22">
        <f>H52+I52</f>
        <v>-9690000</v>
      </c>
    </row>
    <row r="53" spans="1:10">
      <c r="A53" s="29">
        <v>3</v>
      </c>
      <c r="B53" s="23">
        <f t="shared" ref="B53:B62" si="14">G52</f>
        <v>500000000</v>
      </c>
      <c r="C53" s="23">
        <f t="shared" si="13"/>
        <v>0</v>
      </c>
      <c r="D53" s="23">
        <f t="shared" ref="D53:D62" si="15">B53*$B$44</f>
        <v>28500000</v>
      </c>
      <c r="E53" s="23">
        <f t="shared" si="12"/>
        <v>0</v>
      </c>
      <c r="F53" s="23">
        <f t="shared" ref="F53:F62" si="16">D53+E53</f>
        <v>28500000</v>
      </c>
      <c r="G53" s="23">
        <f t="shared" ref="G53:G62" si="17">B53-E53</f>
        <v>500000000</v>
      </c>
      <c r="H53" s="23">
        <f t="shared" ref="H53:H62" si="18">C53-F53</f>
        <v>-28500000</v>
      </c>
      <c r="I53" s="23">
        <f t="shared" ref="I53" si="19">$C$43</f>
        <v>0</v>
      </c>
      <c r="J53" s="22">
        <f t="shared" ref="J53:J62" si="20">H53+I53</f>
        <v>-28500000</v>
      </c>
    </row>
    <row r="54" spans="1:10">
      <c r="A54" s="29">
        <v>4</v>
      </c>
      <c r="B54" s="23">
        <f t="shared" si="14"/>
        <v>500000000</v>
      </c>
      <c r="C54" s="23">
        <f t="shared" si="13"/>
        <v>0</v>
      </c>
      <c r="D54" s="23">
        <f t="shared" si="15"/>
        <v>28500000</v>
      </c>
      <c r="E54" s="23">
        <f t="shared" si="12"/>
        <v>0</v>
      </c>
      <c r="F54" s="23">
        <f t="shared" si="16"/>
        <v>28500000</v>
      </c>
      <c r="G54" s="23">
        <f t="shared" si="17"/>
        <v>500000000</v>
      </c>
      <c r="H54" s="23">
        <f t="shared" si="18"/>
        <v>-28500000</v>
      </c>
      <c r="I54" s="23">
        <f t="shared" ref="I54" si="21">(D53+D54)*$B$7</f>
        <v>18810000</v>
      </c>
      <c r="J54" s="22">
        <f t="shared" si="20"/>
        <v>-9690000</v>
      </c>
    </row>
    <row r="55" spans="1:10">
      <c r="A55" s="29">
        <v>5</v>
      </c>
      <c r="B55" s="23">
        <f t="shared" si="14"/>
        <v>500000000</v>
      </c>
      <c r="C55" s="23">
        <f t="shared" si="13"/>
        <v>0</v>
      </c>
      <c r="D55" s="23">
        <f t="shared" si="15"/>
        <v>28500000</v>
      </c>
      <c r="E55" s="23">
        <f t="shared" si="12"/>
        <v>0</v>
      </c>
      <c r="F55" s="23">
        <f t="shared" si="16"/>
        <v>28500000</v>
      </c>
      <c r="G55" s="23">
        <f t="shared" si="17"/>
        <v>500000000</v>
      </c>
      <c r="H55" s="23">
        <f t="shared" si="18"/>
        <v>-28500000</v>
      </c>
      <c r="I55" s="23">
        <f t="shared" ref="I55" si="22">$C$43</f>
        <v>0</v>
      </c>
      <c r="J55" s="22">
        <f t="shared" si="20"/>
        <v>-28500000</v>
      </c>
    </row>
    <row r="56" spans="1:10">
      <c r="A56" s="29">
        <v>6</v>
      </c>
      <c r="B56" s="23">
        <f t="shared" si="14"/>
        <v>500000000</v>
      </c>
      <c r="C56" s="23">
        <f t="shared" si="13"/>
        <v>0</v>
      </c>
      <c r="D56" s="23">
        <f t="shared" si="15"/>
        <v>28500000</v>
      </c>
      <c r="E56" s="23">
        <f t="shared" si="12"/>
        <v>0</v>
      </c>
      <c r="F56" s="23">
        <f t="shared" si="16"/>
        <v>28500000</v>
      </c>
      <c r="G56" s="23">
        <f t="shared" si="17"/>
        <v>500000000</v>
      </c>
      <c r="H56" s="23">
        <f t="shared" si="18"/>
        <v>-28500000</v>
      </c>
      <c r="I56" s="23">
        <f t="shared" ref="I56" si="23">(D55+D56)*$B$7</f>
        <v>18810000</v>
      </c>
      <c r="J56" s="22">
        <f t="shared" si="20"/>
        <v>-9690000</v>
      </c>
    </row>
    <row r="57" spans="1:10">
      <c r="A57" s="29">
        <v>7</v>
      </c>
      <c r="B57" s="23">
        <f t="shared" si="14"/>
        <v>500000000</v>
      </c>
      <c r="C57" s="23">
        <f t="shared" si="13"/>
        <v>0</v>
      </c>
      <c r="D57" s="23">
        <f t="shared" si="15"/>
        <v>28500000</v>
      </c>
      <c r="E57" s="23">
        <f t="shared" si="12"/>
        <v>0</v>
      </c>
      <c r="F57" s="23">
        <f t="shared" si="16"/>
        <v>28500000</v>
      </c>
      <c r="G57" s="23">
        <f t="shared" si="17"/>
        <v>500000000</v>
      </c>
      <c r="H57" s="23">
        <f t="shared" si="18"/>
        <v>-28500000</v>
      </c>
      <c r="I57" s="23">
        <f t="shared" ref="I57" si="24">$C$43</f>
        <v>0</v>
      </c>
      <c r="J57" s="22">
        <f t="shared" si="20"/>
        <v>-28500000</v>
      </c>
    </row>
    <row r="58" spans="1:10">
      <c r="A58" s="29">
        <v>8</v>
      </c>
      <c r="B58" s="23">
        <f t="shared" si="14"/>
        <v>500000000</v>
      </c>
      <c r="C58" s="23">
        <f t="shared" si="13"/>
        <v>0</v>
      </c>
      <c r="D58" s="23">
        <f t="shared" si="15"/>
        <v>28500000</v>
      </c>
      <c r="E58" s="23">
        <f t="shared" si="12"/>
        <v>0</v>
      </c>
      <c r="F58" s="23">
        <f t="shared" si="16"/>
        <v>28500000</v>
      </c>
      <c r="G58" s="23">
        <f t="shared" si="17"/>
        <v>500000000</v>
      </c>
      <c r="H58" s="23">
        <f t="shared" si="18"/>
        <v>-28500000</v>
      </c>
      <c r="I58" s="23">
        <f t="shared" ref="I58" si="25">(D57+D58)*$B$7</f>
        <v>18810000</v>
      </c>
      <c r="J58" s="22">
        <f t="shared" si="20"/>
        <v>-9690000</v>
      </c>
    </row>
    <row r="59" spans="1:10">
      <c r="A59" s="29">
        <v>9</v>
      </c>
      <c r="B59" s="23">
        <f t="shared" si="14"/>
        <v>500000000</v>
      </c>
      <c r="C59" s="23">
        <f t="shared" si="13"/>
        <v>0</v>
      </c>
      <c r="D59" s="23">
        <f t="shared" si="15"/>
        <v>28500000</v>
      </c>
      <c r="E59" s="23">
        <f t="shared" si="12"/>
        <v>0</v>
      </c>
      <c r="F59" s="23">
        <f t="shared" si="16"/>
        <v>28500000</v>
      </c>
      <c r="G59" s="23">
        <f t="shared" si="17"/>
        <v>500000000</v>
      </c>
      <c r="H59" s="23">
        <f t="shared" si="18"/>
        <v>-28500000</v>
      </c>
      <c r="I59" s="23">
        <f t="shared" ref="I59" si="26">$C$43</f>
        <v>0</v>
      </c>
      <c r="J59" s="22">
        <f t="shared" si="20"/>
        <v>-28500000</v>
      </c>
    </row>
    <row r="60" spans="1:10">
      <c r="A60" s="29">
        <v>10</v>
      </c>
      <c r="B60" s="23">
        <f t="shared" si="14"/>
        <v>500000000</v>
      </c>
      <c r="C60" s="23">
        <f t="shared" si="13"/>
        <v>0</v>
      </c>
      <c r="D60" s="23">
        <f t="shared" si="15"/>
        <v>28500000</v>
      </c>
      <c r="E60" s="23">
        <f t="shared" si="12"/>
        <v>0</v>
      </c>
      <c r="F60" s="23">
        <f t="shared" si="16"/>
        <v>28500000</v>
      </c>
      <c r="G60" s="23">
        <f t="shared" si="17"/>
        <v>500000000</v>
      </c>
      <c r="H60" s="23">
        <f t="shared" si="18"/>
        <v>-28500000</v>
      </c>
      <c r="I60" s="23">
        <f t="shared" ref="I60" si="27">(D59+D60)*$B$7</f>
        <v>18810000</v>
      </c>
      <c r="J60" s="22">
        <f t="shared" si="20"/>
        <v>-9690000</v>
      </c>
    </row>
    <row r="61" spans="1:10">
      <c r="A61" s="29">
        <v>11</v>
      </c>
      <c r="B61" s="23">
        <f t="shared" si="14"/>
        <v>500000000</v>
      </c>
      <c r="C61" s="23">
        <f t="shared" si="13"/>
        <v>0</v>
      </c>
      <c r="D61" s="23">
        <f t="shared" si="15"/>
        <v>28500000</v>
      </c>
      <c r="E61" s="23">
        <f t="shared" si="12"/>
        <v>0</v>
      </c>
      <c r="F61" s="23">
        <f t="shared" si="16"/>
        <v>28500000</v>
      </c>
      <c r="G61" s="23">
        <f t="shared" si="17"/>
        <v>500000000</v>
      </c>
      <c r="H61" s="23">
        <f t="shared" si="18"/>
        <v>-28500000</v>
      </c>
      <c r="I61" s="23">
        <f t="shared" ref="I61" si="28">$C$43</f>
        <v>0</v>
      </c>
      <c r="J61" s="22">
        <f t="shared" si="20"/>
        <v>-28500000</v>
      </c>
    </row>
    <row r="62" spans="1:10">
      <c r="A62" s="29">
        <v>12</v>
      </c>
      <c r="B62" s="23">
        <f t="shared" si="14"/>
        <v>500000000</v>
      </c>
      <c r="C62" s="23">
        <f t="shared" si="13"/>
        <v>0</v>
      </c>
      <c r="D62" s="23">
        <f t="shared" si="15"/>
        <v>28500000</v>
      </c>
      <c r="E62" s="23">
        <f>C50</f>
        <v>500000000</v>
      </c>
      <c r="F62" s="23">
        <f t="shared" si="16"/>
        <v>528500000</v>
      </c>
      <c r="G62" s="23">
        <f t="shared" si="17"/>
        <v>0</v>
      </c>
      <c r="H62" s="23">
        <f t="shared" si="18"/>
        <v>-528500000</v>
      </c>
      <c r="I62" s="23">
        <f t="shared" ref="I62" si="29">(D61+D62)*$B$7</f>
        <v>18810000</v>
      </c>
      <c r="J62" s="22">
        <f t="shared" si="20"/>
        <v>-509690000</v>
      </c>
    </row>
    <row r="63" spans="1:10">
      <c r="I63" s="19" t="s">
        <v>39</v>
      </c>
      <c r="J63" s="31">
        <f>IRR(H50:H62)</f>
        <v>5.699999999999994E-2</v>
      </c>
    </row>
    <row r="64" spans="1:10">
      <c r="E64" s="20">
        <f>E12/2</f>
        <v>5.7000000000000002E-2</v>
      </c>
      <c r="I64" s="19" t="s">
        <v>40</v>
      </c>
      <c r="J64" s="31">
        <f>IRR(J50:J62)</f>
        <v>3.854566728440556E-2</v>
      </c>
    </row>
    <row r="66" spans="1:14">
      <c r="A66" s="1" t="s">
        <v>42</v>
      </c>
      <c r="B66" s="1" t="s">
        <v>24</v>
      </c>
    </row>
    <row r="67" spans="1:14">
      <c r="A67" s="6" t="s">
        <v>25</v>
      </c>
      <c r="B67" s="4">
        <f>D11</f>
        <v>200000000</v>
      </c>
      <c r="C67" s="32">
        <f>0</f>
        <v>0</v>
      </c>
    </row>
    <row r="68" spans="1:14">
      <c r="A68" s="2" t="s">
        <v>26</v>
      </c>
      <c r="B68" s="2">
        <f>D12/2</f>
        <v>5.7000000000000002E-2</v>
      </c>
    </row>
    <row r="69" spans="1:14">
      <c r="A69" s="2" t="s">
        <v>27</v>
      </c>
      <c r="B69" s="2">
        <v>12</v>
      </c>
    </row>
    <row r="71" spans="1:14">
      <c r="A71" s="1" t="s">
        <v>33</v>
      </c>
      <c r="B71" s="4">
        <f>B67/(B69-2)</f>
        <v>20000000</v>
      </c>
    </row>
    <row r="73" spans="1:14">
      <c r="A73" s="1" t="s">
        <v>29</v>
      </c>
      <c r="B73" s="1" t="s">
        <v>30</v>
      </c>
      <c r="C73" s="1" t="s">
        <v>31</v>
      </c>
      <c r="D73" s="1" t="s">
        <v>32</v>
      </c>
      <c r="E73" s="1" t="s">
        <v>33</v>
      </c>
      <c r="F73" s="1" t="s">
        <v>28</v>
      </c>
      <c r="G73" s="1" t="s">
        <v>34</v>
      </c>
      <c r="H73" s="1" t="s">
        <v>35</v>
      </c>
      <c r="I73" s="1" t="s">
        <v>36</v>
      </c>
      <c r="J73" s="1" t="s">
        <v>37</v>
      </c>
      <c r="K73"/>
      <c r="L73"/>
      <c r="M73"/>
      <c r="N73"/>
    </row>
    <row r="74" spans="1:14">
      <c r="A74" s="33">
        <v>0</v>
      </c>
      <c r="B74" s="4">
        <v>0</v>
      </c>
      <c r="C74" s="4">
        <f>B67</f>
        <v>200000000</v>
      </c>
      <c r="D74" s="4">
        <v>0</v>
      </c>
      <c r="E74" s="4">
        <v>0</v>
      </c>
      <c r="F74" s="4">
        <v>0</v>
      </c>
      <c r="G74" s="4">
        <f>C74</f>
        <v>200000000</v>
      </c>
      <c r="H74" s="4">
        <f>C74-F74</f>
        <v>200000000</v>
      </c>
      <c r="I74" s="4">
        <f>0</f>
        <v>0</v>
      </c>
      <c r="J74" s="3">
        <f>H74-I74</f>
        <v>200000000</v>
      </c>
      <c r="K74"/>
      <c r="L74"/>
      <c r="M74"/>
      <c r="N74"/>
    </row>
    <row r="75" spans="1:14">
      <c r="A75" s="33">
        <v>1</v>
      </c>
      <c r="B75" s="4">
        <f>G74</f>
        <v>200000000</v>
      </c>
      <c r="C75" s="4">
        <v>0</v>
      </c>
      <c r="D75" s="4">
        <f>$B$68*B75</f>
        <v>11400000</v>
      </c>
      <c r="E75" s="4">
        <v>0</v>
      </c>
      <c r="F75" s="4">
        <f>D75+E75</f>
        <v>11400000</v>
      </c>
      <c r="G75" s="4">
        <f>B75-E75</f>
        <v>200000000</v>
      </c>
      <c r="H75" s="4">
        <f>C75-F75</f>
        <v>-11400000</v>
      </c>
      <c r="I75" s="4">
        <f>$C$67</f>
        <v>0</v>
      </c>
      <c r="J75" s="3">
        <f>H75+I75</f>
        <v>-11400000</v>
      </c>
      <c r="K75"/>
      <c r="L75"/>
      <c r="M75"/>
      <c r="N75"/>
    </row>
    <row r="76" spans="1:14">
      <c r="A76" s="33">
        <v>2</v>
      </c>
      <c r="B76" s="4">
        <f>G75</f>
        <v>200000000</v>
      </c>
      <c r="C76" s="4">
        <v>0</v>
      </c>
      <c r="D76" s="4">
        <f>$B$68*B76</f>
        <v>11400000</v>
      </c>
      <c r="E76" s="4">
        <v>0</v>
      </c>
      <c r="F76" s="4">
        <f>D76+E76</f>
        <v>11400000</v>
      </c>
      <c r="G76" s="4">
        <f>B76-E76</f>
        <v>200000000</v>
      </c>
      <c r="H76" s="4">
        <f>C76-F76</f>
        <v>-11400000</v>
      </c>
      <c r="I76" s="4">
        <f>(D75+D76)*0.33</f>
        <v>7524000</v>
      </c>
      <c r="J76" s="3">
        <f>H76+I76</f>
        <v>-3876000</v>
      </c>
      <c r="K76"/>
      <c r="L76"/>
      <c r="M76"/>
      <c r="N76"/>
    </row>
    <row r="77" spans="1:14">
      <c r="A77" s="33">
        <v>3</v>
      </c>
      <c r="B77" s="4">
        <f>G76</f>
        <v>200000000</v>
      </c>
      <c r="C77" s="4">
        <v>0</v>
      </c>
      <c r="D77" s="4">
        <f>$B$68*B77</f>
        <v>11400000</v>
      </c>
      <c r="E77" s="4">
        <f>$B$71</f>
        <v>20000000</v>
      </c>
      <c r="F77" s="4">
        <f>D77+E77</f>
        <v>31400000</v>
      </c>
      <c r="G77" s="4">
        <f>B77-E77</f>
        <v>180000000</v>
      </c>
      <c r="H77" s="4">
        <f>C77-F77</f>
        <v>-31400000</v>
      </c>
      <c r="I77" s="4">
        <f t="shared" ref="I77" si="30">$C$67</f>
        <v>0</v>
      </c>
      <c r="J77" s="3">
        <f>H77+I77</f>
        <v>-31400000</v>
      </c>
      <c r="K77"/>
      <c r="L77"/>
      <c r="M77"/>
      <c r="N77"/>
    </row>
    <row r="78" spans="1:14">
      <c r="A78" s="33">
        <v>4</v>
      </c>
      <c r="B78" s="4">
        <f t="shared" ref="B78:B86" si="31">G77</f>
        <v>180000000</v>
      </c>
      <c r="C78" s="4">
        <f>$C$43</f>
        <v>0</v>
      </c>
      <c r="D78" s="4">
        <f t="shared" ref="D78:D86" si="32">$B$68*B78</f>
        <v>10260000</v>
      </c>
      <c r="E78" s="4">
        <f t="shared" ref="E78:E86" si="33">$B$71</f>
        <v>20000000</v>
      </c>
      <c r="F78" s="4">
        <f t="shared" ref="F78:F86" si="34">D78+E78</f>
        <v>30260000</v>
      </c>
      <c r="G78" s="4">
        <f t="shared" ref="G78:G86" si="35">B78-E78</f>
        <v>160000000</v>
      </c>
      <c r="H78" s="4">
        <f t="shared" ref="H78:H86" si="36">C78-F78</f>
        <v>-30260000</v>
      </c>
      <c r="I78" s="4">
        <f t="shared" ref="I78" si="37">(D77+D78)*0.33</f>
        <v>7147800</v>
      </c>
      <c r="J78" s="3">
        <f t="shared" ref="J78:J86" si="38">H78+I78</f>
        <v>-23112200</v>
      </c>
      <c r="K78"/>
      <c r="L78"/>
      <c r="M78"/>
      <c r="N78"/>
    </row>
    <row r="79" spans="1:14">
      <c r="A79" s="33">
        <v>5</v>
      </c>
      <c r="B79" s="4">
        <f t="shared" si="31"/>
        <v>160000000</v>
      </c>
      <c r="C79" s="4">
        <f t="shared" ref="C79:C86" si="39">$C$43</f>
        <v>0</v>
      </c>
      <c r="D79" s="4">
        <f t="shared" si="32"/>
        <v>9120000</v>
      </c>
      <c r="E79" s="4">
        <f t="shared" si="33"/>
        <v>20000000</v>
      </c>
      <c r="F79" s="4">
        <f t="shared" si="34"/>
        <v>29120000</v>
      </c>
      <c r="G79" s="4">
        <f t="shared" si="35"/>
        <v>140000000</v>
      </c>
      <c r="H79" s="4">
        <f t="shared" si="36"/>
        <v>-29120000</v>
      </c>
      <c r="I79" s="4">
        <f t="shared" ref="I79" si="40">$C$67</f>
        <v>0</v>
      </c>
      <c r="J79" s="3">
        <f t="shared" si="38"/>
        <v>-29120000</v>
      </c>
      <c r="K79"/>
      <c r="L79"/>
      <c r="M79"/>
      <c r="N79"/>
    </row>
    <row r="80" spans="1:14">
      <c r="A80" s="33">
        <v>6</v>
      </c>
      <c r="B80" s="4">
        <f t="shared" si="31"/>
        <v>140000000</v>
      </c>
      <c r="C80" s="4">
        <f t="shared" si="39"/>
        <v>0</v>
      </c>
      <c r="D80" s="4">
        <f t="shared" si="32"/>
        <v>7980000</v>
      </c>
      <c r="E80" s="4">
        <f t="shared" si="33"/>
        <v>20000000</v>
      </c>
      <c r="F80" s="4">
        <f t="shared" si="34"/>
        <v>27980000</v>
      </c>
      <c r="G80" s="4">
        <f t="shared" si="35"/>
        <v>120000000</v>
      </c>
      <c r="H80" s="4">
        <f t="shared" si="36"/>
        <v>-27980000</v>
      </c>
      <c r="I80" s="4">
        <f t="shared" ref="I80" si="41">(D79+D80)*0.33</f>
        <v>5643000</v>
      </c>
      <c r="J80" s="3">
        <f t="shared" si="38"/>
        <v>-22337000</v>
      </c>
      <c r="K80"/>
      <c r="L80"/>
      <c r="M80"/>
      <c r="N80"/>
    </row>
    <row r="81" spans="1:14">
      <c r="A81" s="33">
        <v>7</v>
      </c>
      <c r="B81" s="4">
        <f t="shared" si="31"/>
        <v>120000000</v>
      </c>
      <c r="C81" s="4">
        <f t="shared" si="39"/>
        <v>0</v>
      </c>
      <c r="D81" s="4">
        <f t="shared" si="32"/>
        <v>6840000</v>
      </c>
      <c r="E81" s="4">
        <f t="shared" si="33"/>
        <v>20000000</v>
      </c>
      <c r="F81" s="4">
        <f t="shared" si="34"/>
        <v>26840000</v>
      </c>
      <c r="G81" s="4">
        <f t="shared" si="35"/>
        <v>100000000</v>
      </c>
      <c r="H81" s="4">
        <f t="shared" si="36"/>
        <v>-26840000</v>
      </c>
      <c r="I81" s="4">
        <f t="shared" ref="I81" si="42">$C$67</f>
        <v>0</v>
      </c>
      <c r="J81" s="3">
        <f t="shared" si="38"/>
        <v>-26840000</v>
      </c>
      <c r="K81"/>
      <c r="L81"/>
      <c r="M81"/>
      <c r="N81"/>
    </row>
    <row r="82" spans="1:14">
      <c r="A82" s="33">
        <v>8</v>
      </c>
      <c r="B82" s="4">
        <f t="shared" si="31"/>
        <v>100000000</v>
      </c>
      <c r="C82" s="4">
        <f t="shared" si="39"/>
        <v>0</v>
      </c>
      <c r="D82" s="4">
        <f t="shared" si="32"/>
        <v>5700000</v>
      </c>
      <c r="E82" s="4">
        <f t="shared" si="33"/>
        <v>20000000</v>
      </c>
      <c r="F82" s="4">
        <f t="shared" si="34"/>
        <v>25700000</v>
      </c>
      <c r="G82" s="4">
        <f t="shared" si="35"/>
        <v>80000000</v>
      </c>
      <c r="H82" s="4">
        <f t="shared" si="36"/>
        <v>-25700000</v>
      </c>
      <c r="I82" s="4">
        <f t="shared" ref="I82" si="43">(D81+D82)*0.33</f>
        <v>4138200</v>
      </c>
      <c r="J82" s="3">
        <f t="shared" si="38"/>
        <v>-21561800</v>
      </c>
      <c r="K82"/>
      <c r="L82"/>
      <c r="M82"/>
      <c r="N82"/>
    </row>
    <row r="83" spans="1:14">
      <c r="A83" s="33">
        <v>9</v>
      </c>
      <c r="B83" s="4">
        <f t="shared" si="31"/>
        <v>80000000</v>
      </c>
      <c r="C83" s="4">
        <f t="shared" si="39"/>
        <v>0</v>
      </c>
      <c r="D83" s="4">
        <f t="shared" si="32"/>
        <v>4560000</v>
      </c>
      <c r="E83" s="4">
        <f t="shared" si="33"/>
        <v>20000000</v>
      </c>
      <c r="F83" s="4">
        <f t="shared" si="34"/>
        <v>24560000</v>
      </c>
      <c r="G83" s="4">
        <f t="shared" si="35"/>
        <v>60000000</v>
      </c>
      <c r="H83" s="4">
        <f t="shared" si="36"/>
        <v>-24560000</v>
      </c>
      <c r="I83" s="4">
        <f t="shared" ref="I83" si="44">$C$67</f>
        <v>0</v>
      </c>
      <c r="J83" s="3">
        <f t="shared" si="38"/>
        <v>-24560000</v>
      </c>
    </row>
    <row r="84" spans="1:14">
      <c r="A84" s="33">
        <v>10</v>
      </c>
      <c r="B84" s="4">
        <f t="shared" si="31"/>
        <v>60000000</v>
      </c>
      <c r="C84" s="4">
        <f t="shared" si="39"/>
        <v>0</v>
      </c>
      <c r="D84" s="4">
        <f t="shared" si="32"/>
        <v>3420000</v>
      </c>
      <c r="E84" s="4">
        <f t="shared" si="33"/>
        <v>20000000</v>
      </c>
      <c r="F84" s="4">
        <f t="shared" si="34"/>
        <v>23420000</v>
      </c>
      <c r="G84" s="4">
        <f t="shared" si="35"/>
        <v>40000000</v>
      </c>
      <c r="H84" s="4">
        <f t="shared" si="36"/>
        <v>-23420000</v>
      </c>
      <c r="I84" s="4">
        <f t="shared" ref="I84" si="45">(D83+D84)*0.33</f>
        <v>2633400</v>
      </c>
      <c r="J84" s="3">
        <f t="shared" si="38"/>
        <v>-20786600</v>
      </c>
    </row>
    <row r="85" spans="1:14">
      <c r="A85" s="33">
        <v>11</v>
      </c>
      <c r="B85" s="4">
        <f t="shared" si="31"/>
        <v>40000000</v>
      </c>
      <c r="C85" s="4">
        <f t="shared" si="39"/>
        <v>0</v>
      </c>
      <c r="D85" s="4">
        <f t="shared" si="32"/>
        <v>2280000</v>
      </c>
      <c r="E85" s="4">
        <f t="shared" si="33"/>
        <v>20000000</v>
      </c>
      <c r="F85" s="4">
        <f t="shared" si="34"/>
        <v>22280000</v>
      </c>
      <c r="G85" s="4">
        <f t="shared" si="35"/>
        <v>20000000</v>
      </c>
      <c r="H85" s="4">
        <f t="shared" si="36"/>
        <v>-22280000</v>
      </c>
      <c r="I85" s="4">
        <f t="shared" ref="I85" si="46">$C$67</f>
        <v>0</v>
      </c>
      <c r="J85" s="3">
        <f t="shared" si="38"/>
        <v>-22280000</v>
      </c>
    </row>
    <row r="86" spans="1:14">
      <c r="A86" s="33">
        <v>12</v>
      </c>
      <c r="B86" s="4">
        <f t="shared" si="31"/>
        <v>20000000</v>
      </c>
      <c r="C86" s="4">
        <f t="shared" si="39"/>
        <v>0</v>
      </c>
      <c r="D86" s="4">
        <f t="shared" si="32"/>
        <v>1140000</v>
      </c>
      <c r="E86" s="4">
        <f t="shared" si="33"/>
        <v>20000000</v>
      </c>
      <c r="F86" s="4">
        <f t="shared" si="34"/>
        <v>21140000</v>
      </c>
      <c r="G86" s="4">
        <f t="shared" si="35"/>
        <v>0</v>
      </c>
      <c r="H86" s="4">
        <f t="shared" si="36"/>
        <v>-21140000</v>
      </c>
      <c r="I86" s="4">
        <f t="shared" ref="I86" si="47">(D85+D86)*0.33</f>
        <v>1128600</v>
      </c>
      <c r="J86" s="3">
        <f t="shared" si="38"/>
        <v>-20011400</v>
      </c>
    </row>
    <row r="87" spans="1:14">
      <c r="I87" s="19" t="s">
        <v>39</v>
      </c>
      <c r="J87" s="31">
        <f>IRR(H74:H86)</f>
        <v>5.699999999999994E-2</v>
      </c>
    </row>
    <row r="88" spans="1:14">
      <c r="I88" s="19" t="s">
        <v>40</v>
      </c>
      <c r="J88" s="31">
        <f>IRR(J74:J86)</f>
        <v>3.8566873491407971E-2</v>
      </c>
    </row>
    <row r="90" spans="1:14">
      <c r="A90" s="1" t="s">
        <v>43</v>
      </c>
      <c r="B90" s="1" t="s">
        <v>24</v>
      </c>
    </row>
    <row r="91" spans="1:14">
      <c r="A91" s="6" t="s">
        <v>25</v>
      </c>
      <c r="B91" s="4">
        <f>E11</f>
        <v>300000000</v>
      </c>
    </row>
    <row r="92" spans="1:14">
      <c r="A92" s="2" t="s">
        <v>26</v>
      </c>
      <c r="B92" s="2">
        <f>E12/2</f>
        <v>5.7000000000000002E-2</v>
      </c>
    </row>
    <row r="93" spans="1:14">
      <c r="A93" s="2" t="s">
        <v>27</v>
      </c>
      <c r="B93" s="2">
        <v>12</v>
      </c>
    </row>
    <row r="95" spans="1:14">
      <c r="A95" s="1" t="s">
        <v>33</v>
      </c>
      <c r="B95" s="4">
        <f>B91/(B93)</f>
        <v>25000000</v>
      </c>
    </row>
    <row r="97" spans="1:14">
      <c r="A97" s="1" t="s">
        <v>29</v>
      </c>
      <c r="B97" s="1" t="s">
        <v>30</v>
      </c>
      <c r="C97" s="1" t="s">
        <v>31</v>
      </c>
      <c r="D97" s="1" t="s">
        <v>32</v>
      </c>
      <c r="E97" s="1" t="s">
        <v>33</v>
      </c>
      <c r="F97" s="1" t="s">
        <v>28</v>
      </c>
      <c r="G97" s="1" t="s">
        <v>34</v>
      </c>
      <c r="H97" s="1" t="s">
        <v>35</v>
      </c>
      <c r="I97" s="1" t="s">
        <v>36</v>
      </c>
      <c r="J97" s="1" t="s">
        <v>37</v>
      </c>
      <c r="K97"/>
      <c r="L97"/>
      <c r="M97"/>
      <c r="N97"/>
    </row>
    <row r="98" spans="1:14">
      <c r="A98" s="33">
        <v>0</v>
      </c>
      <c r="B98" s="4">
        <v>0</v>
      </c>
      <c r="C98" s="4">
        <f>B91</f>
        <v>300000000</v>
      </c>
      <c r="D98" s="4">
        <v>0</v>
      </c>
      <c r="E98" s="4">
        <v>0</v>
      </c>
      <c r="F98" s="4">
        <v>0</v>
      </c>
      <c r="G98" s="4">
        <f>C98</f>
        <v>300000000</v>
      </c>
      <c r="H98" s="4">
        <f>C98-F98</f>
        <v>300000000</v>
      </c>
      <c r="I98" s="4">
        <f>0</f>
        <v>0</v>
      </c>
      <c r="J98" s="3">
        <f>H98-I98</f>
        <v>300000000</v>
      </c>
      <c r="K98"/>
      <c r="L98"/>
      <c r="M98"/>
      <c r="N98"/>
    </row>
    <row r="99" spans="1:14">
      <c r="A99" s="33">
        <v>1</v>
      </c>
      <c r="B99" s="4">
        <f>G98</f>
        <v>300000000</v>
      </c>
      <c r="C99" s="4">
        <v>0</v>
      </c>
      <c r="D99" s="4">
        <f>$B$92*B99</f>
        <v>17100000</v>
      </c>
      <c r="E99" s="4">
        <f>B95</f>
        <v>25000000</v>
      </c>
      <c r="F99" s="4">
        <f>D99+E99</f>
        <v>42100000</v>
      </c>
      <c r="G99" s="4">
        <f>B99-E99</f>
        <v>275000000</v>
      </c>
      <c r="H99" s="4">
        <f>C99-F99</f>
        <v>-42100000</v>
      </c>
      <c r="I99" s="4">
        <f>$C$67</f>
        <v>0</v>
      </c>
      <c r="J99" s="3">
        <f>H99+I99</f>
        <v>-42100000</v>
      </c>
      <c r="K99"/>
      <c r="L99"/>
      <c r="M99"/>
      <c r="N99"/>
    </row>
    <row r="100" spans="1:14">
      <c r="A100" s="33">
        <v>2</v>
      </c>
      <c r="B100" s="4">
        <f>G99</f>
        <v>275000000</v>
      </c>
      <c r="C100" s="4">
        <v>0</v>
      </c>
      <c r="D100" s="4">
        <f>$B$92*B100</f>
        <v>15675000</v>
      </c>
      <c r="E100" s="4">
        <f>$E$99</f>
        <v>25000000</v>
      </c>
      <c r="F100" s="4">
        <f>D100+E100</f>
        <v>40675000</v>
      </c>
      <c r="G100" s="4">
        <f>B100-E100</f>
        <v>250000000</v>
      </c>
      <c r="H100" s="4">
        <f>C100-F100</f>
        <v>-40675000</v>
      </c>
      <c r="I100" s="4">
        <f>(D99+D100)*0.33</f>
        <v>10815750</v>
      </c>
      <c r="J100" s="3">
        <f>H100+I100</f>
        <v>-29859250</v>
      </c>
      <c r="K100"/>
      <c r="L100"/>
      <c r="M100"/>
      <c r="N100"/>
    </row>
    <row r="101" spans="1:14">
      <c r="A101" s="33">
        <v>3</v>
      </c>
      <c r="B101" s="4">
        <f>G100</f>
        <v>250000000</v>
      </c>
      <c r="C101" s="4">
        <v>0</v>
      </c>
      <c r="D101" s="4">
        <f>$B$92*B101</f>
        <v>14250000</v>
      </c>
      <c r="E101" s="4">
        <f>$E$99</f>
        <v>25000000</v>
      </c>
      <c r="F101" s="4">
        <f>D101+E101</f>
        <v>39250000</v>
      </c>
      <c r="G101" s="4">
        <f>B101-E101</f>
        <v>225000000</v>
      </c>
      <c r="H101" s="4">
        <f>C101-F101</f>
        <v>-39250000</v>
      </c>
      <c r="I101" s="4">
        <f>$I$99</f>
        <v>0</v>
      </c>
      <c r="J101" s="3">
        <f>H101+I101</f>
        <v>-39250000</v>
      </c>
      <c r="K101"/>
      <c r="L101"/>
      <c r="M101"/>
      <c r="N101"/>
    </row>
    <row r="102" spans="1:14">
      <c r="A102" s="33">
        <v>4</v>
      </c>
      <c r="B102" s="4">
        <f t="shared" ref="B102:B110" si="48">G101</f>
        <v>225000000</v>
      </c>
      <c r="C102" s="4">
        <v>0</v>
      </c>
      <c r="D102" s="4">
        <f t="shared" ref="D102:D110" si="49">$B$92*B102</f>
        <v>12825000</v>
      </c>
      <c r="E102" s="4">
        <f t="shared" ref="E102:E110" si="50">$E$99</f>
        <v>25000000</v>
      </c>
      <c r="F102" s="4">
        <f t="shared" ref="F102:F110" si="51">D102+E102</f>
        <v>37825000</v>
      </c>
      <c r="G102" s="4">
        <f t="shared" ref="G102:G110" si="52">B102-E102</f>
        <v>200000000</v>
      </c>
      <c r="H102" s="4">
        <f t="shared" ref="H102:H110" si="53">C102-F102</f>
        <v>-37825000</v>
      </c>
      <c r="I102" s="4">
        <f t="shared" ref="I102" si="54">(D101+D102)*0.33</f>
        <v>8934750</v>
      </c>
      <c r="J102" s="3">
        <f t="shared" ref="J102:J110" si="55">H102+I102</f>
        <v>-28890250</v>
      </c>
      <c r="K102"/>
      <c r="L102"/>
      <c r="M102"/>
      <c r="N102"/>
    </row>
    <row r="103" spans="1:14">
      <c r="A103" s="33">
        <v>5</v>
      </c>
      <c r="B103" s="4">
        <f t="shared" si="48"/>
        <v>200000000</v>
      </c>
      <c r="C103" s="4">
        <v>0</v>
      </c>
      <c r="D103" s="4">
        <f t="shared" si="49"/>
        <v>11400000</v>
      </c>
      <c r="E103" s="4">
        <f t="shared" si="50"/>
        <v>25000000</v>
      </c>
      <c r="F103" s="4">
        <f t="shared" si="51"/>
        <v>36400000</v>
      </c>
      <c r="G103" s="4">
        <f t="shared" si="52"/>
        <v>175000000</v>
      </c>
      <c r="H103" s="4">
        <f t="shared" si="53"/>
        <v>-36400000</v>
      </c>
      <c r="I103" s="4">
        <f t="shared" ref="I103" si="56">$I$99</f>
        <v>0</v>
      </c>
      <c r="J103" s="3">
        <f t="shared" si="55"/>
        <v>-36400000</v>
      </c>
      <c r="K103"/>
      <c r="L103"/>
      <c r="M103"/>
      <c r="N103"/>
    </row>
    <row r="104" spans="1:14">
      <c r="A104" s="33">
        <v>6</v>
      </c>
      <c r="B104" s="4">
        <f t="shared" si="48"/>
        <v>175000000</v>
      </c>
      <c r="C104" s="4">
        <v>0</v>
      </c>
      <c r="D104" s="4">
        <f t="shared" si="49"/>
        <v>9975000</v>
      </c>
      <c r="E104" s="4">
        <f t="shared" si="50"/>
        <v>25000000</v>
      </c>
      <c r="F104" s="4">
        <f t="shared" si="51"/>
        <v>34975000</v>
      </c>
      <c r="G104" s="4">
        <f t="shared" si="52"/>
        <v>150000000</v>
      </c>
      <c r="H104" s="4">
        <f t="shared" si="53"/>
        <v>-34975000</v>
      </c>
      <c r="I104" s="4">
        <f t="shared" ref="I104" si="57">(D103+D104)*0.33</f>
        <v>7053750</v>
      </c>
      <c r="J104" s="3">
        <f t="shared" si="55"/>
        <v>-27921250</v>
      </c>
      <c r="K104"/>
      <c r="L104"/>
      <c r="M104"/>
      <c r="N104"/>
    </row>
    <row r="105" spans="1:14">
      <c r="A105" s="33">
        <v>7</v>
      </c>
      <c r="B105" s="4">
        <f t="shared" si="48"/>
        <v>150000000</v>
      </c>
      <c r="C105" s="4">
        <v>0</v>
      </c>
      <c r="D105" s="4">
        <f t="shared" si="49"/>
        <v>8550000</v>
      </c>
      <c r="E105" s="4">
        <f t="shared" si="50"/>
        <v>25000000</v>
      </c>
      <c r="F105" s="4">
        <f t="shared" si="51"/>
        <v>33550000</v>
      </c>
      <c r="G105" s="4">
        <f t="shared" si="52"/>
        <v>125000000</v>
      </c>
      <c r="H105" s="4">
        <f t="shared" si="53"/>
        <v>-33550000</v>
      </c>
      <c r="I105" s="4">
        <f t="shared" ref="I105" si="58">$I$99</f>
        <v>0</v>
      </c>
      <c r="J105" s="3">
        <f t="shared" si="55"/>
        <v>-33550000</v>
      </c>
      <c r="K105"/>
      <c r="L105"/>
      <c r="M105"/>
      <c r="N105"/>
    </row>
    <row r="106" spans="1:14">
      <c r="A106" s="33">
        <v>8</v>
      </c>
      <c r="B106" s="4">
        <f t="shared" si="48"/>
        <v>125000000</v>
      </c>
      <c r="C106" s="4">
        <v>0</v>
      </c>
      <c r="D106" s="4">
        <f t="shared" si="49"/>
        <v>7125000</v>
      </c>
      <c r="E106" s="4">
        <f t="shared" si="50"/>
        <v>25000000</v>
      </c>
      <c r="F106" s="4">
        <f t="shared" si="51"/>
        <v>32125000</v>
      </c>
      <c r="G106" s="4">
        <f t="shared" si="52"/>
        <v>100000000</v>
      </c>
      <c r="H106" s="4">
        <f t="shared" si="53"/>
        <v>-32125000</v>
      </c>
      <c r="I106" s="4">
        <f t="shared" ref="I106" si="59">(D105+D106)*0.33</f>
        <v>5172750</v>
      </c>
      <c r="J106" s="3">
        <f t="shared" si="55"/>
        <v>-26952250</v>
      </c>
      <c r="K106"/>
      <c r="L106"/>
      <c r="M106"/>
      <c r="N106"/>
    </row>
    <row r="107" spans="1:14">
      <c r="A107" s="33">
        <v>9</v>
      </c>
      <c r="B107" s="4">
        <f t="shared" si="48"/>
        <v>100000000</v>
      </c>
      <c r="C107" s="4">
        <v>0</v>
      </c>
      <c r="D107" s="4">
        <f t="shared" si="49"/>
        <v>5700000</v>
      </c>
      <c r="E107" s="4">
        <f t="shared" si="50"/>
        <v>25000000</v>
      </c>
      <c r="F107" s="4">
        <f t="shared" si="51"/>
        <v>30700000</v>
      </c>
      <c r="G107" s="4">
        <f t="shared" si="52"/>
        <v>75000000</v>
      </c>
      <c r="H107" s="4">
        <f t="shared" si="53"/>
        <v>-30700000</v>
      </c>
      <c r="I107" s="4">
        <f t="shared" ref="I107" si="60">$I$99</f>
        <v>0</v>
      </c>
      <c r="J107" s="3">
        <f t="shared" si="55"/>
        <v>-30700000</v>
      </c>
    </row>
    <row r="108" spans="1:14">
      <c r="A108" s="33">
        <v>10</v>
      </c>
      <c r="B108" s="4">
        <f t="shared" si="48"/>
        <v>75000000</v>
      </c>
      <c r="C108" s="4">
        <v>0</v>
      </c>
      <c r="D108" s="4">
        <f t="shared" si="49"/>
        <v>4275000</v>
      </c>
      <c r="E108" s="4">
        <f t="shared" si="50"/>
        <v>25000000</v>
      </c>
      <c r="F108" s="4">
        <f t="shared" si="51"/>
        <v>29275000</v>
      </c>
      <c r="G108" s="4">
        <f t="shared" si="52"/>
        <v>50000000</v>
      </c>
      <c r="H108" s="4">
        <f t="shared" si="53"/>
        <v>-29275000</v>
      </c>
      <c r="I108" s="4">
        <f t="shared" ref="I108" si="61">(D107+D108)*0.33</f>
        <v>3291750</v>
      </c>
      <c r="J108" s="3">
        <f t="shared" si="55"/>
        <v>-25983250</v>
      </c>
    </row>
    <row r="109" spans="1:14">
      <c r="A109" s="33">
        <v>11</v>
      </c>
      <c r="B109" s="4">
        <f t="shared" si="48"/>
        <v>50000000</v>
      </c>
      <c r="C109" s="4">
        <v>0</v>
      </c>
      <c r="D109" s="4">
        <f t="shared" si="49"/>
        <v>2850000</v>
      </c>
      <c r="E109" s="4">
        <f t="shared" si="50"/>
        <v>25000000</v>
      </c>
      <c r="F109" s="4">
        <f t="shared" si="51"/>
        <v>27850000</v>
      </c>
      <c r="G109" s="4">
        <f t="shared" si="52"/>
        <v>25000000</v>
      </c>
      <c r="H109" s="4">
        <f t="shared" si="53"/>
        <v>-27850000</v>
      </c>
      <c r="I109" s="4">
        <f t="shared" ref="I109" si="62">$I$99</f>
        <v>0</v>
      </c>
      <c r="J109" s="3">
        <f t="shared" si="55"/>
        <v>-27850000</v>
      </c>
    </row>
    <row r="110" spans="1:14">
      <c r="A110" s="33">
        <v>12</v>
      </c>
      <c r="B110" s="4">
        <f t="shared" si="48"/>
        <v>25000000</v>
      </c>
      <c r="C110" s="4">
        <v>0</v>
      </c>
      <c r="D110" s="4">
        <f t="shared" si="49"/>
        <v>1425000</v>
      </c>
      <c r="E110" s="4">
        <f t="shared" si="50"/>
        <v>25000000</v>
      </c>
      <c r="F110" s="4">
        <f t="shared" si="51"/>
        <v>26425000</v>
      </c>
      <c r="G110" s="4">
        <f t="shared" si="52"/>
        <v>0</v>
      </c>
      <c r="H110" s="4">
        <f t="shared" si="53"/>
        <v>-26425000</v>
      </c>
      <c r="I110" s="4">
        <f t="shared" ref="I110" si="63">(D109+D110)*0.33</f>
        <v>1410750</v>
      </c>
      <c r="J110" s="3">
        <f t="shared" si="55"/>
        <v>-25014250</v>
      </c>
    </row>
    <row r="111" spans="1:14">
      <c r="I111" s="19" t="s">
        <v>39</v>
      </c>
      <c r="J111" s="31">
        <f>IRR(H98:H110)</f>
        <v>5.699999999999994E-2</v>
      </c>
    </row>
    <row r="112" spans="1:14">
      <c r="I112" s="19" t="s">
        <v>40</v>
      </c>
      <c r="J112" s="31">
        <f>IRR(J98:J110)</f>
        <v>3.8571018435482607E-2</v>
      </c>
    </row>
    <row r="114" spans="1:14">
      <c r="A114" s="19" t="s">
        <v>41</v>
      </c>
      <c r="B114" s="19" t="s">
        <v>24</v>
      </c>
    </row>
    <row r="115" spans="1:14">
      <c r="A115" s="26" t="s">
        <v>25</v>
      </c>
      <c r="B115" s="23">
        <f>C11</f>
        <v>500000000</v>
      </c>
    </row>
    <row r="116" spans="1:14">
      <c r="A116" s="21" t="s">
        <v>26</v>
      </c>
      <c r="B116" s="34">
        <f>B92</f>
        <v>5.7000000000000002E-2</v>
      </c>
    </row>
    <row r="117" spans="1:14">
      <c r="A117" s="21" t="s">
        <v>27</v>
      </c>
      <c r="B117" s="21">
        <v>12</v>
      </c>
    </row>
    <row r="119" spans="1:14">
      <c r="A119" s="1" t="s">
        <v>44</v>
      </c>
      <c r="B119" s="2">
        <f>5.8%</f>
        <v>5.7999999999999996E-2</v>
      </c>
    </row>
    <row r="120" spans="1:14">
      <c r="A120" s="1" t="s">
        <v>45</v>
      </c>
      <c r="B120" s="5">
        <v>3.6600000000000001E-2</v>
      </c>
      <c r="C120" s="32">
        <f>0</f>
        <v>0</v>
      </c>
    </row>
    <row r="121" spans="1:14">
      <c r="A121" s="1" t="s">
        <v>46</v>
      </c>
      <c r="B121" s="2">
        <v>4</v>
      </c>
    </row>
    <row r="122" spans="1:14">
      <c r="A122" s="1" t="s">
        <v>47</v>
      </c>
      <c r="B122" s="4">
        <f>B115/B121</f>
        <v>125000000</v>
      </c>
    </row>
    <row r="123" spans="1:14">
      <c r="A123" s="1" t="s">
        <v>48</v>
      </c>
      <c r="B123" s="2">
        <f>((1+B120)^(1/2)) - 1</f>
        <v>1.8135550896834163E-2</v>
      </c>
    </row>
    <row r="124" spans="1:14">
      <c r="A124" s="1" t="s">
        <v>49</v>
      </c>
      <c r="B124" s="4">
        <f>B122*B123</f>
        <v>2266943.8621042701</v>
      </c>
    </row>
    <row r="126" spans="1:14">
      <c r="A126" s="1" t="s">
        <v>29</v>
      </c>
      <c r="B126" s="1" t="s">
        <v>30</v>
      </c>
      <c r="C126" s="1" t="s">
        <v>31</v>
      </c>
      <c r="D126" s="1" t="s">
        <v>32</v>
      </c>
      <c r="E126" s="1" t="s">
        <v>33</v>
      </c>
      <c r="F126" s="1" t="s">
        <v>28</v>
      </c>
      <c r="G126" s="1" t="s">
        <v>34</v>
      </c>
      <c r="H126" s="1" t="s">
        <v>49</v>
      </c>
      <c r="I126" s="1" t="s">
        <v>50</v>
      </c>
      <c r="J126" s="38" t="s">
        <v>35</v>
      </c>
      <c r="K126" s="38" t="s">
        <v>36</v>
      </c>
      <c r="L126" s="39" t="s">
        <v>37</v>
      </c>
      <c r="M126"/>
      <c r="N126"/>
    </row>
    <row r="127" spans="1:14">
      <c r="A127" s="33">
        <v>0</v>
      </c>
      <c r="B127" s="3">
        <f>0</f>
        <v>0</v>
      </c>
      <c r="C127" s="4">
        <f>B115</f>
        <v>500000000</v>
      </c>
      <c r="D127" s="4">
        <v>0</v>
      </c>
      <c r="E127" s="4">
        <v>0</v>
      </c>
      <c r="F127" s="4">
        <v>0</v>
      </c>
      <c r="G127" s="4">
        <f>C127-E127</f>
        <v>500000000</v>
      </c>
      <c r="H127" s="4">
        <f>B124</f>
        <v>2266943.8621042701</v>
      </c>
      <c r="I127" s="4">
        <f>B119*C127</f>
        <v>28999999.999999996</v>
      </c>
      <c r="J127" s="35">
        <f>G127-H127-I127</f>
        <v>468733056.1378957</v>
      </c>
      <c r="K127" s="36">
        <v>0</v>
      </c>
      <c r="L127" s="36">
        <f>J127</f>
        <v>468733056.1378957</v>
      </c>
      <c r="M127"/>
      <c r="N127"/>
    </row>
    <row r="128" spans="1:14">
      <c r="A128" s="33">
        <v>1</v>
      </c>
      <c r="B128" s="4">
        <f>G127</f>
        <v>500000000</v>
      </c>
      <c r="C128" s="4">
        <f>$C$120</f>
        <v>0</v>
      </c>
      <c r="D128" s="4">
        <f>$B$116*B128</f>
        <v>28500000</v>
      </c>
      <c r="E128" s="4">
        <f>$C$120</f>
        <v>0</v>
      </c>
      <c r="F128" s="4">
        <f>D128+E128</f>
        <v>28500000</v>
      </c>
      <c r="G128" s="4">
        <f>B128-E128</f>
        <v>500000000</v>
      </c>
      <c r="H128" s="4">
        <f>0</f>
        <v>0</v>
      </c>
      <c r="I128" s="4">
        <f>0</f>
        <v>0</v>
      </c>
      <c r="J128" s="35">
        <f>C128-F128</f>
        <v>-28500000</v>
      </c>
      <c r="K128" s="37">
        <f>$C$120</f>
        <v>0</v>
      </c>
      <c r="L128" s="37">
        <f>J128+K128</f>
        <v>-28500000</v>
      </c>
      <c r="M128"/>
      <c r="N128"/>
    </row>
    <row r="129" spans="1:14">
      <c r="A129" s="33">
        <v>2</v>
      </c>
      <c r="B129" s="4">
        <f>G127</f>
        <v>500000000</v>
      </c>
      <c r="C129" s="4">
        <v>0</v>
      </c>
      <c r="D129" s="4">
        <f>$B$116*B129</f>
        <v>28500000</v>
      </c>
      <c r="E129" s="4">
        <v>0</v>
      </c>
      <c r="F129" s="4">
        <f>D129+E129</f>
        <v>28500000</v>
      </c>
      <c r="G129" s="4">
        <f>B129-E129</f>
        <v>500000000</v>
      </c>
      <c r="H129" s="4">
        <f>0</f>
        <v>0</v>
      </c>
      <c r="I129" s="4">
        <f>0</f>
        <v>0</v>
      </c>
      <c r="J129" s="35">
        <f>C129-F129</f>
        <v>-28500000</v>
      </c>
      <c r="K129" s="37">
        <f>(D128+D129+I127)*0.33</f>
        <v>28380000</v>
      </c>
      <c r="L129" s="37">
        <f>J129+K129</f>
        <v>-120000</v>
      </c>
      <c r="M129"/>
      <c r="N129"/>
    </row>
    <row r="130" spans="1:14">
      <c r="A130" s="33">
        <v>3</v>
      </c>
      <c r="B130" s="4">
        <f t="shared" ref="B130" si="64">G129</f>
        <v>500000000</v>
      </c>
      <c r="C130" s="4">
        <f t="shared" ref="C130" si="65">$C$120</f>
        <v>0</v>
      </c>
      <c r="D130" s="4">
        <f t="shared" ref="D130:D139" si="66">$B$116*B130</f>
        <v>28500000</v>
      </c>
      <c r="E130" s="4">
        <f t="shared" ref="E130:E138" si="67">$C$120</f>
        <v>0</v>
      </c>
      <c r="F130" s="4">
        <f t="shared" ref="F130:F139" si="68">D130+E130</f>
        <v>28500000</v>
      </c>
      <c r="G130" s="4">
        <f t="shared" ref="G130:G139" si="69">B130-E130</f>
        <v>500000000</v>
      </c>
      <c r="H130" s="4">
        <f>0</f>
        <v>0</v>
      </c>
      <c r="I130" s="4">
        <f>0</f>
        <v>0</v>
      </c>
      <c r="J130" s="35">
        <f t="shared" ref="J130:J139" si="70">C130-F130</f>
        <v>-28500000</v>
      </c>
      <c r="K130" s="37">
        <f t="shared" ref="K130" si="71">$C$120</f>
        <v>0</v>
      </c>
      <c r="L130" s="37">
        <f t="shared" ref="L130:L139" si="72">J130+K130</f>
        <v>-28500000</v>
      </c>
      <c r="M130"/>
      <c r="N130"/>
    </row>
    <row r="131" spans="1:14">
      <c r="A131" s="33">
        <v>4</v>
      </c>
      <c r="B131" s="4">
        <f t="shared" ref="B131" si="73">G129</f>
        <v>500000000</v>
      </c>
      <c r="C131" s="4">
        <v>1</v>
      </c>
      <c r="D131" s="4">
        <f t="shared" si="66"/>
        <v>28500000</v>
      </c>
      <c r="E131" s="4">
        <f t="shared" si="67"/>
        <v>0</v>
      </c>
      <c r="F131" s="4">
        <f t="shared" si="68"/>
        <v>28500000</v>
      </c>
      <c r="G131" s="4">
        <f t="shared" si="69"/>
        <v>500000000</v>
      </c>
      <c r="H131" s="4">
        <f>0</f>
        <v>0</v>
      </c>
      <c r="I131" s="4">
        <f>0</f>
        <v>0</v>
      </c>
      <c r="J131" s="35">
        <f t="shared" si="70"/>
        <v>-28499999</v>
      </c>
      <c r="K131" s="37">
        <f t="shared" ref="K131" si="74">(D130+D131+I129)*0.33</f>
        <v>18810000</v>
      </c>
      <c r="L131" s="37">
        <f t="shared" si="72"/>
        <v>-9689999</v>
      </c>
      <c r="M131"/>
      <c r="N131"/>
    </row>
    <row r="132" spans="1:14">
      <c r="A132" s="33">
        <v>5</v>
      </c>
      <c r="B132" s="4">
        <f t="shared" ref="B132" si="75">G131</f>
        <v>500000000</v>
      </c>
      <c r="C132" s="4">
        <f t="shared" ref="C132" si="76">$C$120</f>
        <v>0</v>
      </c>
      <c r="D132" s="4">
        <f t="shared" si="66"/>
        <v>28500000</v>
      </c>
      <c r="E132" s="4">
        <f t="shared" si="67"/>
        <v>0</v>
      </c>
      <c r="F132" s="4">
        <f t="shared" si="68"/>
        <v>28500000</v>
      </c>
      <c r="G132" s="4">
        <f t="shared" si="69"/>
        <v>500000000</v>
      </c>
      <c r="H132" s="4">
        <f>0</f>
        <v>0</v>
      </c>
      <c r="I132" s="4">
        <f>0</f>
        <v>0</v>
      </c>
      <c r="J132" s="35">
        <f t="shared" si="70"/>
        <v>-28500000</v>
      </c>
      <c r="K132" s="37">
        <f t="shared" ref="K132" si="77">$C$120</f>
        <v>0</v>
      </c>
      <c r="L132" s="37">
        <f t="shared" si="72"/>
        <v>-28500000</v>
      </c>
      <c r="M132"/>
      <c r="N132"/>
    </row>
    <row r="133" spans="1:14">
      <c r="A133" s="33">
        <v>6</v>
      </c>
      <c r="B133" s="4">
        <f t="shared" ref="B133" si="78">G131</f>
        <v>500000000</v>
      </c>
      <c r="C133" s="4">
        <v>2</v>
      </c>
      <c r="D133" s="4">
        <f t="shared" si="66"/>
        <v>28500000</v>
      </c>
      <c r="E133" s="4">
        <f t="shared" si="67"/>
        <v>0</v>
      </c>
      <c r="F133" s="4">
        <f t="shared" si="68"/>
        <v>28500000</v>
      </c>
      <c r="G133" s="4">
        <f t="shared" si="69"/>
        <v>500000000</v>
      </c>
      <c r="H133" s="4">
        <f>0</f>
        <v>0</v>
      </c>
      <c r="I133" s="4">
        <f>0</f>
        <v>0</v>
      </c>
      <c r="J133" s="35">
        <f t="shared" si="70"/>
        <v>-28499998</v>
      </c>
      <c r="K133" s="37">
        <f t="shared" ref="K133" si="79">(D132+D133+I131)*0.33</f>
        <v>18810000</v>
      </c>
      <c r="L133" s="37">
        <f t="shared" si="72"/>
        <v>-9689998</v>
      </c>
      <c r="M133"/>
      <c r="N133"/>
    </row>
    <row r="134" spans="1:14">
      <c r="A134" s="33">
        <v>7</v>
      </c>
      <c r="B134" s="4">
        <f t="shared" ref="B134" si="80">G133</f>
        <v>500000000</v>
      </c>
      <c r="C134" s="4">
        <f t="shared" ref="C134" si="81">$C$120</f>
        <v>0</v>
      </c>
      <c r="D134" s="4">
        <f t="shared" si="66"/>
        <v>28500000</v>
      </c>
      <c r="E134" s="4">
        <f t="shared" si="67"/>
        <v>0</v>
      </c>
      <c r="F134" s="4">
        <f t="shared" si="68"/>
        <v>28500000</v>
      </c>
      <c r="G134" s="4">
        <f t="shared" si="69"/>
        <v>500000000</v>
      </c>
      <c r="H134" s="4">
        <f>0</f>
        <v>0</v>
      </c>
      <c r="I134" s="4">
        <f>0</f>
        <v>0</v>
      </c>
      <c r="J134" s="35">
        <f t="shared" si="70"/>
        <v>-28500000</v>
      </c>
      <c r="K134" s="37">
        <f t="shared" ref="K134" si="82">$C$120</f>
        <v>0</v>
      </c>
      <c r="L134" s="37">
        <f t="shared" si="72"/>
        <v>-28500000</v>
      </c>
      <c r="M134"/>
      <c r="N134"/>
    </row>
    <row r="135" spans="1:14">
      <c r="A135" s="33">
        <v>8</v>
      </c>
      <c r="B135" s="4">
        <f t="shared" ref="B135" si="83">G133</f>
        <v>500000000</v>
      </c>
      <c r="C135" s="4">
        <v>3</v>
      </c>
      <c r="D135" s="4">
        <f t="shared" si="66"/>
        <v>28500000</v>
      </c>
      <c r="E135" s="4">
        <f t="shared" si="67"/>
        <v>0</v>
      </c>
      <c r="F135" s="4">
        <f t="shared" si="68"/>
        <v>28500000</v>
      </c>
      <c r="G135" s="4">
        <f t="shared" si="69"/>
        <v>500000000</v>
      </c>
      <c r="H135" s="4">
        <f>0</f>
        <v>0</v>
      </c>
      <c r="I135" s="4">
        <f>0</f>
        <v>0</v>
      </c>
      <c r="J135" s="35">
        <f t="shared" si="70"/>
        <v>-28499997</v>
      </c>
      <c r="K135" s="37">
        <f t="shared" ref="K135" si="84">(D134+D135+I133)*0.33</f>
        <v>18810000</v>
      </c>
      <c r="L135" s="37">
        <f t="shared" si="72"/>
        <v>-9689997</v>
      </c>
      <c r="M135"/>
      <c r="N135"/>
    </row>
    <row r="136" spans="1:14">
      <c r="A136" s="33">
        <v>9</v>
      </c>
      <c r="B136" s="4">
        <f t="shared" ref="B136" si="85">G135</f>
        <v>500000000</v>
      </c>
      <c r="C136" s="4">
        <f t="shared" ref="C136" si="86">$C$120</f>
        <v>0</v>
      </c>
      <c r="D136" s="4">
        <f t="shared" si="66"/>
        <v>28500000</v>
      </c>
      <c r="E136" s="4">
        <f t="shared" si="67"/>
        <v>0</v>
      </c>
      <c r="F136" s="4">
        <f t="shared" si="68"/>
        <v>28500000</v>
      </c>
      <c r="G136" s="4">
        <f t="shared" si="69"/>
        <v>500000000</v>
      </c>
      <c r="H136" s="4">
        <f>0</f>
        <v>0</v>
      </c>
      <c r="I136" s="4">
        <f>0</f>
        <v>0</v>
      </c>
      <c r="J136" s="35">
        <f t="shared" si="70"/>
        <v>-28500000</v>
      </c>
      <c r="K136" s="37">
        <f t="shared" ref="K136" si="87">$C$120</f>
        <v>0</v>
      </c>
      <c r="L136" s="37">
        <f t="shared" si="72"/>
        <v>-28500000</v>
      </c>
      <c r="M136"/>
      <c r="N136"/>
    </row>
    <row r="137" spans="1:14">
      <c r="A137" s="33">
        <v>10</v>
      </c>
      <c r="B137" s="4">
        <f t="shared" ref="B137" si="88">G135</f>
        <v>500000000</v>
      </c>
      <c r="C137" s="4">
        <v>4</v>
      </c>
      <c r="D137" s="4">
        <f t="shared" si="66"/>
        <v>28500000</v>
      </c>
      <c r="E137" s="4">
        <f t="shared" si="67"/>
        <v>0</v>
      </c>
      <c r="F137" s="4">
        <f t="shared" si="68"/>
        <v>28500000</v>
      </c>
      <c r="G137" s="4">
        <f t="shared" si="69"/>
        <v>500000000</v>
      </c>
      <c r="H137" s="4">
        <f>0</f>
        <v>0</v>
      </c>
      <c r="I137" s="4">
        <f>0</f>
        <v>0</v>
      </c>
      <c r="J137" s="35">
        <f t="shared" si="70"/>
        <v>-28499996</v>
      </c>
      <c r="K137" s="37">
        <f t="shared" ref="K137" si="89">(D136+D137+I135)*0.33</f>
        <v>18810000</v>
      </c>
      <c r="L137" s="37">
        <f t="shared" si="72"/>
        <v>-9689996</v>
      </c>
      <c r="M137"/>
      <c r="N137"/>
    </row>
    <row r="138" spans="1:14">
      <c r="A138" s="33">
        <v>11</v>
      </c>
      <c r="B138" s="4">
        <f t="shared" ref="B138" si="90">G137</f>
        <v>500000000</v>
      </c>
      <c r="C138" s="4">
        <f t="shared" ref="C138" si="91">$C$120</f>
        <v>0</v>
      </c>
      <c r="D138" s="4">
        <f t="shared" si="66"/>
        <v>28500000</v>
      </c>
      <c r="E138" s="4">
        <f t="shared" si="67"/>
        <v>0</v>
      </c>
      <c r="F138" s="4">
        <f t="shared" si="68"/>
        <v>28500000</v>
      </c>
      <c r="G138" s="4">
        <f t="shared" si="69"/>
        <v>500000000</v>
      </c>
      <c r="H138" s="4">
        <f>0</f>
        <v>0</v>
      </c>
      <c r="I138" s="4">
        <f>0</f>
        <v>0</v>
      </c>
      <c r="J138" s="35">
        <f t="shared" si="70"/>
        <v>-28500000</v>
      </c>
      <c r="K138" s="37">
        <f t="shared" ref="K138" si="92">$C$120</f>
        <v>0</v>
      </c>
      <c r="L138" s="37">
        <f t="shared" si="72"/>
        <v>-28500000</v>
      </c>
    </row>
    <row r="139" spans="1:14">
      <c r="A139" s="33">
        <v>12</v>
      </c>
      <c r="B139" s="4">
        <f t="shared" ref="B139" si="93">G137</f>
        <v>500000000</v>
      </c>
      <c r="C139" s="4">
        <v>5</v>
      </c>
      <c r="D139" s="4">
        <f t="shared" si="66"/>
        <v>28500000</v>
      </c>
      <c r="E139" s="4">
        <f>C127</f>
        <v>500000000</v>
      </c>
      <c r="F139" s="4">
        <f t="shared" si="68"/>
        <v>528500000</v>
      </c>
      <c r="G139" s="4">
        <f t="shared" si="69"/>
        <v>0</v>
      </c>
      <c r="H139" s="4">
        <f>0</f>
        <v>0</v>
      </c>
      <c r="I139" s="4">
        <f>0</f>
        <v>0</v>
      </c>
      <c r="J139" s="35">
        <f t="shared" si="70"/>
        <v>-528499995</v>
      </c>
      <c r="K139" s="37">
        <f t="shared" ref="K139" si="94">(D138+D139+I137)*0.33</f>
        <v>18810000</v>
      </c>
      <c r="L139" s="37">
        <f t="shared" si="72"/>
        <v>-509689995</v>
      </c>
    </row>
    <row r="140" spans="1:14">
      <c r="K140" s="19" t="s">
        <v>39</v>
      </c>
      <c r="L140" s="31">
        <f>IRR(J127:J139)</f>
        <v>6.4650175225810624E-2</v>
      </c>
    </row>
    <row r="141" spans="1:14">
      <c r="K141" s="19" t="s">
        <v>40</v>
      </c>
      <c r="L141" s="31">
        <f>IRR(L127:L139)</f>
        <v>4.3477471297513892E-2</v>
      </c>
    </row>
    <row r="143" spans="1:14">
      <c r="A143" s="1" t="s">
        <v>51</v>
      </c>
      <c r="B143" s="1" t="s">
        <v>52</v>
      </c>
      <c r="C143" s="1" t="s">
        <v>53</v>
      </c>
      <c r="E143" s="1" t="s">
        <v>51</v>
      </c>
      <c r="F143" s="1" t="s">
        <v>52</v>
      </c>
      <c r="G143" s="1" t="s">
        <v>53</v>
      </c>
    </row>
    <row r="144" spans="1:14">
      <c r="A144" s="2" t="s">
        <v>9</v>
      </c>
      <c r="B144" s="7">
        <f>J40</f>
        <v>3.8567697357282826E-2</v>
      </c>
      <c r="C144" s="2">
        <v>3</v>
      </c>
      <c r="E144" s="2" t="s">
        <v>9</v>
      </c>
      <c r="F144" s="7">
        <f>B144</f>
        <v>3.8567697357282826E-2</v>
      </c>
      <c r="G144" s="2">
        <v>2</v>
      </c>
    </row>
    <row r="145" spans="1:7">
      <c r="A145" s="2" t="s">
        <v>10</v>
      </c>
      <c r="B145" s="7">
        <f>J64</f>
        <v>3.854566728440556E-2</v>
      </c>
      <c r="C145" s="2">
        <v>1</v>
      </c>
      <c r="E145" s="2" t="s">
        <v>10</v>
      </c>
      <c r="F145" s="7">
        <f>L141</f>
        <v>4.3477471297513892E-2</v>
      </c>
      <c r="G145" s="2">
        <v>4</v>
      </c>
    </row>
    <row r="146" spans="1:7">
      <c r="A146" s="2" t="s">
        <v>54</v>
      </c>
      <c r="B146" s="7">
        <f>J88</f>
        <v>3.8566873491407971E-2</v>
      </c>
      <c r="C146" s="2">
        <v>2</v>
      </c>
      <c r="E146" s="2" t="s">
        <v>54</v>
      </c>
      <c r="F146" s="7">
        <f>B146</f>
        <v>3.8566873491407971E-2</v>
      </c>
      <c r="G146" s="2">
        <v>1</v>
      </c>
    </row>
    <row r="147" spans="1:7">
      <c r="A147" s="2" t="s">
        <v>12</v>
      </c>
      <c r="B147" s="7">
        <f>J112</f>
        <v>3.8571018435482607E-2</v>
      </c>
      <c r="C147" s="2">
        <v>4</v>
      </c>
      <c r="E147" s="2" t="s">
        <v>12</v>
      </c>
      <c r="F147" s="7">
        <f>B147</f>
        <v>3.8571018435482607E-2</v>
      </c>
      <c r="G147" s="2">
        <v>3</v>
      </c>
    </row>
    <row r="150" spans="1:7">
      <c r="A150" s="1" t="s">
        <v>51</v>
      </c>
      <c r="B150" s="41" t="str">
        <f>A146</f>
        <v>Banco Profuturo</v>
      </c>
      <c r="C150" s="1" t="str">
        <f>A144</f>
        <v>Banco capital</v>
      </c>
      <c r="D150" s="1" t="str">
        <f>A147</f>
        <v>Banco VVBA</v>
      </c>
      <c r="E150" s="1" t="str">
        <f>A145</f>
        <v>Banco de Boyacá</v>
      </c>
    </row>
    <row r="151" spans="1:7">
      <c r="A151" s="1" t="s">
        <v>25</v>
      </c>
      <c r="B151" s="4">
        <f>B5</f>
        <v>1245000000</v>
      </c>
      <c r="C151" s="4">
        <f>B153</f>
        <v>1045000000</v>
      </c>
      <c r="D151" s="4">
        <f>C153</f>
        <v>645000000</v>
      </c>
      <c r="E151" s="4">
        <f>D153</f>
        <v>345000000</v>
      </c>
    </row>
    <row r="152" spans="1:7">
      <c r="A152" s="1" t="s">
        <v>55</v>
      </c>
      <c r="B152" s="4">
        <f>D11</f>
        <v>200000000</v>
      </c>
      <c r="C152" s="4">
        <f>B11</f>
        <v>400000000</v>
      </c>
      <c r="D152" s="4">
        <f>E11</f>
        <v>300000000</v>
      </c>
      <c r="E152" s="4">
        <f>E151</f>
        <v>345000000</v>
      </c>
    </row>
    <row r="153" spans="1:7">
      <c r="A153" s="1" t="s">
        <v>56</v>
      </c>
      <c r="B153" s="4">
        <f>B151 - B152</f>
        <v>1045000000</v>
      </c>
      <c r="C153" s="4">
        <f>C151 - C152</f>
        <v>645000000</v>
      </c>
      <c r="D153" s="4">
        <f>D151 - D152</f>
        <v>345000000</v>
      </c>
      <c r="E153" s="4">
        <f>E151 - E152</f>
        <v>0</v>
      </c>
    </row>
    <row r="154" spans="1:7">
      <c r="A154" s="1" t="s">
        <v>57</v>
      </c>
      <c r="B154" s="40">
        <f>B152/B151</f>
        <v>0.1606425702811245</v>
      </c>
      <c r="C154" s="40">
        <f>C152/B151</f>
        <v>0.32128514056224899</v>
      </c>
      <c r="D154" s="40">
        <f>D152/B151</f>
        <v>0.24096385542168675</v>
      </c>
      <c r="E154" s="40">
        <f>E152/B151</f>
        <v>0.27710843373493976</v>
      </c>
    </row>
    <row r="157" spans="1:7">
      <c r="A157" s="19" t="s">
        <v>58</v>
      </c>
      <c r="B157" s="31">
        <f>F144*C154+F145*E154+F146*B154+F147*D154</f>
        <v>3.9928905035728351E-2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0"/>
  <sheetViews>
    <sheetView workbookViewId="0">
      <selection activeCell="A23" sqref="A23:D35"/>
    </sheetView>
  </sheetViews>
  <sheetFormatPr baseColWidth="10" defaultColWidth="21" defaultRowHeight="15" x14ac:dyDescent="0"/>
  <cols>
    <col min="1" max="16384" width="21" style="9"/>
  </cols>
  <sheetData>
    <row r="1" spans="1:17">
      <c r="A1" s="42" t="s">
        <v>59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2" spans="1:17">
      <c r="A2" s="42" t="s">
        <v>60</v>
      </c>
      <c r="B2" s="10">
        <v>2015</v>
      </c>
      <c r="C2" s="10">
        <v>2016</v>
      </c>
      <c r="D2" s="10">
        <v>2017</v>
      </c>
      <c r="E2" s="10">
        <v>2018</v>
      </c>
      <c r="F2" s="10">
        <v>2019</v>
      </c>
      <c r="G2" s="10">
        <v>2020</v>
      </c>
      <c r="H2" s="10">
        <v>2021</v>
      </c>
      <c r="I2" s="10">
        <v>2022</v>
      </c>
      <c r="J2" s="10">
        <v>2023</v>
      </c>
      <c r="K2" s="10">
        <v>2024</v>
      </c>
      <c r="L2" s="10">
        <v>2025</v>
      </c>
      <c r="M2" s="10">
        <v>2026</v>
      </c>
      <c r="N2" s="10">
        <v>2027</v>
      </c>
      <c r="O2" s="10">
        <v>2028</v>
      </c>
      <c r="P2" s="10">
        <v>2029</v>
      </c>
      <c r="Q2" s="10">
        <v>2030</v>
      </c>
    </row>
    <row r="3" spans="1:17">
      <c r="A3" s="42" t="s">
        <v>29</v>
      </c>
      <c r="B3" s="10">
        <v>0</v>
      </c>
      <c r="C3" s="10">
        <v>1</v>
      </c>
      <c r="D3" s="10">
        <v>2</v>
      </c>
      <c r="E3" s="10">
        <v>3</v>
      </c>
      <c r="F3" s="10">
        <v>4</v>
      </c>
      <c r="G3" s="10">
        <v>5</v>
      </c>
      <c r="H3" s="10">
        <v>6</v>
      </c>
      <c r="I3" s="10">
        <v>7</v>
      </c>
      <c r="J3" s="10">
        <v>8</v>
      </c>
      <c r="K3" s="10">
        <v>9</v>
      </c>
      <c r="L3" s="10">
        <v>10</v>
      </c>
      <c r="M3" s="10">
        <v>11</v>
      </c>
      <c r="N3" s="10">
        <v>12</v>
      </c>
      <c r="O3" s="10">
        <v>13</v>
      </c>
      <c r="P3" s="10">
        <v>14</v>
      </c>
      <c r="Q3" s="10">
        <v>15</v>
      </c>
    </row>
    <row r="4" spans="1:17">
      <c r="A4" s="42" t="s">
        <v>61</v>
      </c>
      <c r="B4" s="11">
        <v>-1800</v>
      </c>
      <c r="C4" s="11">
        <v>75</v>
      </c>
      <c r="D4" s="11">
        <v>150</v>
      </c>
      <c r="E4" s="11">
        <v>225</v>
      </c>
      <c r="F4" s="11">
        <v>300</v>
      </c>
      <c r="G4" s="11">
        <v>375</v>
      </c>
      <c r="H4" s="11">
        <v>450</v>
      </c>
      <c r="I4" s="11">
        <v>525</v>
      </c>
      <c r="J4" s="11">
        <v>600</v>
      </c>
      <c r="K4" s="11">
        <v>675</v>
      </c>
      <c r="L4" s="11">
        <v>750</v>
      </c>
      <c r="M4" s="11">
        <v>825</v>
      </c>
      <c r="N4" s="11">
        <v>900</v>
      </c>
      <c r="O4" s="11">
        <v>975</v>
      </c>
      <c r="P4" s="11">
        <v>1050</v>
      </c>
      <c r="Q4" s="11">
        <v>1125</v>
      </c>
    </row>
    <row r="7" spans="1:17">
      <c r="A7" s="42" t="s">
        <v>62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</row>
    <row r="8" spans="1:17">
      <c r="A8" s="42" t="s">
        <v>60</v>
      </c>
      <c r="B8" s="10">
        <v>2015</v>
      </c>
      <c r="C8" s="10">
        <v>2016</v>
      </c>
      <c r="D8" s="10">
        <v>2017</v>
      </c>
      <c r="E8" s="10">
        <v>2018</v>
      </c>
      <c r="F8" s="10">
        <v>2019</v>
      </c>
      <c r="G8" s="10">
        <v>2020</v>
      </c>
      <c r="H8" s="10">
        <v>2021</v>
      </c>
      <c r="I8" s="10">
        <v>2022</v>
      </c>
      <c r="J8" s="10">
        <v>2023</v>
      </c>
      <c r="K8" s="10">
        <v>2024</v>
      </c>
      <c r="L8" s="10">
        <v>2025</v>
      </c>
      <c r="M8" s="10">
        <v>2026</v>
      </c>
      <c r="N8" s="10">
        <v>2027</v>
      </c>
      <c r="O8" s="10">
        <v>2028</v>
      </c>
      <c r="P8" s="10">
        <v>2029</v>
      </c>
      <c r="Q8" s="10">
        <v>2030</v>
      </c>
    </row>
    <row r="9" spans="1:17">
      <c r="A9" s="42" t="s">
        <v>29</v>
      </c>
      <c r="B9" s="10">
        <v>0</v>
      </c>
      <c r="C9" s="10">
        <v>1</v>
      </c>
      <c r="D9" s="10">
        <v>2</v>
      </c>
      <c r="E9" s="10">
        <v>3</v>
      </c>
      <c r="F9" s="10">
        <v>4</v>
      </c>
      <c r="G9" s="10">
        <v>5</v>
      </c>
      <c r="H9" s="10">
        <v>6</v>
      </c>
      <c r="I9" s="10">
        <v>7</v>
      </c>
      <c r="J9" s="10">
        <v>8</v>
      </c>
      <c r="K9" s="10">
        <v>9</v>
      </c>
      <c r="L9" s="10">
        <v>10</v>
      </c>
      <c r="M9" s="10">
        <v>11</v>
      </c>
      <c r="N9" s="10">
        <v>12</v>
      </c>
      <c r="O9" s="10">
        <v>13</v>
      </c>
      <c r="P9" s="10">
        <v>14</v>
      </c>
      <c r="Q9" s="10">
        <v>15</v>
      </c>
    </row>
    <row r="10" spans="1:17">
      <c r="A10" s="42" t="s">
        <v>61</v>
      </c>
      <c r="B10" s="11">
        <v>-1800</v>
      </c>
      <c r="C10" s="11">
        <v>150</v>
      </c>
      <c r="D10" s="11">
        <v>187.5</v>
      </c>
      <c r="E10" s="11">
        <v>234.38</v>
      </c>
      <c r="F10" s="11">
        <v>292.97000000000003</v>
      </c>
      <c r="G10" s="11">
        <v>366.21</v>
      </c>
      <c r="H10" s="11">
        <v>457.76</v>
      </c>
      <c r="I10" s="11">
        <v>572.20000000000005</v>
      </c>
      <c r="J10" s="11">
        <v>715.26</v>
      </c>
      <c r="K10" s="11">
        <v>536.44000000000005</v>
      </c>
      <c r="L10" s="11">
        <v>402.33</v>
      </c>
      <c r="M10" s="11">
        <v>301.75</v>
      </c>
      <c r="N10" s="11">
        <v>226.31</v>
      </c>
      <c r="O10" s="11">
        <v>169.73</v>
      </c>
      <c r="P10" s="11">
        <v>127.3</v>
      </c>
      <c r="Q10" s="11">
        <v>95.48</v>
      </c>
    </row>
    <row r="13" spans="1:17">
      <c r="A13" s="42" t="s">
        <v>63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</row>
    <row r="14" spans="1:17">
      <c r="A14" s="42" t="s">
        <v>60</v>
      </c>
      <c r="B14" s="10">
        <v>2015</v>
      </c>
      <c r="C14" s="10">
        <v>2016</v>
      </c>
      <c r="D14" s="10">
        <v>2017</v>
      </c>
      <c r="E14" s="10">
        <v>2018</v>
      </c>
      <c r="F14" s="10">
        <v>2019</v>
      </c>
      <c r="G14" s="10">
        <v>2020</v>
      </c>
      <c r="H14" s="10">
        <v>2021</v>
      </c>
      <c r="I14" s="10">
        <v>2022</v>
      </c>
      <c r="J14" s="10">
        <v>2023</v>
      </c>
      <c r="K14" s="10">
        <v>2024</v>
      </c>
      <c r="L14" s="10">
        <v>2025</v>
      </c>
      <c r="M14" s="10">
        <v>2026</v>
      </c>
      <c r="N14" s="10">
        <v>2027</v>
      </c>
      <c r="O14" s="10">
        <v>2028</v>
      </c>
      <c r="P14" s="10">
        <v>2029</v>
      </c>
      <c r="Q14" s="10">
        <v>2030</v>
      </c>
    </row>
    <row r="15" spans="1:17">
      <c r="A15" s="42" t="s">
        <v>29</v>
      </c>
      <c r="B15" s="10">
        <v>0</v>
      </c>
      <c r="C15" s="10">
        <v>1</v>
      </c>
      <c r="D15" s="10">
        <v>2</v>
      </c>
      <c r="E15" s="10">
        <v>3</v>
      </c>
      <c r="F15" s="10">
        <v>4</v>
      </c>
      <c r="G15" s="10">
        <v>5</v>
      </c>
      <c r="H15" s="10">
        <v>6</v>
      </c>
      <c r="I15" s="10">
        <v>7</v>
      </c>
      <c r="J15" s="10">
        <v>8</v>
      </c>
      <c r="K15" s="10">
        <v>9</v>
      </c>
      <c r="L15" s="10">
        <v>10</v>
      </c>
      <c r="M15" s="10">
        <v>11</v>
      </c>
      <c r="N15" s="10">
        <v>12</v>
      </c>
      <c r="O15" s="10">
        <v>13</v>
      </c>
      <c r="P15" s="10">
        <v>14</v>
      </c>
      <c r="Q15" s="10">
        <v>15</v>
      </c>
    </row>
    <row r="16" spans="1:17">
      <c r="A16" s="42" t="s">
        <v>61</v>
      </c>
      <c r="B16" s="11">
        <v>-1800</v>
      </c>
      <c r="C16" s="11">
        <v>25</v>
      </c>
      <c r="D16" s="11">
        <v>118.75</v>
      </c>
      <c r="E16" s="11">
        <v>212.5</v>
      </c>
      <c r="F16" s="11">
        <v>306.25</v>
      </c>
      <c r="G16" s="11">
        <v>400</v>
      </c>
      <c r="H16" s="11">
        <v>493.75</v>
      </c>
      <c r="I16" s="11">
        <v>587.5</v>
      </c>
      <c r="J16" s="11">
        <v>681.25</v>
      </c>
      <c r="K16" s="11">
        <v>775</v>
      </c>
      <c r="L16" s="11">
        <v>868.75</v>
      </c>
      <c r="M16" s="11">
        <v>962.5</v>
      </c>
      <c r="N16" s="11">
        <v>1056.25</v>
      </c>
      <c r="O16" s="11">
        <v>1150</v>
      </c>
      <c r="P16" s="11">
        <v>1243.75</v>
      </c>
      <c r="Q16" s="11">
        <v>1337.5</v>
      </c>
    </row>
    <row r="23" spans="1:4">
      <c r="A23" s="42" t="s">
        <v>64</v>
      </c>
      <c r="B23" s="43"/>
      <c r="C23" s="43"/>
      <c r="D23" s="43"/>
    </row>
    <row r="24" spans="1:4">
      <c r="A24" s="42" t="s">
        <v>65</v>
      </c>
      <c r="B24" s="43"/>
      <c r="C24" s="42" t="s">
        <v>66</v>
      </c>
      <c r="D24" s="43"/>
    </row>
    <row r="25" spans="1:4">
      <c r="A25" s="42" t="s">
        <v>67</v>
      </c>
      <c r="B25" s="11">
        <v>5.5</v>
      </c>
      <c r="C25" s="42" t="s">
        <v>13</v>
      </c>
      <c r="D25" s="11">
        <v>200</v>
      </c>
    </row>
    <row r="26" spans="1:4">
      <c r="A26" s="42" t="s">
        <v>68</v>
      </c>
      <c r="B26" s="11">
        <v>0.65</v>
      </c>
      <c r="C26" s="42" t="s">
        <v>69</v>
      </c>
      <c r="D26" s="12">
        <v>0.11</v>
      </c>
    </row>
    <row r="27" spans="1:4">
      <c r="A27" s="42" t="s">
        <v>70</v>
      </c>
      <c r="B27" s="12">
        <v>0.01</v>
      </c>
      <c r="C27" s="42" t="s">
        <v>71</v>
      </c>
      <c r="D27" s="10">
        <v>5</v>
      </c>
    </row>
    <row r="28" spans="1:4">
      <c r="A28" s="42" t="s">
        <v>72</v>
      </c>
      <c r="B28" s="44">
        <v>2.5000000000000001E-2</v>
      </c>
      <c r="C28" s="42" t="s">
        <v>73</v>
      </c>
      <c r="D28" s="10" t="s">
        <v>74</v>
      </c>
    </row>
    <row r="29" spans="1:4">
      <c r="A29" s="42" t="s">
        <v>75</v>
      </c>
      <c r="B29" s="12">
        <v>0.3</v>
      </c>
      <c r="C29" s="42"/>
      <c r="D29" s="10"/>
    </row>
    <row r="30" spans="1:4">
      <c r="A30" s="42" t="s">
        <v>76</v>
      </c>
      <c r="B30" s="43"/>
      <c r="C30" s="42" t="s">
        <v>77</v>
      </c>
      <c r="D30" s="43"/>
    </row>
    <row r="31" spans="1:4">
      <c r="A31" s="42" t="s">
        <v>13</v>
      </c>
      <c r="B31" s="11">
        <v>300</v>
      </c>
      <c r="C31" s="42" t="s">
        <v>13</v>
      </c>
      <c r="D31" s="11">
        <v>760</v>
      </c>
    </row>
    <row r="32" spans="1:4">
      <c r="A32" s="42" t="s">
        <v>78</v>
      </c>
      <c r="B32" s="12">
        <v>0.15</v>
      </c>
      <c r="C32" s="42" t="s">
        <v>14</v>
      </c>
      <c r="D32" s="44">
        <v>0.18</v>
      </c>
    </row>
    <row r="33" spans="1:11">
      <c r="A33" s="42" t="s">
        <v>71</v>
      </c>
      <c r="B33" s="10">
        <v>10</v>
      </c>
      <c r="C33" s="42" t="s">
        <v>71</v>
      </c>
      <c r="D33" s="10">
        <v>8</v>
      </c>
    </row>
    <row r="34" spans="1:11">
      <c r="A34" s="42" t="s">
        <v>73</v>
      </c>
      <c r="B34" s="10" t="s">
        <v>79</v>
      </c>
      <c r="C34" s="42" t="s">
        <v>73</v>
      </c>
      <c r="D34" s="10" t="s">
        <v>80</v>
      </c>
    </row>
    <row r="35" spans="1:11" ht="18">
      <c r="A35" s="42" t="s">
        <v>44</v>
      </c>
      <c r="B35" s="12">
        <v>0.01</v>
      </c>
      <c r="C35" s="42" t="s">
        <v>44</v>
      </c>
      <c r="D35" s="12">
        <v>0.02</v>
      </c>
      <c r="F35" s="45"/>
    </row>
    <row r="38" spans="1:11">
      <c r="A38" s="42" t="s">
        <v>6</v>
      </c>
      <c r="B38" s="12">
        <v>0.33</v>
      </c>
    </row>
    <row r="40" spans="1:11">
      <c r="A40" s="42" t="s">
        <v>81</v>
      </c>
      <c r="B40" s="11">
        <f>B25-B25*B28*(1-B38)</f>
        <v>5.4078749999999998</v>
      </c>
    </row>
    <row r="41" spans="1:11">
      <c r="A41" s="46" t="s">
        <v>82</v>
      </c>
      <c r="B41" s="47">
        <f>B27 + (B26*(1+B27))/B40</f>
        <v>0.13139703672884454</v>
      </c>
    </row>
    <row r="43" spans="1:11">
      <c r="A43" s="42" t="s">
        <v>83</v>
      </c>
      <c r="B43" s="48"/>
    </row>
    <row r="44" spans="1:11">
      <c r="A44" s="46" t="s">
        <v>84</v>
      </c>
      <c r="B44" s="47">
        <f>D26*(1-B38)</f>
        <v>7.3699999999999988E-2</v>
      </c>
    </row>
    <row r="46" spans="1:11">
      <c r="A46" s="42" t="s">
        <v>85</v>
      </c>
      <c r="B46" s="43"/>
      <c r="C46" s="42" t="s">
        <v>86</v>
      </c>
      <c r="D46" s="11">
        <f>B31/B33</f>
        <v>30</v>
      </c>
    </row>
    <row r="47" spans="1:11">
      <c r="A47" s="49" t="s">
        <v>87</v>
      </c>
      <c r="B47" s="47">
        <f>B32/4</f>
        <v>3.7499999999999999E-2</v>
      </c>
      <c r="C47" s="42" t="s">
        <v>88</v>
      </c>
      <c r="D47" s="11">
        <f>D46/4</f>
        <v>7.5</v>
      </c>
    </row>
    <row r="48" spans="1:11">
      <c r="A48" s="42" t="s">
        <v>29</v>
      </c>
      <c r="B48" s="42" t="s">
        <v>30</v>
      </c>
      <c r="C48" s="42" t="s">
        <v>38</v>
      </c>
      <c r="D48" s="42" t="s">
        <v>32</v>
      </c>
      <c r="E48" s="42" t="s">
        <v>33</v>
      </c>
      <c r="F48" s="42" t="s">
        <v>28</v>
      </c>
      <c r="G48" s="42" t="s">
        <v>34</v>
      </c>
      <c r="H48" s="42" t="s">
        <v>44</v>
      </c>
      <c r="I48" s="42" t="s">
        <v>89</v>
      </c>
      <c r="J48" s="42" t="s">
        <v>90</v>
      </c>
      <c r="K48" s="42" t="s">
        <v>91</v>
      </c>
    </row>
    <row r="49" spans="1:11">
      <c r="A49" s="10">
        <v>0</v>
      </c>
      <c r="B49" s="11">
        <v>0</v>
      </c>
      <c r="C49" s="11">
        <f>B31</f>
        <v>300</v>
      </c>
      <c r="D49" s="11">
        <f>B47*C49</f>
        <v>11.25</v>
      </c>
      <c r="E49" s="11">
        <v>0</v>
      </c>
      <c r="F49" s="11">
        <f t="shared" ref="F49:F89" si="0">E49+D49</f>
        <v>11.25</v>
      </c>
      <c r="G49" s="11">
        <f>C49</f>
        <v>300</v>
      </c>
      <c r="H49" s="11">
        <f>1%*C49</f>
        <v>3</v>
      </c>
      <c r="I49" s="11">
        <f>C49-F49</f>
        <v>288.75</v>
      </c>
      <c r="J49" s="11">
        <v>0</v>
      </c>
      <c r="K49" s="11">
        <f t="shared" ref="K49:K89" si="1">I49+J49</f>
        <v>288.75</v>
      </c>
    </row>
    <row r="50" spans="1:11">
      <c r="A50" s="10">
        <v>1</v>
      </c>
      <c r="B50" s="11">
        <f t="shared" ref="B50:B89" si="2">G49</f>
        <v>300</v>
      </c>
      <c r="C50" s="11">
        <v>0</v>
      </c>
      <c r="D50" s="11">
        <f>B47*B50</f>
        <v>11.25</v>
      </c>
      <c r="E50" s="11">
        <f>E51</f>
        <v>0</v>
      </c>
      <c r="F50" s="11">
        <f t="shared" si="0"/>
        <v>11.25</v>
      </c>
      <c r="G50" s="11">
        <f t="shared" ref="G50:G89" si="3">B50-E50</f>
        <v>300</v>
      </c>
      <c r="H50" s="11">
        <f t="shared" ref="H50:H89" ca="1" si="4">$H$60</f>
        <v>0</v>
      </c>
      <c r="I50" s="11">
        <f>C50-F50</f>
        <v>-11.25</v>
      </c>
      <c r="J50" s="11">
        <v>0</v>
      </c>
      <c r="K50" s="11">
        <f t="shared" si="1"/>
        <v>-11.25</v>
      </c>
    </row>
    <row r="51" spans="1:11">
      <c r="A51" s="10">
        <v>2</v>
      </c>
      <c r="B51" s="11">
        <f t="shared" si="2"/>
        <v>300</v>
      </c>
      <c r="C51" s="11">
        <v>0</v>
      </c>
      <c r="D51" s="11">
        <f>B47*B51</f>
        <v>11.25</v>
      </c>
      <c r="E51" s="11">
        <f>$E$49</f>
        <v>0</v>
      </c>
      <c r="F51" s="11">
        <f t="shared" si="0"/>
        <v>11.25</v>
      </c>
      <c r="G51" s="11">
        <f t="shared" si="3"/>
        <v>300</v>
      </c>
      <c r="H51" s="11">
        <f t="shared" ca="1" si="4"/>
        <v>0</v>
      </c>
      <c r="I51" s="11">
        <f t="shared" ref="I51:I89" si="5">C51-F51</f>
        <v>-11.25</v>
      </c>
      <c r="J51" s="11">
        <v>0</v>
      </c>
      <c r="K51" s="11">
        <f t="shared" si="1"/>
        <v>-11.25</v>
      </c>
    </row>
    <row r="52" spans="1:11">
      <c r="A52" s="10">
        <v>3</v>
      </c>
      <c r="B52" s="11">
        <f t="shared" si="2"/>
        <v>300</v>
      </c>
      <c r="C52" s="11">
        <v>0</v>
      </c>
      <c r="D52" s="11">
        <f>B47*B52</f>
        <v>11.25</v>
      </c>
      <c r="E52" s="11">
        <f>$E$49</f>
        <v>0</v>
      </c>
      <c r="F52" s="11">
        <f t="shared" si="0"/>
        <v>11.25</v>
      </c>
      <c r="G52" s="11">
        <f t="shared" si="3"/>
        <v>300</v>
      </c>
      <c r="H52" s="11">
        <f t="shared" ca="1" si="4"/>
        <v>0</v>
      </c>
      <c r="I52" s="11">
        <f t="shared" si="5"/>
        <v>-11.25</v>
      </c>
      <c r="J52" s="11">
        <v>0</v>
      </c>
      <c r="K52" s="11">
        <f t="shared" si="1"/>
        <v>-11.25</v>
      </c>
    </row>
    <row r="53" spans="1:11">
      <c r="A53" s="50">
        <v>4</v>
      </c>
      <c r="B53" s="51">
        <f t="shared" si="2"/>
        <v>300</v>
      </c>
      <c r="C53" s="51">
        <v>0</v>
      </c>
      <c r="D53" s="51">
        <f>B47*B53</f>
        <v>11.25</v>
      </c>
      <c r="E53" s="51">
        <f>$D$46</f>
        <v>30</v>
      </c>
      <c r="F53" s="51">
        <f t="shared" si="0"/>
        <v>41.25</v>
      </c>
      <c r="G53" s="51">
        <f t="shared" si="3"/>
        <v>270</v>
      </c>
      <c r="H53" s="51">
        <f t="shared" ca="1" si="4"/>
        <v>0</v>
      </c>
      <c r="I53" s="51">
        <f t="shared" si="5"/>
        <v>-41.25</v>
      </c>
      <c r="J53" s="51">
        <f>(H49 + SUM(D49:D52))*$B$38</f>
        <v>15.84</v>
      </c>
      <c r="K53" s="51">
        <f t="shared" si="1"/>
        <v>-25.41</v>
      </c>
    </row>
    <row r="54" spans="1:11">
      <c r="A54" s="14">
        <v>5</v>
      </c>
      <c r="B54" s="15">
        <f t="shared" si="2"/>
        <v>270</v>
      </c>
      <c r="C54" s="15">
        <v>0</v>
      </c>
      <c r="D54" s="15">
        <f>B47*B54</f>
        <v>10.125</v>
      </c>
      <c r="E54" s="11">
        <f t="shared" ref="E54" si="6">E55</f>
        <v>0</v>
      </c>
      <c r="F54" s="15">
        <f t="shared" si="0"/>
        <v>10.125</v>
      </c>
      <c r="G54" s="15">
        <f t="shared" si="3"/>
        <v>270</v>
      </c>
      <c r="H54" s="15">
        <f t="shared" ca="1" si="4"/>
        <v>0</v>
      </c>
      <c r="I54" s="11">
        <f t="shared" si="5"/>
        <v>-10.125</v>
      </c>
      <c r="J54" s="15">
        <v>0</v>
      </c>
      <c r="K54" s="15">
        <f t="shared" si="1"/>
        <v>-10.125</v>
      </c>
    </row>
    <row r="55" spans="1:11">
      <c r="A55" s="14">
        <v>6</v>
      </c>
      <c r="B55" s="15">
        <f t="shared" si="2"/>
        <v>270</v>
      </c>
      <c r="C55" s="15">
        <v>0</v>
      </c>
      <c r="D55" s="15">
        <f>B47*B55</f>
        <v>10.125</v>
      </c>
      <c r="E55" s="11">
        <f t="shared" ref="E55:E56" si="7">$E$49</f>
        <v>0</v>
      </c>
      <c r="F55" s="15">
        <f t="shared" si="0"/>
        <v>10.125</v>
      </c>
      <c r="G55" s="15">
        <f t="shared" si="3"/>
        <v>270</v>
      </c>
      <c r="H55" s="15">
        <f t="shared" ca="1" si="4"/>
        <v>0</v>
      </c>
      <c r="I55" s="11">
        <f t="shared" si="5"/>
        <v>-10.125</v>
      </c>
      <c r="J55" s="15">
        <v>0</v>
      </c>
      <c r="K55" s="15">
        <f t="shared" si="1"/>
        <v>-10.125</v>
      </c>
    </row>
    <row r="56" spans="1:11">
      <c r="A56" s="14">
        <v>7</v>
      </c>
      <c r="B56" s="15">
        <f t="shared" si="2"/>
        <v>270</v>
      </c>
      <c r="C56" s="15">
        <v>0</v>
      </c>
      <c r="D56" s="15">
        <f>$B47*B56</f>
        <v>10.125</v>
      </c>
      <c r="E56" s="11">
        <f t="shared" si="7"/>
        <v>0</v>
      </c>
      <c r="F56" s="15">
        <f t="shared" si="0"/>
        <v>10.125</v>
      </c>
      <c r="G56" s="15">
        <f t="shared" si="3"/>
        <v>270</v>
      </c>
      <c r="H56" s="15">
        <f t="shared" ca="1" si="4"/>
        <v>0</v>
      </c>
      <c r="I56" s="11">
        <f t="shared" si="5"/>
        <v>-10.125</v>
      </c>
      <c r="J56" s="15">
        <v>0</v>
      </c>
      <c r="K56" s="15">
        <f t="shared" si="1"/>
        <v>-10.125</v>
      </c>
    </row>
    <row r="57" spans="1:11">
      <c r="A57" s="50">
        <v>8</v>
      </c>
      <c r="B57" s="52">
        <f t="shared" si="2"/>
        <v>270</v>
      </c>
      <c r="C57" s="52">
        <v>0</v>
      </c>
      <c r="D57" s="52">
        <f>$B$47*B57</f>
        <v>10.125</v>
      </c>
      <c r="E57" s="51">
        <f t="shared" ref="E57" si="8">$D$46</f>
        <v>30</v>
      </c>
      <c r="F57" s="52">
        <f t="shared" si="0"/>
        <v>40.125</v>
      </c>
      <c r="G57" s="52">
        <f t="shared" si="3"/>
        <v>240</v>
      </c>
      <c r="H57" s="52">
        <f t="shared" ca="1" si="4"/>
        <v>0</v>
      </c>
      <c r="I57" s="51">
        <f t="shared" si="5"/>
        <v>-40.125</v>
      </c>
      <c r="J57" s="52">
        <f>SUM(D53:D56)*$B$38</f>
        <v>13.73625</v>
      </c>
      <c r="K57" s="52">
        <f t="shared" si="1"/>
        <v>-26.388750000000002</v>
      </c>
    </row>
    <row r="58" spans="1:11">
      <c r="A58" s="10">
        <v>9</v>
      </c>
      <c r="B58" s="15">
        <f t="shared" si="2"/>
        <v>240</v>
      </c>
      <c r="C58" s="15">
        <v>0</v>
      </c>
      <c r="D58" s="15">
        <f>$B$47*B58</f>
        <v>9</v>
      </c>
      <c r="E58" s="11">
        <f t="shared" ref="E58" si="9">E59</f>
        <v>0</v>
      </c>
      <c r="F58" s="15">
        <f t="shared" si="0"/>
        <v>9</v>
      </c>
      <c r="G58" s="15">
        <f t="shared" si="3"/>
        <v>240</v>
      </c>
      <c r="H58" s="15">
        <f t="shared" ca="1" si="4"/>
        <v>0</v>
      </c>
      <c r="I58" s="11">
        <f t="shared" si="5"/>
        <v>-9</v>
      </c>
      <c r="J58" s="15">
        <v>0</v>
      </c>
      <c r="K58" s="15">
        <f t="shared" si="1"/>
        <v>-9</v>
      </c>
    </row>
    <row r="59" spans="1:11">
      <c r="A59" s="10">
        <v>10</v>
      </c>
      <c r="B59" s="15">
        <f t="shared" si="2"/>
        <v>240</v>
      </c>
      <c r="C59" s="15">
        <v>0</v>
      </c>
      <c r="D59" s="15">
        <f>B$47*B59</f>
        <v>9</v>
      </c>
      <c r="E59" s="11">
        <f t="shared" ref="E59:E60" si="10">$E$49</f>
        <v>0</v>
      </c>
      <c r="F59" s="15">
        <f t="shared" si="0"/>
        <v>9</v>
      </c>
      <c r="G59" s="15">
        <f t="shared" si="3"/>
        <v>240</v>
      </c>
      <c r="H59" s="15">
        <f t="shared" ca="1" si="4"/>
        <v>0</v>
      </c>
      <c r="I59" s="11">
        <f t="shared" si="5"/>
        <v>-9</v>
      </c>
      <c r="J59" s="15">
        <v>0</v>
      </c>
      <c r="K59" s="15">
        <f t="shared" si="1"/>
        <v>-9</v>
      </c>
    </row>
    <row r="60" spans="1:11">
      <c r="A60" s="10">
        <v>11</v>
      </c>
      <c r="B60" s="15">
        <f t="shared" si="2"/>
        <v>240</v>
      </c>
      <c r="C60" s="15">
        <v>0</v>
      </c>
      <c r="D60" s="15">
        <f>$B$47*B60</f>
        <v>9</v>
      </c>
      <c r="E60" s="11">
        <f t="shared" si="10"/>
        <v>0</v>
      </c>
      <c r="F60" s="15">
        <f t="shared" si="0"/>
        <v>9</v>
      </c>
      <c r="G60" s="15">
        <f t="shared" si="3"/>
        <v>240</v>
      </c>
      <c r="H60" s="15">
        <f t="shared" ca="1" si="4"/>
        <v>0</v>
      </c>
      <c r="I60" s="11">
        <f t="shared" si="5"/>
        <v>-9</v>
      </c>
      <c r="J60" s="15">
        <v>0</v>
      </c>
      <c r="K60" s="15">
        <f t="shared" si="1"/>
        <v>-9</v>
      </c>
    </row>
    <row r="61" spans="1:11">
      <c r="A61" s="50">
        <v>12</v>
      </c>
      <c r="B61" s="52">
        <f t="shared" si="2"/>
        <v>240</v>
      </c>
      <c r="C61" s="52">
        <v>0</v>
      </c>
      <c r="D61" s="52">
        <f>$B$47*B61</f>
        <v>9</v>
      </c>
      <c r="E61" s="51">
        <f t="shared" ref="E61" si="11">$D$46</f>
        <v>30</v>
      </c>
      <c r="F61" s="52">
        <f t="shared" si="0"/>
        <v>39</v>
      </c>
      <c r="G61" s="52">
        <f t="shared" si="3"/>
        <v>210</v>
      </c>
      <c r="H61" s="52">
        <f t="shared" ca="1" si="4"/>
        <v>0</v>
      </c>
      <c r="I61" s="51">
        <f t="shared" si="5"/>
        <v>-39</v>
      </c>
      <c r="J61" s="52">
        <f>SUM(D57:D60)*B38</f>
        <v>12.251250000000001</v>
      </c>
      <c r="K61" s="52">
        <f t="shared" si="1"/>
        <v>-26.748750000000001</v>
      </c>
    </row>
    <row r="62" spans="1:11">
      <c r="A62" s="10">
        <v>13</v>
      </c>
      <c r="B62" s="15">
        <f t="shared" si="2"/>
        <v>210</v>
      </c>
      <c r="C62" s="15">
        <v>0</v>
      </c>
      <c r="D62" s="15">
        <f>$B$47*B62</f>
        <v>7.875</v>
      </c>
      <c r="E62" s="11">
        <f t="shared" ref="E62" si="12">E63</f>
        <v>0</v>
      </c>
      <c r="F62" s="15">
        <f t="shared" si="0"/>
        <v>7.875</v>
      </c>
      <c r="G62" s="15">
        <f t="shared" si="3"/>
        <v>210</v>
      </c>
      <c r="H62" s="15">
        <f t="shared" ca="1" si="4"/>
        <v>0</v>
      </c>
      <c r="I62" s="11">
        <f t="shared" si="5"/>
        <v>-7.875</v>
      </c>
      <c r="J62" s="15">
        <v>0</v>
      </c>
      <c r="K62" s="15">
        <f t="shared" si="1"/>
        <v>-7.875</v>
      </c>
    </row>
    <row r="63" spans="1:11">
      <c r="A63" s="10">
        <v>14</v>
      </c>
      <c r="B63" s="15">
        <f t="shared" si="2"/>
        <v>210</v>
      </c>
      <c r="C63" s="15">
        <v>0</v>
      </c>
      <c r="D63" s="15">
        <f>B$47*B63</f>
        <v>7.875</v>
      </c>
      <c r="E63" s="11">
        <f t="shared" ref="E63:E64" si="13">$E$49</f>
        <v>0</v>
      </c>
      <c r="F63" s="15">
        <f t="shared" si="0"/>
        <v>7.875</v>
      </c>
      <c r="G63" s="15">
        <f t="shared" si="3"/>
        <v>210</v>
      </c>
      <c r="H63" s="15">
        <f t="shared" ca="1" si="4"/>
        <v>0</v>
      </c>
      <c r="I63" s="11">
        <f t="shared" si="5"/>
        <v>-7.875</v>
      </c>
      <c r="J63" s="15">
        <v>0</v>
      </c>
      <c r="K63" s="15">
        <f t="shared" si="1"/>
        <v>-7.875</v>
      </c>
    </row>
    <row r="64" spans="1:11">
      <c r="A64" s="10">
        <v>15</v>
      </c>
      <c r="B64" s="15">
        <f t="shared" si="2"/>
        <v>210</v>
      </c>
      <c r="C64" s="15">
        <v>0</v>
      </c>
      <c r="D64" s="15">
        <f>$B$47*B64</f>
        <v>7.875</v>
      </c>
      <c r="E64" s="11">
        <f t="shared" si="13"/>
        <v>0</v>
      </c>
      <c r="F64" s="15">
        <f t="shared" si="0"/>
        <v>7.875</v>
      </c>
      <c r="G64" s="15">
        <f t="shared" si="3"/>
        <v>210</v>
      </c>
      <c r="H64" s="15">
        <f t="shared" ca="1" si="4"/>
        <v>0</v>
      </c>
      <c r="I64" s="11">
        <f t="shared" si="5"/>
        <v>-7.875</v>
      </c>
      <c r="J64" s="15">
        <v>0</v>
      </c>
      <c r="K64" s="15">
        <f t="shared" si="1"/>
        <v>-7.875</v>
      </c>
    </row>
    <row r="65" spans="1:11">
      <c r="A65" s="50">
        <v>16</v>
      </c>
      <c r="B65" s="52">
        <f t="shared" si="2"/>
        <v>210</v>
      </c>
      <c r="C65" s="52">
        <v>0</v>
      </c>
      <c r="D65" s="52">
        <f>$B$47*B65</f>
        <v>7.875</v>
      </c>
      <c r="E65" s="51">
        <f t="shared" ref="E65" si="14">$D$46</f>
        <v>30</v>
      </c>
      <c r="F65" s="52">
        <f t="shared" si="0"/>
        <v>37.875</v>
      </c>
      <c r="G65" s="52">
        <f t="shared" si="3"/>
        <v>180</v>
      </c>
      <c r="H65" s="52">
        <f t="shared" ca="1" si="4"/>
        <v>0</v>
      </c>
      <c r="I65" s="51">
        <f t="shared" si="5"/>
        <v>-37.875</v>
      </c>
      <c r="J65" s="52">
        <f>SUM(D61:D64)*$B$38</f>
        <v>10.766250000000001</v>
      </c>
      <c r="K65" s="52">
        <f t="shared" si="1"/>
        <v>-27.108750000000001</v>
      </c>
    </row>
    <row r="66" spans="1:11">
      <c r="A66" s="10">
        <v>17</v>
      </c>
      <c r="B66" s="53">
        <f t="shared" si="2"/>
        <v>180</v>
      </c>
      <c r="C66" s="53">
        <v>0</v>
      </c>
      <c r="D66" s="53">
        <f t="shared" ref="D66:D67" si="15">$B$47*B66</f>
        <v>6.75</v>
      </c>
      <c r="E66" s="11">
        <f t="shared" ref="E66" si="16">E67</f>
        <v>0</v>
      </c>
      <c r="F66" s="53">
        <f t="shared" si="0"/>
        <v>6.75</v>
      </c>
      <c r="G66" s="53">
        <f t="shared" si="3"/>
        <v>180</v>
      </c>
      <c r="H66" s="53">
        <f t="shared" ca="1" si="4"/>
        <v>0</v>
      </c>
      <c r="I66" s="15">
        <f t="shared" si="5"/>
        <v>-6.75</v>
      </c>
      <c r="J66" s="15">
        <v>0</v>
      </c>
      <c r="K66" s="53">
        <f t="shared" si="1"/>
        <v>-6.75</v>
      </c>
    </row>
    <row r="67" spans="1:11">
      <c r="A67" s="10">
        <v>18</v>
      </c>
      <c r="B67" s="15">
        <f t="shared" si="2"/>
        <v>180</v>
      </c>
      <c r="C67" s="15">
        <v>0</v>
      </c>
      <c r="D67" s="15">
        <f t="shared" si="15"/>
        <v>6.75</v>
      </c>
      <c r="E67" s="11">
        <f t="shared" ref="E67:E68" si="17">$E$49</f>
        <v>0</v>
      </c>
      <c r="F67" s="15">
        <f t="shared" si="0"/>
        <v>6.75</v>
      </c>
      <c r="G67" s="15">
        <f t="shared" si="3"/>
        <v>180</v>
      </c>
      <c r="H67" s="15">
        <f t="shared" ca="1" si="4"/>
        <v>0</v>
      </c>
      <c r="I67" s="11">
        <f t="shared" si="5"/>
        <v>-6.75</v>
      </c>
      <c r="J67" s="15">
        <v>0</v>
      </c>
      <c r="K67" s="15">
        <f t="shared" si="1"/>
        <v>-6.75</v>
      </c>
    </row>
    <row r="68" spans="1:11">
      <c r="A68" s="10">
        <v>19</v>
      </c>
      <c r="B68" s="15">
        <f t="shared" si="2"/>
        <v>180</v>
      </c>
      <c r="C68" s="15">
        <v>0</v>
      </c>
      <c r="D68" s="15">
        <f t="shared" ref="D68" si="18">B$47*B68</f>
        <v>6.75</v>
      </c>
      <c r="E68" s="11">
        <f t="shared" si="17"/>
        <v>0</v>
      </c>
      <c r="F68" s="15">
        <f t="shared" si="0"/>
        <v>6.75</v>
      </c>
      <c r="G68" s="15">
        <f t="shared" si="3"/>
        <v>180</v>
      </c>
      <c r="H68" s="15">
        <f t="shared" ca="1" si="4"/>
        <v>0</v>
      </c>
      <c r="I68" s="11">
        <f t="shared" si="5"/>
        <v>-6.75</v>
      </c>
      <c r="J68" s="15">
        <v>0</v>
      </c>
      <c r="K68" s="15">
        <f t="shared" si="1"/>
        <v>-6.75</v>
      </c>
    </row>
    <row r="69" spans="1:11">
      <c r="A69" s="50">
        <v>20</v>
      </c>
      <c r="B69" s="51">
        <f t="shared" si="2"/>
        <v>180</v>
      </c>
      <c r="C69" s="51">
        <v>0</v>
      </c>
      <c r="D69" s="51">
        <f t="shared" ref="D69:D72" si="19">$B$47*B69</f>
        <v>6.75</v>
      </c>
      <c r="E69" s="51">
        <f t="shared" ref="E69" si="20">$D$46</f>
        <v>30</v>
      </c>
      <c r="F69" s="51">
        <f t="shared" si="0"/>
        <v>36.75</v>
      </c>
      <c r="G69" s="51">
        <f t="shared" si="3"/>
        <v>150</v>
      </c>
      <c r="H69" s="51">
        <f t="shared" ca="1" si="4"/>
        <v>0</v>
      </c>
      <c r="I69" s="51">
        <f t="shared" si="5"/>
        <v>-36.75</v>
      </c>
      <c r="J69" s="52">
        <f t="shared" ref="J69" si="21">SUM(D65:D68)*$B$38</f>
        <v>9.28125</v>
      </c>
      <c r="K69" s="51">
        <f t="shared" si="1"/>
        <v>-27.46875</v>
      </c>
    </row>
    <row r="70" spans="1:11">
      <c r="A70" s="10">
        <v>21</v>
      </c>
      <c r="B70" s="53">
        <f t="shared" si="2"/>
        <v>150</v>
      </c>
      <c r="C70" s="53">
        <v>0</v>
      </c>
      <c r="D70" s="53">
        <f t="shared" si="19"/>
        <v>5.625</v>
      </c>
      <c r="E70" s="11">
        <f t="shared" ref="E70" si="22">E71</f>
        <v>0</v>
      </c>
      <c r="F70" s="53">
        <f t="shared" si="0"/>
        <v>5.625</v>
      </c>
      <c r="G70" s="53">
        <f t="shared" si="3"/>
        <v>150</v>
      </c>
      <c r="H70" s="53">
        <f t="shared" ca="1" si="4"/>
        <v>0</v>
      </c>
      <c r="I70" s="15">
        <f t="shared" si="5"/>
        <v>-5.625</v>
      </c>
      <c r="J70" s="15">
        <v>0</v>
      </c>
      <c r="K70" s="53">
        <f t="shared" si="1"/>
        <v>-5.625</v>
      </c>
    </row>
    <row r="71" spans="1:11">
      <c r="A71" s="10">
        <v>22</v>
      </c>
      <c r="B71" s="53">
        <f t="shared" si="2"/>
        <v>150</v>
      </c>
      <c r="C71" s="53">
        <v>0</v>
      </c>
      <c r="D71" s="53">
        <f t="shared" si="19"/>
        <v>5.625</v>
      </c>
      <c r="E71" s="11">
        <f t="shared" ref="E71:E72" si="23">$E$49</f>
        <v>0</v>
      </c>
      <c r="F71" s="53">
        <f t="shared" si="0"/>
        <v>5.625</v>
      </c>
      <c r="G71" s="53">
        <f t="shared" si="3"/>
        <v>150</v>
      </c>
      <c r="H71" s="53">
        <f t="shared" ca="1" si="4"/>
        <v>0</v>
      </c>
      <c r="I71" s="15">
        <f t="shared" si="5"/>
        <v>-5.625</v>
      </c>
      <c r="J71" s="15">
        <v>0</v>
      </c>
      <c r="K71" s="53">
        <f t="shared" si="1"/>
        <v>-5.625</v>
      </c>
    </row>
    <row r="72" spans="1:11">
      <c r="A72" s="10">
        <v>23</v>
      </c>
      <c r="B72" s="15">
        <f t="shared" si="2"/>
        <v>150</v>
      </c>
      <c r="C72" s="15">
        <v>0</v>
      </c>
      <c r="D72" s="15">
        <f t="shared" si="19"/>
        <v>5.625</v>
      </c>
      <c r="E72" s="11">
        <f t="shared" si="23"/>
        <v>0</v>
      </c>
      <c r="F72" s="15">
        <f t="shared" si="0"/>
        <v>5.625</v>
      </c>
      <c r="G72" s="15">
        <f t="shared" si="3"/>
        <v>150</v>
      </c>
      <c r="H72" s="15">
        <f t="shared" ca="1" si="4"/>
        <v>0</v>
      </c>
      <c r="I72" s="15">
        <f t="shared" si="5"/>
        <v>-5.625</v>
      </c>
      <c r="J72" s="15">
        <v>0</v>
      </c>
      <c r="K72" s="15">
        <f t="shared" si="1"/>
        <v>-5.625</v>
      </c>
    </row>
    <row r="73" spans="1:11">
      <c r="A73" s="50">
        <v>24</v>
      </c>
      <c r="B73" s="51">
        <f t="shared" si="2"/>
        <v>150</v>
      </c>
      <c r="C73" s="51">
        <v>0</v>
      </c>
      <c r="D73" s="51">
        <f t="shared" ref="D73" si="24">B$47*B73</f>
        <v>5.625</v>
      </c>
      <c r="E73" s="51">
        <f t="shared" ref="E73" si="25">$D$46</f>
        <v>30</v>
      </c>
      <c r="F73" s="51">
        <f t="shared" si="0"/>
        <v>35.625</v>
      </c>
      <c r="G73" s="51">
        <f t="shared" si="3"/>
        <v>120</v>
      </c>
      <c r="H73" s="51">
        <f t="shared" ca="1" si="4"/>
        <v>0</v>
      </c>
      <c r="I73" s="51">
        <f t="shared" si="5"/>
        <v>-35.625</v>
      </c>
      <c r="J73" s="52">
        <f t="shared" ref="J73" si="26">SUM(D69:D72)*$B$38</f>
        <v>7.7962500000000006</v>
      </c>
      <c r="K73" s="51">
        <f t="shared" si="1"/>
        <v>-27.828749999999999</v>
      </c>
    </row>
    <row r="74" spans="1:11">
      <c r="A74" s="10">
        <v>25</v>
      </c>
      <c r="B74" s="15">
        <f t="shared" si="2"/>
        <v>120</v>
      </c>
      <c r="C74" s="15">
        <v>0</v>
      </c>
      <c r="D74" s="15">
        <f t="shared" ref="D74:D77" si="27">$B$47*B74</f>
        <v>4.5</v>
      </c>
      <c r="E74" s="11">
        <f t="shared" ref="E74" si="28">E75</f>
        <v>0</v>
      </c>
      <c r="F74" s="15">
        <f t="shared" si="0"/>
        <v>4.5</v>
      </c>
      <c r="G74" s="15">
        <f t="shared" si="3"/>
        <v>120</v>
      </c>
      <c r="H74" s="15">
        <f t="shared" ca="1" si="4"/>
        <v>0</v>
      </c>
      <c r="I74" s="15">
        <f t="shared" si="5"/>
        <v>-4.5</v>
      </c>
      <c r="J74" s="15">
        <v>0</v>
      </c>
      <c r="K74" s="15">
        <f t="shared" si="1"/>
        <v>-4.5</v>
      </c>
    </row>
    <row r="75" spans="1:11">
      <c r="A75" s="10">
        <v>26</v>
      </c>
      <c r="B75" s="53">
        <f t="shared" si="2"/>
        <v>120</v>
      </c>
      <c r="C75" s="53">
        <v>0</v>
      </c>
      <c r="D75" s="53">
        <f t="shared" si="27"/>
        <v>4.5</v>
      </c>
      <c r="E75" s="11">
        <f t="shared" ref="E75:E76" si="29">$E$49</f>
        <v>0</v>
      </c>
      <c r="F75" s="53">
        <f t="shared" si="0"/>
        <v>4.5</v>
      </c>
      <c r="G75" s="53">
        <f t="shared" si="3"/>
        <v>120</v>
      </c>
      <c r="H75" s="53">
        <f t="shared" ca="1" si="4"/>
        <v>0</v>
      </c>
      <c r="I75" s="15">
        <f t="shared" si="5"/>
        <v>-4.5</v>
      </c>
      <c r="J75" s="15">
        <v>0</v>
      </c>
      <c r="K75" s="53">
        <f t="shared" si="1"/>
        <v>-4.5</v>
      </c>
    </row>
    <row r="76" spans="1:11">
      <c r="A76" s="10">
        <v>27</v>
      </c>
      <c r="B76" s="53">
        <f t="shared" si="2"/>
        <v>120</v>
      </c>
      <c r="C76" s="53">
        <v>0</v>
      </c>
      <c r="D76" s="53">
        <f t="shared" si="27"/>
        <v>4.5</v>
      </c>
      <c r="E76" s="11">
        <f t="shared" si="29"/>
        <v>0</v>
      </c>
      <c r="F76" s="53">
        <f t="shared" si="0"/>
        <v>4.5</v>
      </c>
      <c r="G76" s="53">
        <f t="shared" si="3"/>
        <v>120</v>
      </c>
      <c r="H76" s="53">
        <f t="shared" ca="1" si="4"/>
        <v>0</v>
      </c>
      <c r="I76" s="15">
        <f t="shared" si="5"/>
        <v>-4.5</v>
      </c>
      <c r="J76" s="15">
        <v>0</v>
      </c>
      <c r="K76" s="53">
        <f t="shared" si="1"/>
        <v>-4.5</v>
      </c>
    </row>
    <row r="77" spans="1:11">
      <c r="A77" s="50">
        <v>28</v>
      </c>
      <c r="B77" s="51">
        <f t="shared" si="2"/>
        <v>120</v>
      </c>
      <c r="C77" s="51">
        <v>0</v>
      </c>
      <c r="D77" s="51">
        <f t="shared" si="27"/>
        <v>4.5</v>
      </c>
      <c r="E77" s="51">
        <f t="shared" ref="E77" si="30">$D$46</f>
        <v>30</v>
      </c>
      <c r="F77" s="51">
        <f t="shared" si="0"/>
        <v>34.5</v>
      </c>
      <c r="G77" s="51">
        <f t="shared" si="3"/>
        <v>90</v>
      </c>
      <c r="H77" s="51">
        <f t="shared" ca="1" si="4"/>
        <v>0</v>
      </c>
      <c r="I77" s="51">
        <f t="shared" si="5"/>
        <v>-34.5</v>
      </c>
      <c r="J77" s="52">
        <f t="shared" ref="J77" si="31">SUM(D73:D76)*$B$38</f>
        <v>6.3112500000000002</v>
      </c>
      <c r="K77" s="51">
        <f t="shared" si="1"/>
        <v>-28.188749999999999</v>
      </c>
    </row>
    <row r="78" spans="1:11">
      <c r="A78" s="10">
        <v>29</v>
      </c>
      <c r="B78" s="15">
        <f t="shared" si="2"/>
        <v>90</v>
      </c>
      <c r="C78" s="15">
        <v>0</v>
      </c>
      <c r="D78" s="15">
        <f t="shared" ref="D78" si="32">B$47*B78</f>
        <v>3.375</v>
      </c>
      <c r="E78" s="11">
        <f t="shared" ref="E78" si="33">E79</f>
        <v>0</v>
      </c>
      <c r="F78" s="15">
        <f t="shared" si="0"/>
        <v>3.375</v>
      </c>
      <c r="G78" s="15">
        <f t="shared" si="3"/>
        <v>90</v>
      </c>
      <c r="H78" s="15">
        <f t="shared" ca="1" si="4"/>
        <v>0</v>
      </c>
      <c r="I78" s="15">
        <f t="shared" si="5"/>
        <v>-3.375</v>
      </c>
      <c r="J78" s="15">
        <v>0</v>
      </c>
      <c r="K78" s="15">
        <f t="shared" si="1"/>
        <v>-3.375</v>
      </c>
    </row>
    <row r="79" spans="1:11">
      <c r="A79" s="10">
        <v>30</v>
      </c>
      <c r="B79" s="15">
        <f t="shared" si="2"/>
        <v>90</v>
      </c>
      <c r="C79" s="15">
        <v>0</v>
      </c>
      <c r="D79" s="15">
        <f t="shared" ref="D79:D82" si="34">$B$47*B79</f>
        <v>3.375</v>
      </c>
      <c r="E79" s="11">
        <f t="shared" ref="E79:E80" si="35">$E$49</f>
        <v>0</v>
      </c>
      <c r="F79" s="15">
        <f t="shared" si="0"/>
        <v>3.375</v>
      </c>
      <c r="G79" s="15">
        <f t="shared" si="3"/>
        <v>90</v>
      </c>
      <c r="H79" s="15">
        <f t="shared" ca="1" si="4"/>
        <v>0</v>
      </c>
      <c r="I79" s="15">
        <f t="shared" si="5"/>
        <v>-3.375</v>
      </c>
      <c r="J79" s="15">
        <v>0</v>
      </c>
      <c r="K79" s="15">
        <f t="shared" si="1"/>
        <v>-3.375</v>
      </c>
    </row>
    <row r="80" spans="1:11">
      <c r="A80" s="10">
        <v>31</v>
      </c>
      <c r="B80" s="53">
        <f t="shared" si="2"/>
        <v>90</v>
      </c>
      <c r="C80" s="53">
        <v>0</v>
      </c>
      <c r="D80" s="53">
        <f t="shared" si="34"/>
        <v>3.375</v>
      </c>
      <c r="E80" s="11">
        <f t="shared" si="35"/>
        <v>0</v>
      </c>
      <c r="F80" s="53">
        <f t="shared" si="0"/>
        <v>3.375</v>
      </c>
      <c r="G80" s="53">
        <f t="shared" si="3"/>
        <v>90</v>
      </c>
      <c r="H80" s="53">
        <f t="shared" ca="1" si="4"/>
        <v>0</v>
      </c>
      <c r="I80" s="15">
        <f t="shared" si="5"/>
        <v>-3.375</v>
      </c>
      <c r="J80" s="15">
        <v>0</v>
      </c>
      <c r="K80" s="53">
        <f t="shared" si="1"/>
        <v>-3.375</v>
      </c>
    </row>
    <row r="81" spans="1:11">
      <c r="A81" s="50">
        <v>32</v>
      </c>
      <c r="B81" s="52">
        <f t="shared" si="2"/>
        <v>90</v>
      </c>
      <c r="C81" s="52">
        <v>0</v>
      </c>
      <c r="D81" s="52">
        <f t="shared" si="34"/>
        <v>3.375</v>
      </c>
      <c r="E81" s="51">
        <f t="shared" ref="E81" si="36">$D$46</f>
        <v>30</v>
      </c>
      <c r="F81" s="52">
        <f t="shared" si="0"/>
        <v>33.375</v>
      </c>
      <c r="G81" s="52">
        <f t="shared" si="3"/>
        <v>60</v>
      </c>
      <c r="H81" s="52">
        <f t="shared" ca="1" si="4"/>
        <v>0</v>
      </c>
      <c r="I81" s="51">
        <f t="shared" si="5"/>
        <v>-33.375</v>
      </c>
      <c r="J81" s="52">
        <f t="shared" ref="J81" si="37">SUM(D77:D80)*$B$38</f>
        <v>4.8262499999999999</v>
      </c>
      <c r="K81" s="52">
        <f t="shared" si="1"/>
        <v>-28.548749999999998</v>
      </c>
    </row>
    <row r="82" spans="1:11">
      <c r="A82" s="10">
        <v>33</v>
      </c>
      <c r="B82" s="15">
        <f t="shared" si="2"/>
        <v>60</v>
      </c>
      <c r="C82" s="15">
        <v>0</v>
      </c>
      <c r="D82" s="15">
        <f t="shared" si="34"/>
        <v>2.25</v>
      </c>
      <c r="E82" s="11">
        <f t="shared" ref="E82" si="38">E83</f>
        <v>0</v>
      </c>
      <c r="F82" s="15">
        <f t="shared" si="0"/>
        <v>2.25</v>
      </c>
      <c r="G82" s="15">
        <f t="shared" si="3"/>
        <v>60</v>
      </c>
      <c r="H82" s="15">
        <f t="shared" ca="1" si="4"/>
        <v>0</v>
      </c>
      <c r="I82" s="15">
        <f t="shared" si="5"/>
        <v>-2.25</v>
      </c>
      <c r="J82" s="15">
        <v>0</v>
      </c>
      <c r="K82" s="15">
        <f t="shared" si="1"/>
        <v>-2.25</v>
      </c>
    </row>
    <row r="83" spans="1:11">
      <c r="A83" s="10">
        <v>34</v>
      </c>
      <c r="B83" s="15">
        <f t="shared" si="2"/>
        <v>60</v>
      </c>
      <c r="C83" s="15">
        <v>0</v>
      </c>
      <c r="D83" s="15">
        <f t="shared" ref="D83" si="39">B$47*B83</f>
        <v>2.25</v>
      </c>
      <c r="E83" s="11">
        <f t="shared" ref="E83:E84" si="40">$E$49</f>
        <v>0</v>
      </c>
      <c r="F83" s="15">
        <f t="shared" si="0"/>
        <v>2.25</v>
      </c>
      <c r="G83" s="15">
        <f t="shared" si="3"/>
        <v>60</v>
      </c>
      <c r="H83" s="15">
        <f t="shared" ca="1" si="4"/>
        <v>0</v>
      </c>
      <c r="I83" s="15">
        <f t="shared" si="5"/>
        <v>-2.25</v>
      </c>
      <c r="J83" s="15">
        <v>0</v>
      </c>
      <c r="K83" s="15">
        <f t="shared" si="1"/>
        <v>-2.25</v>
      </c>
    </row>
    <row r="84" spans="1:11">
      <c r="A84" s="10">
        <v>35</v>
      </c>
      <c r="B84" s="15">
        <f t="shared" si="2"/>
        <v>60</v>
      </c>
      <c r="C84" s="15">
        <v>0</v>
      </c>
      <c r="D84" s="15">
        <f t="shared" ref="D84:D87" si="41">$B$47*B84</f>
        <v>2.25</v>
      </c>
      <c r="E84" s="11">
        <f t="shared" si="40"/>
        <v>0</v>
      </c>
      <c r="F84" s="15">
        <f t="shared" si="0"/>
        <v>2.25</v>
      </c>
      <c r="G84" s="15">
        <f t="shared" si="3"/>
        <v>60</v>
      </c>
      <c r="H84" s="15">
        <f t="shared" ca="1" si="4"/>
        <v>0</v>
      </c>
      <c r="I84" s="15">
        <f t="shared" si="5"/>
        <v>-2.25</v>
      </c>
      <c r="J84" s="15">
        <v>0</v>
      </c>
      <c r="K84" s="15">
        <f t="shared" si="1"/>
        <v>-2.25</v>
      </c>
    </row>
    <row r="85" spans="1:11">
      <c r="A85" s="50">
        <v>36</v>
      </c>
      <c r="B85" s="52">
        <f t="shared" si="2"/>
        <v>60</v>
      </c>
      <c r="C85" s="52">
        <v>0</v>
      </c>
      <c r="D85" s="52">
        <f t="shared" si="41"/>
        <v>2.25</v>
      </c>
      <c r="E85" s="51">
        <f t="shared" ref="E85" si="42">$D$46</f>
        <v>30</v>
      </c>
      <c r="F85" s="52">
        <f t="shared" si="0"/>
        <v>32.25</v>
      </c>
      <c r="G85" s="52">
        <f t="shared" si="3"/>
        <v>30</v>
      </c>
      <c r="H85" s="52">
        <f t="shared" ca="1" si="4"/>
        <v>0</v>
      </c>
      <c r="I85" s="51">
        <f t="shared" si="5"/>
        <v>-32.25</v>
      </c>
      <c r="J85" s="52">
        <f t="shared" ref="J85" si="43">SUM(D81:D84)*$B$38</f>
        <v>3.3412500000000001</v>
      </c>
      <c r="K85" s="52">
        <f t="shared" si="1"/>
        <v>-28.908750000000001</v>
      </c>
    </row>
    <row r="86" spans="1:11">
      <c r="A86" s="10">
        <v>37</v>
      </c>
      <c r="B86" s="53">
        <f t="shared" si="2"/>
        <v>30</v>
      </c>
      <c r="C86" s="53">
        <v>0</v>
      </c>
      <c r="D86" s="53">
        <f t="shared" si="41"/>
        <v>1.125</v>
      </c>
      <c r="E86" s="11">
        <f t="shared" ref="E86" si="44">E87</f>
        <v>0</v>
      </c>
      <c r="F86" s="53">
        <f t="shared" si="0"/>
        <v>1.125</v>
      </c>
      <c r="G86" s="53">
        <f t="shared" si="3"/>
        <v>30</v>
      </c>
      <c r="H86" s="53">
        <f t="shared" ca="1" si="4"/>
        <v>0</v>
      </c>
      <c r="I86" s="15">
        <f t="shared" si="5"/>
        <v>-1.125</v>
      </c>
      <c r="J86" s="15">
        <v>0</v>
      </c>
      <c r="K86" s="53">
        <f t="shared" si="1"/>
        <v>-1.125</v>
      </c>
    </row>
    <row r="87" spans="1:11">
      <c r="A87" s="10">
        <v>38</v>
      </c>
      <c r="B87" s="15">
        <f t="shared" si="2"/>
        <v>30</v>
      </c>
      <c r="C87" s="15">
        <v>0</v>
      </c>
      <c r="D87" s="15">
        <f t="shared" si="41"/>
        <v>1.125</v>
      </c>
      <c r="E87" s="11">
        <f t="shared" ref="E87:E88" si="45">$E$49</f>
        <v>0</v>
      </c>
      <c r="F87" s="15">
        <f t="shared" si="0"/>
        <v>1.125</v>
      </c>
      <c r="G87" s="15">
        <f t="shared" si="3"/>
        <v>30</v>
      </c>
      <c r="H87" s="15">
        <f t="shared" ca="1" si="4"/>
        <v>0</v>
      </c>
      <c r="I87" s="15">
        <f t="shared" si="5"/>
        <v>-1.125</v>
      </c>
      <c r="J87" s="15">
        <v>0</v>
      </c>
      <c r="K87" s="15">
        <f t="shared" si="1"/>
        <v>-1.125</v>
      </c>
    </row>
    <row r="88" spans="1:11">
      <c r="A88" s="10">
        <v>39</v>
      </c>
      <c r="B88" s="15">
        <f t="shared" si="2"/>
        <v>30</v>
      </c>
      <c r="C88" s="15">
        <v>0</v>
      </c>
      <c r="D88" s="15">
        <f t="shared" ref="D88" si="46">B$47*B88</f>
        <v>1.125</v>
      </c>
      <c r="E88" s="11">
        <f t="shared" si="45"/>
        <v>0</v>
      </c>
      <c r="F88" s="15">
        <f t="shared" si="0"/>
        <v>1.125</v>
      </c>
      <c r="G88" s="15">
        <f t="shared" si="3"/>
        <v>30</v>
      </c>
      <c r="H88" s="15">
        <f t="shared" ca="1" si="4"/>
        <v>0</v>
      </c>
      <c r="I88" s="15">
        <f t="shared" si="5"/>
        <v>-1.125</v>
      </c>
      <c r="J88" s="15">
        <v>0</v>
      </c>
      <c r="K88" s="15">
        <f t="shared" si="1"/>
        <v>-1.125</v>
      </c>
    </row>
    <row r="89" spans="1:11">
      <c r="A89" s="50">
        <v>40</v>
      </c>
      <c r="B89" s="51">
        <f t="shared" si="2"/>
        <v>30</v>
      </c>
      <c r="C89" s="51">
        <v>0</v>
      </c>
      <c r="D89" s="51">
        <v>0</v>
      </c>
      <c r="E89" s="51">
        <f t="shared" ref="E89" si="47">$D$46</f>
        <v>30</v>
      </c>
      <c r="F89" s="51">
        <f t="shared" si="0"/>
        <v>30</v>
      </c>
      <c r="G89" s="51">
        <f t="shared" si="3"/>
        <v>0</v>
      </c>
      <c r="H89" s="51">
        <f t="shared" ca="1" si="4"/>
        <v>0</v>
      </c>
      <c r="I89" s="51">
        <f t="shared" si="5"/>
        <v>-30</v>
      </c>
      <c r="J89" s="52">
        <f t="shared" ref="J89" si="48">SUM(D85:D88)*$B$38</f>
        <v>1.8562500000000002</v>
      </c>
      <c r="K89" s="51">
        <f t="shared" si="1"/>
        <v>-28.143750000000001</v>
      </c>
    </row>
    <row r="90" spans="1:11">
      <c r="J90" s="46" t="s">
        <v>92</v>
      </c>
      <c r="K90" s="16">
        <f>IRR(I49:I89)</f>
        <v>4.0259217920880275E-2</v>
      </c>
    </row>
    <row r="91" spans="1:11">
      <c r="J91" s="46" t="s">
        <v>93</v>
      </c>
      <c r="K91" s="16">
        <f>IRR(K49:K89)</f>
        <v>2.7391839821753639E-2</v>
      </c>
    </row>
    <row r="94" spans="1:11">
      <c r="A94" s="42" t="s">
        <v>94</v>
      </c>
      <c r="B94" s="43"/>
      <c r="C94" s="42" t="s">
        <v>86</v>
      </c>
      <c r="D94" s="11">
        <f>D31/D33</f>
        <v>95</v>
      </c>
      <c r="E94" s="18">
        <v>0</v>
      </c>
    </row>
    <row r="95" spans="1:11">
      <c r="A95" s="42" t="s">
        <v>87</v>
      </c>
      <c r="B95" s="47">
        <f>D32/2</f>
        <v>0.09</v>
      </c>
      <c r="C95" s="42" t="s">
        <v>88</v>
      </c>
      <c r="D95" s="11">
        <f>D94/2</f>
        <v>47.5</v>
      </c>
    </row>
    <row r="96" spans="1:11">
      <c r="A96" s="42" t="s">
        <v>29</v>
      </c>
      <c r="B96" s="42" t="s">
        <v>30</v>
      </c>
      <c r="C96" s="42" t="s">
        <v>38</v>
      </c>
      <c r="D96" s="42" t="s">
        <v>32</v>
      </c>
      <c r="E96" s="42" t="s">
        <v>33</v>
      </c>
      <c r="F96" s="42" t="s">
        <v>28</v>
      </c>
      <c r="G96" s="42" t="s">
        <v>34</v>
      </c>
      <c r="H96" s="42" t="s">
        <v>44</v>
      </c>
      <c r="I96" s="42" t="s">
        <v>89</v>
      </c>
      <c r="J96" s="42" t="s">
        <v>90</v>
      </c>
      <c r="K96" s="42" t="s">
        <v>91</v>
      </c>
    </row>
    <row r="97" spans="1:11">
      <c r="A97" s="10">
        <v>0</v>
      </c>
      <c r="B97" s="11">
        <v>0</v>
      </c>
      <c r="C97" s="11">
        <f>D31</f>
        <v>760</v>
      </c>
      <c r="D97" s="11">
        <v>0</v>
      </c>
      <c r="E97" s="11">
        <v>0</v>
      </c>
      <c r="F97" s="11">
        <v>0</v>
      </c>
      <c r="G97" s="11">
        <f>C97</f>
        <v>760</v>
      </c>
      <c r="H97" s="11">
        <f>D35*C97</f>
        <v>15.200000000000001</v>
      </c>
      <c r="I97" s="11">
        <f>G97-H97</f>
        <v>744.8</v>
      </c>
      <c r="J97" s="11">
        <v>0</v>
      </c>
      <c r="K97" s="11">
        <f>I97+J97</f>
        <v>744.8</v>
      </c>
    </row>
    <row r="98" spans="1:11">
      <c r="A98" s="10">
        <v>1</v>
      </c>
      <c r="B98" s="11">
        <f>G97</f>
        <v>760</v>
      </c>
      <c r="C98" s="11">
        <f>$E$94</f>
        <v>0</v>
      </c>
      <c r="D98" s="11">
        <f>$B$95*B98</f>
        <v>68.399999999999991</v>
      </c>
      <c r="E98" s="11">
        <f>E99</f>
        <v>47.5</v>
      </c>
      <c r="F98" s="11">
        <f>D98+E98</f>
        <v>115.89999999999999</v>
      </c>
      <c r="G98" s="11">
        <f>B98-E98</f>
        <v>712.5</v>
      </c>
      <c r="H98" s="11">
        <f>$E$94</f>
        <v>0</v>
      </c>
      <c r="I98" s="11">
        <f>C98-F98</f>
        <v>-115.89999999999999</v>
      </c>
      <c r="J98" s="11">
        <v>0</v>
      </c>
      <c r="K98" s="11">
        <f>I98+J98</f>
        <v>-115.89999999999999</v>
      </c>
    </row>
    <row r="99" spans="1:11">
      <c r="A99" s="50">
        <v>2</v>
      </c>
      <c r="B99" s="51">
        <f>G98</f>
        <v>712.5</v>
      </c>
      <c r="C99" s="51">
        <f>$E$94</f>
        <v>0</v>
      </c>
      <c r="D99" s="51">
        <f>$B$95*B99</f>
        <v>64.125</v>
      </c>
      <c r="E99" s="51">
        <f>$D$95</f>
        <v>47.5</v>
      </c>
      <c r="F99" s="51">
        <f>D99+E99</f>
        <v>111.625</v>
      </c>
      <c r="G99" s="51">
        <f>B99-E99</f>
        <v>665</v>
      </c>
      <c r="H99" s="51">
        <f>$E$94</f>
        <v>0</v>
      </c>
      <c r="I99" s="51">
        <f>C99-F99</f>
        <v>-111.625</v>
      </c>
      <c r="J99" s="51">
        <f>(H97+D98+D99)*0.33</f>
        <v>48.749250000000004</v>
      </c>
      <c r="K99" s="51">
        <f>I99+J99</f>
        <v>-62.875749999999996</v>
      </c>
    </row>
    <row r="100" spans="1:11">
      <c r="A100" s="10">
        <v>3</v>
      </c>
      <c r="B100" s="11">
        <f>G99</f>
        <v>665</v>
      </c>
      <c r="C100" s="11">
        <f>$E$94</f>
        <v>0</v>
      </c>
      <c r="D100" s="11">
        <f>$B$95*B100</f>
        <v>59.849999999999994</v>
      </c>
      <c r="E100" s="11">
        <f>E99</f>
        <v>47.5</v>
      </c>
      <c r="F100" s="11">
        <f>D100+E100</f>
        <v>107.35</v>
      </c>
      <c r="G100" s="11">
        <f>B100-E100</f>
        <v>617.5</v>
      </c>
      <c r="H100" s="11">
        <f>$E$94</f>
        <v>0</v>
      </c>
      <c r="I100" s="11">
        <f>C100-F100</f>
        <v>-107.35</v>
      </c>
      <c r="J100" s="11">
        <v>0</v>
      </c>
      <c r="K100" s="11">
        <f>I100+J100</f>
        <v>-107.35</v>
      </c>
    </row>
    <row r="101" spans="1:11">
      <c r="A101" s="50">
        <v>4</v>
      </c>
      <c r="B101" s="51">
        <f>G100</f>
        <v>617.5</v>
      </c>
      <c r="C101" s="51">
        <f>$E$94</f>
        <v>0</v>
      </c>
      <c r="D101" s="51">
        <f>$B$95*B101</f>
        <v>55.574999999999996</v>
      </c>
      <c r="E101" s="51">
        <f>$D$95</f>
        <v>47.5</v>
      </c>
      <c r="F101" s="51">
        <f>D101+E101</f>
        <v>103.07499999999999</v>
      </c>
      <c r="G101" s="51">
        <f>B101-E101</f>
        <v>570</v>
      </c>
      <c r="H101" s="51">
        <f>$E$94</f>
        <v>0</v>
      </c>
      <c r="I101" s="51">
        <f>C101-F101</f>
        <v>-103.07499999999999</v>
      </c>
      <c r="J101" s="51">
        <f>SUM(D100:D101)*0.33</f>
        <v>38.090249999999997</v>
      </c>
      <c r="K101" s="51">
        <f>I101+J101</f>
        <v>-64.984749999999991</v>
      </c>
    </row>
    <row r="102" spans="1:11">
      <c r="A102" s="14">
        <v>5</v>
      </c>
      <c r="B102" s="11">
        <f t="shared" ref="B102:B113" si="49">G101</f>
        <v>570</v>
      </c>
      <c r="C102" s="11">
        <f t="shared" ref="C102:C113" si="50">$E$94</f>
        <v>0</v>
      </c>
      <c r="D102" s="11">
        <f t="shared" ref="D102:D113" si="51">$B$95*B102</f>
        <v>51.3</v>
      </c>
      <c r="E102" s="11">
        <f>E99</f>
        <v>47.5</v>
      </c>
      <c r="F102" s="11">
        <f t="shared" ref="F102:F113" si="52">D102+E102</f>
        <v>98.8</v>
      </c>
      <c r="G102" s="11">
        <f t="shared" ref="G102:G113" si="53">B102-E102</f>
        <v>522.5</v>
      </c>
      <c r="H102" s="11">
        <f t="shared" ref="H102:H113" si="54">$E$94</f>
        <v>0</v>
      </c>
      <c r="I102" s="11">
        <f t="shared" ref="I102:I113" si="55">C102-F102</f>
        <v>-98.8</v>
      </c>
      <c r="J102" s="11">
        <v>0</v>
      </c>
      <c r="K102" s="11">
        <f t="shared" ref="K102:K113" si="56">I102+J102</f>
        <v>-98.8</v>
      </c>
    </row>
    <row r="103" spans="1:11">
      <c r="A103" s="50">
        <v>6</v>
      </c>
      <c r="B103" s="51">
        <f t="shared" si="49"/>
        <v>522.5</v>
      </c>
      <c r="C103" s="51">
        <f t="shared" si="50"/>
        <v>0</v>
      </c>
      <c r="D103" s="51">
        <f t="shared" si="51"/>
        <v>47.024999999999999</v>
      </c>
      <c r="E103" s="51">
        <f t="shared" ref="E103:E113" si="57">$D$95</f>
        <v>47.5</v>
      </c>
      <c r="F103" s="51">
        <f t="shared" si="52"/>
        <v>94.525000000000006</v>
      </c>
      <c r="G103" s="51">
        <f t="shared" si="53"/>
        <v>475</v>
      </c>
      <c r="H103" s="51">
        <f t="shared" si="54"/>
        <v>0</v>
      </c>
      <c r="I103" s="51">
        <f t="shared" si="55"/>
        <v>-94.525000000000006</v>
      </c>
      <c r="J103" s="51">
        <f>(D102+D103)*0.33</f>
        <v>32.447249999999997</v>
      </c>
      <c r="K103" s="51">
        <f t="shared" si="56"/>
        <v>-62.077750000000009</v>
      </c>
    </row>
    <row r="104" spans="1:11">
      <c r="A104" s="14">
        <v>7</v>
      </c>
      <c r="B104" s="11">
        <f t="shared" si="49"/>
        <v>475</v>
      </c>
      <c r="C104" s="11">
        <f t="shared" si="50"/>
        <v>0</v>
      </c>
      <c r="D104" s="11">
        <f t="shared" si="51"/>
        <v>42.75</v>
      </c>
      <c r="E104" s="11">
        <f>E99</f>
        <v>47.5</v>
      </c>
      <c r="F104" s="11">
        <f t="shared" si="52"/>
        <v>90.25</v>
      </c>
      <c r="G104" s="11">
        <f t="shared" si="53"/>
        <v>427.5</v>
      </c>
      <c r="H104" s="11">
        <f t="shared" si="54"/>
        <v>0</v>
      </c>
      <c r="I104" s="11">
        <f t="shared" si="55"/>
        <v>-90.25</v>
      </c>
      <c r="J104" s="11">
        <v>0</v>
      </c>
      <c r="K104" s="11">
        <f t="shared" si="56"/>
        <v>-90.25</v>
      </c>
    </row>
    <row r="105" spans="1:11">
      <c r="A105" s="50">
        <v>8</v>
      </c>
      <c r="B105" s="51">
        <f t="shared" si="49"/>
        <v>427.5</v>
      </c>
      <c r="C105" s="51">
        <f t="shared" si="50"/>
        <v>0</v>
      </c>
      <c r="D105" s="51">
        <f t="shared" si="51"/>
        <v>38.475000000000001</v>
      </c>
      <c r="E105" s="51">
        <f>$D$95</f>
        <v>47.5</v>
      </c>
      <c r="F105" s="51">
        <f t="shared" si="52"/>
        <v>85.974999999999994</v>
      </c>
      <c r="G105" s="51">
        <f t="shared" si="53"/>
        <v>380</v>
      </c>
      <c r="H105" s="51">
        <f t="shared" si="54"/>
        <v>0</v>
      </c>
      <c r="I105" s="51">
        <f t="shared" si="55"/>
        <v>-85.974999999999994</v>
      </c>
      <c r="J105" s="51">
        <f>SUM(D104:D105)*0.33</f>
        <v>26.80425</v>
      </c>
      <c r="K105" s="51">
        <f t="shared" si="56"/>
        <v>-59.170749999999998</v>
      </c>
    </row>
    <row r="106" spans="1:11">
      <c r="A106" s="10">
        <v>9</v>
      </c>
      <c r="B106" s="11">
        <f t="shared" si="49"/>
        <v>380</v>
      </c>
      <c r="C106" s="11">
        <f t="shared" si="50"/>
        <v>0</v>
      </c>
      <c r="D106" s="11">
        <f t="shared" si="51"/>
        <v>34.199999999999996</v>
      </c>
      <c r="E106" s="11">
        <f>E99</f>
        <v>47.5</v>
      </c>
      <c r="F106" s="11">
        <f t="shared" si="52"/>
        <v>81.699999999999989</v>
      </c>
      <c r="G106" s="11">
        <f t="shared" si="53"/>
        <v>332.5</v>
      </c>
      <c r="H106" s="11">
        <f t="shared" si="54"/>
        <v>0</v>
      </c>
      <c r="I106" s="11">
        <f t="shared" si="55"/>
        <v>-81.699999999999989</v>
      </c>
      <c r="J106" s="11">
        <v>0</v>
      </c>
      <c r="K106" s="11">
        <f t="shared" si="56"/>
        <v>-81.699999999999989</v>
      </c>
    </row>
    <row r="107" spans="1:11">
      <c r="A107" s="50">
        <v>10</v>
      </c>
      <c r="B107" s="51">
        <f t="shared" si="49"/>
        <v>332.5</v>
      </c>
      <c r="C107" s="51">
        <f t="shared" si="50"/>
        <v>0</v>
      </c>
      <c r="D107" s="51">
        <f t="shared" si="51"/>
        <v>29.924999999999997</v>
      </c>
      <c r="E107" s="51">
        <f t="shared" si="57"/>
        <v>47.5</v>
      </c>
      <c r="F107" s="51">
        <f t="shared" si="52"/>
        <v>77.424999999999997</v>
      </c>
      <c r="G107" s="51">
        <f t="shared" si="53"/>
        <v>285</v>
      </c>
      <c r="H107" s="51">
        <f t="shared" si="54"/>
        <v>0</v>
      </c>
      <c r="I107" s="51">
        <f t="shared" si="55"/>
        <v>-77.424999999999997</v>
      </c>
      <c r="J107" s="51">
        <f>(D106+D107)*0.33</f>
        <v>21.161250000000003</v>
      </c>
      <c r="K107" s="51">
        <f t="shared" si="56"/>
        <v>-56.263749999999995</v>
      </c>
    </row>
    <row r="108" spans="1:11">
      <c r="A108" s="10">
        <v>11</v>
      </c>
      <c r="B108" s="11">
        <f t="shared" si="49"/>
        <v>285</v>
      </c>
      <c r="C108" s="11">
        <f t="shared" si="50"/>
        <v>0</v>
      </c>
      <c r="D108" s="11">
        <f t="shared" si="51"/>
        <v>25.65</v>
      </c>
      <c r="E108" s="11">
        <f>E99</f>
        <v>47.5</v>
      </c>
      <c r="F108" s="11">
        <f t="shared" si="52"/>
        <v>73.150000000000006</v>
      </c>
      <c r="G108" s="11">
        <f t="shared" si="53"/>
        <v>237.5</v>
      </c>
      <c r="H108" s="11">
        <f t="shared" si="54"/>
        <v>0</v>
      </c>
      <c r="I108" s="11">
        <f t="shared" si="55"/>
        <v>-73.150000000000006</v>
      </c>
      <c r="J108" s="11">
        <v>0</v>
      </c>
      <c r="K108" s="11">
        <f t="shared" si="56"/>
        <v>-73.150000000000006</v>
      </c>
    </row>
    <row r="109" spans="1:11">
      <c r="A109" s="50">
        <v>12</v>
      </c>
      <c r="B109" s="51">
        <f t="shared" si="49"/>
        <v>237.5</v>
      </c>
      <c r="C109" s="51">
        <f t="shared" si="50"/>
        <v>0</v>
      </c>
      <c r="D109" s="51">
        <f t="shared" si="51"/>
        <v>21.375</v>
      </c>
      <c r="E109" s="51">
        <f t="shared" si="57"/>
        <v>47.5</v>
      </c>
      <c r="F109" s="51">
        <f t="shared" si="52"/>
        <v>68.875</v>
      </c>
      <c r="G109" s="51">
        <f t="shared" si="53"/>
        <v>190</v>
      </c>
      <c r="H109" s="51">
        <f t="shared" si="54"/>
        <v>0</v>
      </c>
      <c r="I109" s="51">
        <f t="shared" si="55"/>
        <v>-68.875</v>
      </c>
      <c r="J109" s="51">
        <f>SUM(D108:D109)*0.33</f>
        <v>15.51825</v>
      </c>
      <c r="K109" s="51">
        <f t="shared" si="56"/>
        <v>-53.356749999999998</v>
      </c>
    </row>
    <row r="110" spans="1:11">
      <c r="A110" s="10">
        <v>13</v>
      </c>
      <c r="B110" s="11">
        <f t="shared" si="49"/>
        <v>190</v>
      </c>
      <c r="C110" s="11">
        <f t="shared" si="50"/>
        <v>0</v>
      </c>
      <c r="D110" s="11">
        <f t="shared" si="51"/>
        <v>17.099999999999998</v>
      </c>
      <c r="E110" s="11">
        <f>E99</f>
        <v>47.5</v>
      </c>
      <c r="F110" s="11">
        <f t="shared" si="52"/>
        <v>64.599999999999994</v>
      </c>
      <c r="G110" s="11">
        <f t="shared" si="53"/>
        <v>142.5</v>
      </c>
      <c r="H110" s="11">
        <f t="shared" si="54"/>
        <v>0</v>
      </c>
      <c r="I110" s="11">
        <f t="shared" si="55"/>
        <v>-64.599999999999994</v>
      </c>
      <c r="J110" s="11">
        <v>0</v>
      </c>
      <c r="K110" s="11">
        <f t="shared" si="56"/>
        <v>-64.599999999999994</v>
      </c>
    </row>
    <row r="111" spans="1:11">
      <c r="A111" s="50">
        <v>14</v>
      </c>
      <c r="B111" s="51">
        <f t="shared" si="49"/>
        <v>142.5</v>
      </c>
      <c r="C111" s="51">
        <f t="shared" si="50"/>
        <v>0</v>
      </c>
      <c r="D111" s="51">
        <f t="shared" si="51"/>
        <v>12.824999999999999</v>
      </c>
      <c r="E111" s="51">
        <f t="shared" si="57"/>
        <v>47.5</v>
      </c>
      <c r="F111" s="51">
        <f t="shared" si="52"/>
        <v>60.325000000000003</v>
      </c>
      <c r="G111" s="51">
        <f t="shared" si="53"/>
        <v>95</v>
      </c>
      <c r="H111" s="51">
        <f t="shared" si="54"/>
        <v>0</v>
      </c>
      <c r="I111" s="51">
        <f t="shared" si="55"/>
        <v>-60.325000000000003</v>
      </c>
      <c r="J111" s="51">
        <f>(D110+D111)*0.3</f>
        <v>8.9774999999999991</v>
      </c>
      <c r="K111" s="51">
        <f t="shared" si="56"/>
        <v>-51.347500000000004</v>
      </c>
    </row>
    <row r="112" spans="1:11">
      <c r="A112" s="10">
        <v>15</v>
      </c>
      <c r="B112" s="11">
        <f t="shared" si="49"/>
        <v>95</v>
      </c>
      <c r="C112" s="11">
        <f t="shared" si="50"/>
        <v>0</v>
      </c>
      <c r="D112" s="11">
        <f t="shared" si="51"/>
        <v>8.5499999999999989</v>
      </c>
      <c r="E112" s="11">
        <f>E99</f>
        <v>47.5</v>
      </c>
      <c r="F112" s="11">
        <f t="shared" si="52"/>
        <v>56.05</v>
      </c>
      <c r="G112" s="11">
        <f t="shared" si="53"/>
        <v>47.5</v>
      </c>
      <c r="H112" s="11">
        <f t="shared" si="54"/>
        <v>0</v>
      </c>
      <c r="I112" s="11">
        <f t="shared" si="55"/>
        <v>-56.05</v>
      </c>
      <c r="J112" s="11">
        <v>0</v>
      </c>
      <c r="K112" s="11">
        <f t="shared" si="56"/>
        <v>-56.05</v>
      </c>
    </row>
    <row r="113" spans="1:11">
      <c r="A113" s="50">
        <v>16</v>
      </c>
      <c r="B113" s="51">
        <f t="shared" si="49"/>
        <v>47.5</v>
      </c>
      <c r="C113" s="51">
        <f t="shared" si="50"/>
        <v>0</v>
      </c>
      <c r="D113" s="51">
        <f t="shared" si="51"/>
        <v>4.2749999999999995</v>
      </c>
      <c r="E113" s="51">
        <f t="shared" si="57"/>
        <v>47.5</v>
      </c>
      <c r="F113" s="51">
        <f t="shared" si="52"/>
        <v>51.774999999999999</v>
      </c>
      <c r="G113" s="51">
        <f t="shared" si="53"/>
        <v>0</v>
      </c>
      <c r="H113" s="51">
        <f t="shared" si="54"/>
        <v>0</v>
      </c>
      <c r="I113" s="51">
        <f t="shared" si="55"/>
        <v>-51.774999999999999</v>
      </c>
      <c r="J113" s="51">
        <f>SUM(D112:D113)*0.33</f>
        <v>4.2322499999999996</v>
      </c>
      <c r="K113" s="51">
        <f t="shared" si="56"/>
        <v>-47.542749999999998</v>
      </c>
    </row>
    <row r="114" spans="1:11">
      <c r="J114" s="46" t="s">
        <v>95</v>
      </c>
      <c r="K114" s="16">
        <f>IRR(I97:I113)</f>
        <v>9.3809899017906151E-2</v>
      </c>
    </row>
    <row r="115" spans="1:11">
      <c r="J115" s="46" t="s">
        <v>96</v>
      </c>
      <c r="K115" s="16">
        <f>IRR(K97:K113)</f>
        <v>6.3693766540271035E-2</v>
      </c>
    </row>
    <row r="119" spans="1:11">
      <c r="A119" s="42" t="s">
        <v>5</v>
      </c>
      <c r="B119" s="11">
        <f>ABS(B16)</f>
        <v>1800</v>
      </c>
    </row>
    <row r="120" spans="1:11">
      <c r="A120" s="42" t="s">
        <v>97</v>
      </c>
      <c r="B120" s="11">
        <f>ABS(B29*B119)</f>
        <v>540</v>
      </c>
    </row>
    <row r="121" spans="1:11">
      <c r="A121" s="42" t="s">
        <v>38</v>
      </c>
      <c r="B121" s="11">
        <f>B119-B120</f>
        <v>1260</v>
      </c>
    </row>
    <row r="123" spans="1:11">
      <c r="A123" s="42" t="s">
        <v>51</v>
      </c>
      <c r="B123" s="42" t="s">
        <v>84</v>
      </c>
      <c r="C123" s="42" t="s">
        <v>98</v>
      </c>
    </row>
    <row r="124" spans="1:11">
      <c r="A124" s="42" t="s">
        <v>99</v>
      </c>
      <c r="B124" s="13">
        <f>B44</f>
        <v>7.3699999999999988E-2</v>
      </c>
      <c r="C124" s="10">
        <v>1</v>
      </c>
    </row>
    <row r="125" spans="1:11">
      <c r="A125" s="42" t="s">
        <v>100</v>
      </c>
      <c r="B125" s="16">
        <f>((1+K91)^4)-1</f>
        <v>0.11415200939123649</v>
      </c>
      <c r="C125" s="10">
        <v>2</v>
      </c>
    </row>
    <row r="126" spans="1:11">
      <c r="A126" s="42" t="s">
        <v>101</v>
      </c>
      <c r="B126" s="16">
        <f>((1+K115)^2)-1</f>
        <v>0.13144442897662856</v>
      </c>
      <c r="C126" s="10">
        <v>3</v>
      </c>
    </row>
    <row r="129" spans="1:4">
      <c r="A129" s="42" t="s">
        <v>51</v>
      </c>
      <c r="B129" s="42" t="s">
        <v>101</v>
      </c>
      <c r="C129" s="42" t="s">
        <v>99</v>
      </c>
      <c r="D129" s="42" t="s">
        <v>100</v>
      </c>
    </row>
    <row r="130" spans="1:4">
      <c r="A130" s="42" t="s">
        <v>102</v>
      </c>
      <c r="B130" s="11">
        <f>B121</f>
        <v>1260</v>
      </c>
      <c r="C130" s="11">
        <f>B133</f>
        <v>500</v>
      </c>
      <c r="D130" s="11">
        <f>C133</f>
        <v>300</v>
      </c>
    </row>
    <row r="131" spans="1:4">
      <c r="A131" s="42" t="s">
        <v>13</v>
      </c>
      <c r="B131" s="11">
        <f>D31</f>
        <v>760</v>
      </c>
      <c r="C131" s="11">
        <f>D25</f>
        <v>200</v>
      </c>
      <c r="D131" s="11">
        <f>B31</f>
        <v>300</v>
      </c>
    </row>
    <row r="132" spans="1:4">
      <c r="A132" s="42" t="s">
        <v>103</v>
      </c>
      <c r="B132" s="11">
        <f>B131</f>
        <v>760</v>
      </c>
      <c r="C132" s="11">
        <f>C131</f>
        <v>200</v>
      </c>
      <c r="D132" s="11">
        <f>D131</f>
        <v>300</v>
      </c>
    </row>
    <row r="133" spans="1:4">
      <c r="A133" s="42" t="s">
        <v>56</v>
      </c>
      <c r="B133" s="11">
        <f>B130-B132</f>
        <v>500</v>
      </c>
      <c r="C133" s="11">
        <f>C130-C132</f>
        <v>300</v>
      </c>
      <c r="D133" s="11">
        <f>D130-D132</f>
        <v>0</v>
      </c>
    </row>
    <row r="135" spans="1:4">
      <c r="A135" s="42" t="s">
        <v>8</v>
      </c>
      <c r="B135" s="42" t="s">
        <v>104</v>
      </c>
      <c r="C135" s="42" t="s">
        <v>25</v>
      </c>
    </row>
    <row r="136" spans="1:4">
      <c r="A136" s="42" t="s">
        <v>97</v>
      </c>
      <c r="B136" s="13">
        <f>B41</f>
        <v>0.13139703672884454</v>
      </c>
      <c r="C136" s="11">
        <f>B120</f>
        <v>540</v>
      </c>
    </row>
    <row r="137" spans="1:4">
      <c r="A137" s="42" t="s">
        <v>99</v>
      </c>
      <c r="B137" s="13">
        <f>B124</f>
        <v>7.3699999999999988E-2</v>
      </c>
      <c r="C137" s="11">
        <f>C132</f>
        <v>200</v>
      </c>
    </row>
    <row r="138" spans="1:4">
      <c r="A138" s="42" t="s">
        <v>100</v>
      </c>
      <c r="B138" s="16">
        <f>B125</f>
        <v>0.11415200939123649</v>
      </c>
      <c r="C138" s="11">
        <f>D132-H49</f>
        <v>297</v>
      </c>
    </row>
    <row r="139" spans="1:4">
      <c r="A139" s="42" t="s">
        <v>101</v>
      </c>
      <c r="B139" s="16">
        <f>B126</f>
        <v>0.13144442897662856</v>
      </c>
      <c r="C139" s="11">
        <f>B132 + 3</f>
        <v>763</v>
      </c>
    </row>
    <row r="140" spans="1:4">
      <c r="B140" s="54" t="s">
        <v>5</v>
      </c>
      <c r="C140" s="11">
        <f>SUM(C136:C139)</f>
        <v>1800</v>
      </c>
    </row>
    <row r="144" spans="1:4">
      <c r="A144" s="54" t="s">
        <v>58</v>
      </c>
      <c r="B144" s="13">
        <f>B136*(C136/C140)+B137*(C137/C140)+B138*(C138/C140)+B139*(C139/C140)</f>
        <v>0.12216091440663382</v>
      </c>
    </row>
    <row r="146" spans="1:25">
      <c r="A146" s="42" t="s">
        <v>105</v>
      </c>
      <c r="B146" s="42" t="s">
        <v>106</v>
      </c>
    </row>
    <row r="147" spans="1:25">
      <c r="A147" s="10" t="str">
        <f>A1</f>
        <v>Flujo de caja P1 (Inclusión San Andrés)</v>
      </c>
      <c r="B147" s="11">
        <f>-B4+NPV(B144,C4:Q4)</f>
        <v>4804.1364493238098</v>
      </c>
    </row>
    <row r="148" spans="1:25">
      <c r="A148" s="10" t="str">
        <f>A7</f>
        <v>Flujo de caja P2 (Tren de Colombia)</v>
      </c>
      <c r="B148" s="11">
        <f>NPV(B144,B10:Q10)</f>
        <v>309.38467158471951</v>
      </c>
    </row>
    <row r="149" spans="1:25">
      <c r="A149" s="10" t="str">
        <f>A13</f>
        <v>Flujo de caja P1 (Colombia internacional)</v>
      </c>
      <c r="B149" s="11">
        <f>NPV(B144,B16:Q16)</f>
        <v>1329.8237848583969</v>
      </c>
    </row>
    <row r="151" spans="1: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1: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: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: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: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</row>
    <row r="156" spans="1: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</row>
    <row r="157" spans="1: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1: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</row>
    <row r="159" spans="1: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1: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</row>
    <row r="161" spans="1: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</row>
    <row r="162" spans="1: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</row>
    <row r="163" spans="1: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</row>
    <row r="164" spans="1: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</row>
    <row r="165" spans="1: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: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</row>
    <row r="167" spans="1: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</row>
    <row r="168" spans="1: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  <row r="170" spans="1: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</row>
    <row r="171" spans="1: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</row>
    <row r="172" spans="1: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</row>
    <row r="173" spans="1: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</row>
    <row r="174" spans="1: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290" spans="2:7">
      <c r="B290"/>
      <c r="C290"/>
      <c r="D290"/>
      <c r="E290"/>
      <c r="F290"/>
      <c r="G290"/>
    </row>
    <row r="291" spans="2:7">
      <c r="B291"/>
      <c r="C291"/>
      <c r="D291"/>
      <c r="E291"/>
      <c r="F291"/>
      <c r="G291"/>
    </row>
    <row r="292" spans="2:7">
      <c r="B292"/>
      <c r="C292"/>
      <c r="D292"/>
      <c r="E292"/>
      <c r="F292"/>
      <c r="G292"/>
    </row>
    <row r="293" spans="2:7">
      <c r="B293"/>
      <c r="C293"/>
      <c r="D293"/>
      <c r="E293"/>
      <c r="F293"/>
      <c r="G293"/>
    </row>
    <row r="294" spans="2:7">
      <c r="B294"/>
      <c r="C294"/>
      <c r="D294"/>
      <c r="E294"/>
      <c r="F294"/>
      <c r="G294"/>
    </row>
    <row r="295" spans="2:7">
      <c r="B295"/>
      <c r="C295"/>
      <c r="D295"/>
      <c r="E295"/>
      <c r="F295"/>
      <c r="G295"/>
    </row>
    <row r="296" spans="2:7">
      <c r="B296"/>
      <c r="C296"/>
      <c r="D296"/>
      <c r="E296"/>
      <c r="F296"/>
      <c r="G296"/>
    </row>
    <row r="297" spans="2:7">
      <c r="B297"/>
      <c r="C297"/>
      <c r="D297"/>
      <c r="E297"/>
      <c r="F297"/>
      <c r="G297"/>
    </row>
    <row r="298" spans="2:7">
      <c r="B298"/>
      <c r="C298"/>
      <c r="D298"/>
      <c r="E298"/>
      <c r="F298"/>
      <c r="G298"/>
    </row>
    <row r="299" spans="2:7">
      <c r="B299"/>
      <c r="C299"/>
      <c r="D299"/>
      <c r="E299"/>
      <c r="F299"/>
      <c r="G299"/>
    </row>
    <row r="300" spans="2:7">
      <c r="B300"/>
      <c r="C300"/>
      <c r="D300"/>
      <c r="E300"/>
      <c r="F300"/>
      <c r="G300"/>
    </row>
    <row r="301" spans="2:7">
      <c r="B301"/>
      <c r="C301"/>
      <c r="D301"/>
      <c r="E301"/>
      <c r="F301"/>
      <c r="G301"/>
    </row>
    <row r="302" spans="2:7">
      <c r="B302"/>
      <c r="C302"/>
      <c r="D302"/>
      <c r="E302"/>
      <c r="F302"/>
      <c r="G302"/>
    </row>
    <row r="303" spans="2:7">
      <c r="B303"/>
      <c r="C303"/>
      <c r="D303"/>
      <c r="E303"/>
      <c r="F303"/>
      <c r="G303"/>
    </row>
    <row r="304" spans="2:7">
      <c r="B304"/>
      <c r="C304"/>
      <c r="D304"/>
      <c r="E304"/>
      <c r="F304"/>
      <c r="G304"/>
    </row>
    <row r="305" spans="2:7">
      <c r="B305"/>
      <c r="C305"/>
      <c r="D305"/>
      <c r="E305"/>
      <c r="F305"/>
      <c r="G305"/>
    </row>
    <row r="306" spans="2:7">
      <c r="B306"/>
      <c r="C306"/>
      <c r="D306"/>
      <c r="E306"/>
      <c r="F306"/>
      <c r="G306"/>
    </row>
    <row r="307" spans="2:7">
      <c r="B307"/>
      <c r="C307"/>
      <c r="D307"/>
      <c r="E307"/>
      <c r="F307"/>
      <c r="G307"/>
    </row>
    <row r="308" spans="2:7">
      <c r="B308"/>
      <c r="C308"/>
      <c r="D308"/>
      <c r="E308"/>
      <c r="F308"/>
      <c r="G308"/>
    </row>
    <row r="309" spans="2:7">
      <c r="B309"/>
      <c r="C309"/>
      <c r="D309"/>
      <c r="E309"/>
      <c r="F309"/>
      <c r="G309"/>
    </row>
    <row r="310" spans="2:7">
      <c r="B310"/>
      <c r="C310"/>
      <c r="D310"/>
      <c r="E310"/>
      <c r="F310"/>
      <c r="G3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I43" sqref="I43"/>
    </sheetView>
  </sheetViews>
  <sheetFormatPr baseColWidth="10" defaultRowHeight="15" x14ac:dyDescent="0"/>
  <cols>
    <col min="1" max="1" width="10.83203125" style="9"/>
    <col min="2" max="2" width="12.5" style="9" bestFit="1" customWidth="1"/>
    <col min="3" max="3" width="11.5" style="9" bestFit="1" customWidth="1"/>
    <col min="4" max="6" width="10.83203125" style="9"/>
    <col min="7" max="7" width="11.5" style="9" bestFit="1" customWidth="1"/>
    <col min="8" max="9" width="10.83203125" style="9"/>
    <col min="10" max="10" width="11.5" style="9" bestFit="1" customWidth="1"/>
    <col min="11" max="11" width="10.83203125" style="9"/>
    <col min="12" max="12" width="11.5" style="9" bestFit="1" customWidth="1"/>
    <col min="13" max="16384" width="10.83203125" style="9"/>
  </cols>
  <sheetData>
    <row r="1" spans="1:16">
      <c r="A1" s="8" t="s">
        <v>107</v>
      </c>
      <c r="B1" s="8" t="s">
        <v>24</v>
      </c>
    </row>
    <row r="2" spans="1:16">
      <c r="A2" s="8" t="s">
        <v>108</v>
      </c>
      <c r="B2" s="11">
        <v>150000</v>
      </c>
    </row>
    <row r="3" spans="1:16">
      <c r="A3" s="8" t="s">
        <v>109</v>
      </c>
      <c r="B3" s="11">
        <f>250</f>
        <v>250</v>
      </c>
      <c r="C3" s="18">
        <f>0</f>
        <v>0</v>
      </c>
    </row>
    <row r="4" spans="1:16">
      <c r="A4" s="8" t="s">
        <v>5</v>
      </c>
      <c r="B4" s="57">
        <f>SUM(B2,B3)</f>
        <v>150250</v>
      </c>
    </row>
    <row r="7" spans="1:16">
      <c r="P7" s="9">
        <v>2.1069</v>
      </c>
    </row>
    <row r="8" spans="1:16">
      <c r="A8" s="17" t="s">
        <v>29</v>
      </c>
      <c r="B8" s="17" t="s">
        <v>30</v>
      </c>
      <c r="C8" s="17" t="s">
        <v>38</v>
      </c>
      <c r="D8" s="17" t="s">
        <v>32</v>
      </c>
      <c r="E8" s="17" t="s">
        <v>33</v>
      </c>
      <c r="F8" s="17" t="s">
        <v>28</v>
      </c>
      <c r="G8" s="17" t="s">
        <v>34</v>
      </c>
      <c r="H8" s="17" t="s">
        <v>44</v>
      </c>
      <c r="I8" s="17" t="s">
        <v>110</v>
      </c>
      <c r="J8" s="17" t="s">
        <v>35</v>
      </c>
      <c r="K8" s="17" t="s">
        <v>90</v>
      </c>
      <c r="L8" s="17" t="s">
        <v>91</v>
      </c>
    </row>
    <row r="9" spans="1:16">
      <c r="A9" s="69">
        <v>0</v>
      </c>
      <c r="B9" s="70">
        <f>0</f>
        <v>0</v>
      </c>
      <c r="C9" s="70">
        <f>10000</f>
        <v>10000</v>
      </c>
      <c r="D9" s="70">
        <f>0</f>
        <v>0</v>
      </c>
      <c r="E9" s="70">
        <f>0</f>
        <v>0</v>
      </c>
      <c r="F9" s="70">
        <f>0</f>
        <v>0</v>
      </c>
      <c r="G9" s="70">
        <f>C9</f>
        <v>10000</v>
      </c>
      <c r="H9" s="70">
        <f>0.01*C9</f>
        <v>100</v>
      </c>
      <c r="I9" s="70">
        <f>0.015*C9</f>
        <v>150</v>
      </c>
      <c r="J9" s="70">
        <f>C9-F9-H9-I9</f>
        <v>9750</v>
      </c>
      <c r="K9" s="70">
        <v>0</v>
      </c>
      <c r="L9" s="70">
        <f>J9+K9</f>
        <v>9750</v>
      </c>
    </row>
    <row r="10" spans="1:16">
      <c r="A10" s="69">
        <v>1</v>
      </c>
      <c r="B10" s="70">
        <f>$C$9</f>
        <v>10000</v>
      </c>
      <c r="C10" s="70">
        <f>$C$3</f>
        <v>0</v>
      </c>
      <c r="D10" s="70">
        <f>$N$11*B10</f>
        <v>262.5</v>
      </c>
      <c r="E10" s="70">
        <v>0</v>
      </c>
      <c r="F10" s="70">
        <f t="shared" ref="F10:F15" si="0">D10+E10</f>
        <v>262.5</v>
      </c>
      <c r="G10" s="70">
        <f>B10-E10</f>
        <v>10000</v>
      </c>
      <c r="H10" s="70">
        <v>0</v>
      </c>
      <c r="I10" s="70">
        <v>0</v>
      </c>
      <c r="J10" s="70">
        <f t="shared" ref="J10:J15" si="1">C10-F10</f>
        <v>-262.5</v>
      </c>
      <c r="K10" s="70">
        <f>0</f>
        <v>0</v>
      </c>
      <c r="L10" s="70">
        <f t="shared" ref="L10:L13" si="2">J10+K10</f>
        <v>-262.5</v>
      </c>
      <c r="M10" s="68" t="s">
        <v>111</v>
      </c>
      <c r="N10" s="61">
        <v>0.105</v>
      </c>
    </row>
    <row r="11" spans="1:16">
      <c r="A11" s="69">
        <v>2</v>
      </c>
      <c r="B11" s="70">
        <f>$C$9</f>
        <v>10000</v>
      </c>
      <c r="C11" s="70">
        <f t="shared" ref="C11:C12" si="3">$C$3</f>
        <v>0</v>
      </c>
      <c r="D11" s="70">
        <f>$N$11*B11</f>
        <v>262.5</v>
      </c>
      <c r="E11" s="70">
        <v>0</v>
      </c>
      <c r="F11" s="70">
        <f t="shared" si="0"/>
        <v>262.5</v>
      </c>
      <c r="G11" s="70">
        <f t="shared" ref="G11:G13" si="4">B11-E11</f>
        <v>10000</v>
      </c>
      <c r="H11" s="70">
        <v>0</v>
      </c>
      <c r="I11" s="70">
        <v>0</v>
      </c>
      <c r="J11" s="70">
        <f t="shared" si="1"/>
        <v>-262.5</v>
      </c>
      <c r="K11" s="70">
        <f>0</f>
        <v>0</v>
      </c>
      <c r="L11" s="70">
        <f t="shared" si="2"/>
        <v>-262.5</v>
      </c>
      <c r="M11" s="68" t="s">
        <v>112</v>
      </c>
      <c r="N11" s="10">
        <f>N10/4</f>
        <v>2.6249999999999999E-2</v>
      </c>
    </row>
    <row r="12" spans="1:16">
      <c r="A12" s="69">
        <v>3</v>
      </c>
      <c r="B12" s="70">
        <f>$C$9</f>
        <v>10000</v>
      </c>
      <c r="C12" s="70">
        <f t="shared" si="3"/>
        <v>0</v>
      </c>
      <c r="D12" s="70">
        <f>$N$11*B12</f>
        <v>262.5</v>
      </c>
      <c r="E12" s="70">
        <v>0</v>
      </c>
      <c r="F12" s="70">
        <f t="shared" si="0"/>
        <v>262.5</v>
      </c>
      <c r="G12" s="70">
        <f t="shared" si="4"/>
        <v>10000</v>
      </c>
      <c r="H12" s="70">
        <v>0</v>
      </c>
      <c r="I12" s="70">
        <v>0</v>
      </c>
      <c r="J12" s="70">
        <f t="shared" si="1"/>
        <v>-262.5</v>
      </c>
      <c r="K12" s="70">
        <v>0</v>
      </c>
      <c r="L12" s="70">
        <f t="shared" si="2"/>
        <v>-262.5</v>
      </c>
    </row>
    <row r="13" spans="1:16">
      <c r="A13" s="69">
        <v>4</v>
      </c>
      <c r="B13" s="70">
        <f>$C$9</f>
        <v>10000</v>
      </c>
      <c r="C13" s="70">
        <v>0</v>
      </c>
      <c r="D13" s="70">
        <f>$N$11*B13</f>
        <v>262.5</v>
      </c>
      <c r="E13" s="70">
        <f>B10</f>
        <v>10000</v>
      </c>
      <c r="F13" s="70">
        <f t="shared" si="0"/>
        <v>10262.5</v>
      </c>
      <c r="G13" s="70">
        <f t="shared" si="4"/>
        <v>0</v>
      </c>
      <c r="H13" s="70">
        <v>0</v>
      </c>
      <c r="I13" s="70">
        <v>0</v>
      </c>
      <c r="J13" s="70">
        <f t="shared" si="1"/>
        <v>-10262.5</v>
      </c>
      <c r="K13" s="70">
        <f>(H9+I9+SUM(D10:D13))*0.33</f>
        <v>429</v>
      </c>
      <c r="L13" s="70">
        <f t="shared" si="2"/>
        <v>-9833.5</v>
      </c>
    </row>
    <row r="14" spans="1:16">
      <c r="A14" s="50">
        <v>4</v>
      </c>
      <c r="B14" s="51">
        <v>0</v>
      </c>
      <c r="C14" s="51">
        <f>50000</f>
        <v>50000</v>
      </c>
      <c r="D14" s="51">
        <f>N16*C14</f>
        <v>1500</v>
      </c>
      <c r="E14" s="51">
        <v>0</v>
      </c>
      <c r="F14" s="51">
        <f t="shared" si="0"/>
        <v>1500</v>
      </c>
      <c r="G14" s="51">
        <f>C14</f>
        <v>50000</v>
      </c>
      <c r="H14" s="51">
        <v>0</v>
      </c>
      <c r="I14" s="51">
        <v>0</v>
      </c>
      <c r="J14" s="51">
        <f t="shared" si="1"/>
        <v>48500</v>
      </c>
      <c r="K14" s="51">
        <v>0</v>
      </c>
      <c r="L14" s="51">
        <f>J14+K14</f>
        <v>48500</v>
      </c>
    </row>
    <row r="15" spans="1:16">
      <c r="A15" s="71">
        <v>5</v>
      </c>
      <c r="B15" s="51">
        <f>G14</f>
        <v>50000</v>
      </c>
      <c r="C15" s="51">
        <v>0</v>
      </c>
      <c r="D15" s="51">
        <f>$N$16*B15</f>
        <v>1500</v>
      </c>
      <c r="E15" s="51">
        <f>$C$14/4</f>
        <v>12500</v>
      </c>
      <c r="F15" s="51">
        <f t="shared" si="0"/>
        <v>14000</v>
      </c>
      <c r="G15" s="51">
        <f>B15-E15</f>
        <v>37500</v>
      </c>
      <c r="H15" s="51">
        <v>0</v>
      </c>
      <c r="I15" s="51">
        <v>0</v>
      </c>
      <c r="J15" s="51">
        <f t="shared" si="1"/>
        <v>-14000</v>
      </c>
      <c r="K15" s="51">
        <v>0</v>
      </c>
      <c r="L15" s="51">
        <f>J15+K15</f>
        <v>-14000</v>
      </c>
      <c r="M15" s="65" t="s">
        <v>111</v>
      </c>
      <c r="N15" s="63">
        <v>0.12</v>
      </c>
    </row>
    <row r="16" spans="1:16">
      <c r="A16" s="71">
        <v>6</v>
      </c>
      <c r="B16" s="51">
        <f t="shared" ref="B16:B18" si="5">G15</f>
        <v>37500</v>
      </c>
      <c r="C16" s="51">
        <v>0</v>
      </c>
      <c r="D16" s="51">
        <f t="shared" ref="D16:D18" si="6">$N$16*B16</f>
        <v>1125</v>
      </c>
      <c r="E16" s="51">
        <f t="shared" ref="E16:E18" si="7">$C$14/4</f>
        <v>12500</v>
      </c>
      <c r="F16" s="51">
        <f t="shared" ref="F16:F18" si="8">D16+E16</f>
        <v>13625</v>
      </c>
      <c r="G16" s="51">
        <f t="shared" ref="G16:G18" si="9">B16-E16</f>
        <v>25000</v>
      </c>
      <c r="H16" s="51">
        <v>0</v>
      </c>
      <c r="I16" s="51">
        <v>0</v>
      </c>
      <c r="J16" s="51">
        <f t="shared" ref="J16:J18" si="10">C16-F16</f>
        <v>-13625</v>
      </c>
      <c r="K16" s="51">
        <v>0</v>
      </c>
      <c r="L16" s="51">
        <f t="shared" ref="L16:L19" si="11">J16+K16</f>
        <v>-13625</v>
      </c>
      <c r="M16" s="66" t="s">
        <v>112</v>
      </c>
      <c r="N16" s="64">
        <v>0.03</v>
      </c>
    </row>
    <row r="17" spans="1:14">
      <c r="A17" s="71">
        <v>7</v>
      </c>
      <c r="B17" s="51">
        <f t="shared" si="5"/>
        <v>25000</v>
      </c>
      <c r="C17" s="51">
        <v>0</v>
      </c>
      <c r="D17" s="51">
        <f t="shared" si="6"/>
        <v>750</v>
      </c>
      <c r="E17" s="51">
        <f t="shared" si="7"/>
        <v>12500</v>
      </c>
      <c r="F17" s="51">
        <f t="shared" si="8"/>
        <v>13250</v>
      </c>
      <c r="G17" s="51">
        <f t="shared" si="9"/>
        <v>12500</v>
      </c>
      <c r="H17" s="51">
        <v>0</v>
      </c>
      <c r="I17" s="51">
        <v>0</v>
      </c>
      <c r="J17" s="51">
        <f t="shared" si="10"/>
        <v>-13250</v>
      </c>
      <c r="K17" s="51">
        <v>0</v>
      </c>
      <c r="L17" s="51">
        <f t="shared" si="11"/>
        <v>-13250</v>
      </c>
      <c r="M17" s="73" t="s">
        <v>113</v>
      </c>
      <c r="N17" s="72">
        <f>C14/4</f>
        <v>12500</v>
      </c>
    </row>
    <row r="18" spans="1:14">
      <c r="A18" s="71">
        <v>8</v>
      </c>
      <c r="B18" s="51">
        <f t="shared" si="5"/>
        <v>12500</v>
      </c>
      <c r="C18" s="51">
        <v>0</v>
      </c>
      <c r="D18" s="51">
        <f t="shared" si="6"/>
        <v>375</v>
      </c>
      <c r="E18" s="51">
        <f t="shared" si="7"/>
        <v>12500</v>
      </c>
      <c r="F18" s="51">
        <f t="shared" si="8"/>
        <v>12875</v>
      </c>
      <c r="G18" s="51">
        <f t="shared" si="9"/>
        <v>0</v>
      </c>
      <c r="H18" s="51">
        <v>0</v>
      </c>
      <c r="I18" s="51">
        <v>0</v>
      </c>
      <c r="J18" s="51">
        <f t="shared" si="10"/>
        <v>-12875</v>
      </c>
      <c r="K18" s="51">
        <f>SUM(D14:D18)</f>
        <v>5250</v>
      </c>
      <c r="L18" s="51">
        <f t="shared" si="11"/>
        <v>-7625</v>
      </c>
      <c r="M18" s="67"/>
      <c r="N18" s="67"/>
    </row>
    <row r="19" spans="1:14">
      <c r="A19" s="56">
        <v>8</v>
      </c>
      <c r="B19" s="55">
        <v>0</v>
      </c>
      <c r="C19" s="55">
        <f>B4-C14-C9</f>
        <v>90250</v>
      </c>
      <c r="D19" s="55">
        <v>0</v>
      </c>
      <c r="E19" s="55">
        <v>0</v>
      </c>
      <c r="F19" s="55">
        <v>0</v>
      </c>
      <c r="G19" s="55">
        <f>C19</f>
        <v>90250</v>
      </c>
      <c r="H19" s="55">
        <v>0</v>
      </c>
      <c r="I19" s="55">
        <v>0</v>
      </c>
      <c r="J19" s="55">
        <f>G19</f>
        <v>90250</v>
      </c>
      <c r="K19" s="55">
        <v>0</v>
      </c>
      <c r="L19" s="55">
        <f t="shared" si="11"/>
        <v>90250</v>
      </c>
    </row>
    <row r="20" spans="1:14">
      <c r="A20" s="58">
        <v>9</v>
      </c>
      <c r="B20" s="59">
        <f>G19</f>
        <v>90250</v>
      </c>
      <c r="C20" s="59">
        <v>0</v>
      </c>
      <c r="D20" s="59">
        <f>$N$21*B20</f>
        <v>2030.625</v>
      </c>
      <c r="E20" s="59">
        <f>F20-D20</f>
        <v>21815.133220611035</v>
      </c>
      <c r="F20" s="59">
        <f>$N$22</f>
        <v>23845.758220611035</v>
      </c>
      <c r="G20" s="59">
        <f>B20-E20</f>
        <v>68434.866779388962</v>
      </c>
      <c r="H20" s="59">
        <v>0</v>
      </c>
      <c r="I20" s="59">
        <v>0</v>
      </c>
      <c r="J20" s="59">
        <f>C20-F20</f>
        <v>-23845.758220611035</v>
      </c>
      <c r="K20" s="59">
        <v>0</v>
      </c>
      <c r="L20" s="59">
        <f>J20+K20</f>
        <v>-23845.758220611035</v>
      </c>
      <c r="M20" s="62" t="s">
        <v>111</v>
      </c>
      <c r="N20" s="61">
        <f>9%</f>
        <v>0.09</v>
      </c>
    </row>
    <row r="21" spans="1:14">
      <c r="A21" s="58">
        <v>10</v>
      </c>
      <c r="B21" s="59">
        <f t="shared" ref="B21:B23" si="12">G20</f>
        <v>68434.866779388962</v>
      </c>
      <c r="C21" s="59">
        <v>0</v>
      </c>
      <c r="D21" s="59">
        <f t="shared" ref="D21:D23" si="13">$N$21*B21</f>
        <v>1539.7845025362517</v>
      </c>
      <c r="E21" s="59">
        <f t="shared" ref="E21:E23" si="14">F21-D21</f>
        <v>22305.973718074783</v>
      </c>
      <c r="F21" s="59">
        <f t="shared" ref="F21:F23" si="15">$N$22</f>
        <v>23845.758220611035</v>
      </c>
      <c r="G21" s="59">
        <f t="shared" ref="G21:G22" si="16">B21-E21</f>
        <v>46128.893061314178</v>
      </c>
      <c r="H21" s="59">
        <v>0</v>
      </c>
      <c r="I21" s="59">
        <v>0</v>
      </c>
      <c r="J21" s="59">
        <f t="shared" ref="J21:J23" si="17">C21-F21</f>
        <v>-23845.758220611035</v>
      </c>
      <c r="K21" s="59">
        <v>0</v>
      </c>
      <c r="L21" s="59">
        <f t="shared" ref="L21:L23" si="18">J21+K21</f>
        <v>-23845.758220611035</v>
      </c>
      <c r="M21" s="62" t="s">
        <v>112</v>
      </c>
      <c r="N21" s="10">
        <f>N20/4</f>
        <v>2.2499999999999999E-2</v>
      </c>
    </row>
    <row r="22" spans="1:14">
      <c r="A22" s="58">
        <v>11</v>
      </c>
      <c r="B22" s="59">
        <f t="shared" si="12"/>
        <v>46128.893061314178</v>
      </c>
      <c r="C22" s="59">
        <v>0</v>
      </c>
      <c r="D22" s="59">
        <f t="shared" si="13"/>
        <v>1037.9000938795689</v>
      </c>
      <c r="E22" s="59">
        <f t="shared" si="14"/>
        <v>22807.858126731466</v>
      </c>
      <c r="F22" s="59">
        <f t="shared" si="15"/>
        <v>23845.758220611035</v>
      </c>
      <c r="G22" s="59">
        <f t="shared" si="16"/>
        <v>23321.034934582713</v>
      </c>
      <c r="H22" s="59">
        <v>0</v>
      </c>
      <c r="I22" s="59">
        <v>0</v>
      </c>
      <c r="J22" s="59">
        <f t="shared" si="17"/>
        <v>-23845.758220611035</v>
      </c>
      <c r="K22" s="59">
        <v>0</v>
      </c>
      <c r="L22" s="59">
        <f t="shared" si="18"/>
        <v>-23845.758220611035</v>
      </c>
      <c r="M22" s="62" t="s">
        <v>28</v>
      </c>
      <c r="N22" s="11">
        <f>C19*((N21*(1+N21)^4)/((1+N21)^4-1))</f>
        <v>23845.758220611035</v>
      </c>
    </row>
    <row r="23" spans="1:14">
      <c r="A23" s="58">
        <v>12</v>
      </c>
      <c r="B23" s="59">
        <f t="shared" si="12"/>
        <v>23321.034934582713</v>
      </c>
      <c r="C23" s="59">
        <v>0</v>
      </c>
      <c r="D23" s="59">
        <f t="shared" si="13"/>
        <v>524.72328602811103</v>
      </c>
      <c r="E23" s="59">
        <f t="shared" si="14"/>
        <v>23321.034934582924</v>
      </c>
      <c r="F23" s="59">
        <f t="shared" si="15"/>
        <v>23845.758220611035</v>
      </c>
      <c r="G23" s="59">
        <v>0</v>
      </c>
      <c r="H23" s="59">
        <v>0</v>
      </c>
      <c r="I23" s="59">
        <v>0</v>
      </c>
      <c r="J23" s="59">
        <f t="shared" si="17"/>
        <v>-23845.758220611035</v>
      </c>
      <c r="K23" s="74">
        <f>SUM(D19:D23)</f>
        <v>5133.0328824439312</v>
      </c>
      <c r="L23" s="59">
        <f t="shared" si="18"/>
        <v>-18712.725338167103</v>
      </c>
    </row>
    <row r="25" spans="1:14">
      <c r="A25" s="17" t="s">
        <v>29</v>
      </c>
      <c r="B25" s="17" t="s">
        <v>30</v>
      </c>
      <c r="C25" s="17" t="s">
        <v>38</v>
      </c>
      <c r="D25" s="17" t="s">
        <v>32</v>
      </c>
      <c r="E25" s="17" t="s">
        <v>33</v>
      </c>
      <c r="F25" s="17" t="s">
        <v>28</v>
      </c>
      <c r="G25" s="17" t="s">
        <v>34</v>
      </c>
      <c r="H25" s="17" t="s">
        <v>44</v>
      </c>
      <c r="I25" s="17" t="s">
        <v>110</v>
      </c>
      <c r="J25" s="17" t="s">
        <v>35</v>
      </c>
      <c r="K25" s="17" t="s">
        <v>90</v>
      </c>
      <c r="L25" s="17" t="s">
        <v>91</v>
      </c>
    </row>
    <row r="26" spans="1:14">
      <c r="A26" s="69">
        <f>9:9+9:9</f>
        <v>0</v>
      </c>
      <c r="B26" s="70">
        <f>B9</f>
        <v>0</v>
      </c>
      <c r="C26" s="70">
        <f>C9</f>
        <v>10000</v>
      </c>
      <c r="D26" s="70">
        <f>0</f>
        <v>0</v>
      </c>
      <c r="E26" s="70">
        <f>0</f>
        <v>0</v>
      </c>
      <c r="F26" s="70">
        <f>0</f>
        <v>0</v>
      </c>
      <c r="G26" s="70">
        <f>C26</f>
        <v>10000</v>
      </c>
      <c r="H26" s="70">
        <f>0.01*C26</f>
        <v>100</v>
      </c>
      <c r="I26" s="70">
        <f>0.015*C26</f>
        <v>150</v>
      </c>
      <c r="J26" s="70">
        <f>C26-F26-H26-I26</f>
        <v>9750</v>
      </c>
      <c r="K26" s="70">
        <v>0</v>
      </c>
      <c r="L26" s="70">
        <f>J26+K26</f>
        <v>9750</v>
      </c>
    </row>
    <row r="27" spans="1:14">
      <c r="A27" s="69">
        <v>1</v>
      </c>
      <c r="B27" s="70">
        <f>$C$9</f>
        <v>10000</v>
      </c>
      <c r="C27" s="70">
        <f>$C$3</f>
        <v>0</v>
      </c>
      <c r="D27" s="70">
        <f>$N$11*B27</f>
        <v>262.5</v>
      </c>
      <c r="E27" s="70">
        <v>0</v>
      </c>
      <c r="F27" s="70">
        <f>D27+E27</f>
        <v>262.5</v>
      </c>
      <c r="G27" s="70">
        <f>B27-E27</f>
        <v>10000</v>
      </c>
      <c r="H27" s="70">
        <v>0</v>
      </c>
      <c r="I27" s="70">
        <v>0</v>
      </c>
      <c r="J27" s="70">
        <f>C27-F27</f>
        <v>-262.5</v>
      </c>
      <c r="K27" s="70">
        <f>0</f>
        <v>0</v>
      </c>
      <c r="L27" s="70">
        <f t="shared" ref="L27:L30" si="19">J27+K27</f>
        <v>-262.5</v>
      </c>
    </row>
    <row r="28" spans="1:14">
      <c r="A28" s="69">
        <v>2</v>
      </c>
      <c r="B28" s="70">
        <f>$C$9</f>
        <v>10000</v>
      </c>
      <c r="C28" s="70">
        <f t="shared" ref="C28:C29" si="20">$C$3</f>
        <v>0</v>
      </c>
      <c r="D28" s="70">
        <f>$N$11*B28</f>
        <v>262.5</v>
      </c>
      <c r="E28" s="70">
        <v>0</v>
      </c>
      <c r="F28" s="70">
        <f>D28+E28</f>
        <v>262.5</v>
      </c>
      <c r="G28" s="70">
        <f t="shared" ref="G28:G29" si="21">B28-E28</f>
        <v>10000</v>
      </c>
      <c r="H28" s="70">
        <v>0</v>
      </c>
      <c r="I28" s="70">
        <v>0</v>
      </c>
      <c r="J28" s="70">
        <f>C28-F28</f>
        <v>-262.5</v>
      </c>
      <c r="K28" s="70">
        <f>0</f>
        <v>0</v>
      </c>
      <c r="L28" s="70">
        <f t="shared" si="19"/>
        <v>-262.5</v>
      </c>
    </row>
    <row r="29" spans="1:14">
      <c r="A29" s="69">
        <v>3</v>
      </c>
      <c r="B29" s="70">
        <f>$C$9</f>
        <v>10000</v>
      </c>
      <c r="C29" s="70">
        <f t="shared" si="20"/>
        <v>0</v>
      </c>
      <c r="D29" s="70">
        <f>$N$11*B29</f>
        <v>262.5</v>
      </c>
      <c r="E29" s="70">
        <v>0</v>
      </c>
      <c r="F29" s="70">
        <f>D29+E29</f>
        <v>262.5</v>
      </c>
      <c r="G29" s="70">
        <f t="shared" si="21"/>
        <v>10000</v>
      </c>
      <c r="H29" s="70">
        <v>0</v>
      </c>
      <c r="I29" s="70">
        <v>0</v>
      </c>
      <c r="J29" s="70">
        <f>C29-F29</f>
        <v>-262.5</v>
      </c>
      <c r="K29" s="70">
        <v>0</v>
      </c>
      <c r="L29" s="70">
        <f t="shared" si="19"/>
        <v>-262.5</v>
      </c>
    </row>
    <row r="30" spans="1:14">
      <c r="A30" s="69">
        <v>4</v>
      </c>
      <c r="B30" s="70">
        <f>B13+B14</f>
        <v>10000</v>
      </c>
      <c r="C30" s="70">
        <f>C13+C14</f>
        <v>50000</v>
      </c>
      <c r="D30" s="70">
        <f>$N$11*B30</f>
        <v>262.5</v>
      </c>
      <c r="E30" s="70">
        <f>B27</f>
        <v>10000</v>
      </c>
      <c r="F30" s="70">
        <f>D30+E30</f>
        <v>10262.5</v>
      </c>
      <c r="G30" s="70">
        <f>C30</f>
        <v>50000</v>
      </c>
      <c r="H30" s="70">
        <v>0</v>
      </c>
      <c r="I30" s="70">
        <v>0</v>
      </c>
      <c r="J30" s="70">
        <f>C30-F30</f>
        <v>39737.5</v>
      </c>
      <c r="K30" s="70">
        <f>(H26+I26+SUM(D26:D30))*0.33</f>
        <v>429</v>
      </c>
      <c r="L30" s="70">
        <f t="shared" si="19"/>
        <v>40166.5</v>
      </c>
    </row>
    <row r="31" spans="1:14">
      <c r="A31" s="50">
        <v>5</v>
      </c>
      <c r="B31" s="51">
        <f>G30</f>
        <v>50000</v>
      </c>
      <c r="C31" s="51">
        <v>0</v>
      </c>
      <c r="D31" s="51">
        <f>$N$16*B31</f>
        <v>1500</v>
      </c>
      <c r="E31" s="51">
        <f>$N$17</f>
        <v>12500</v>
      </c>
      <c r="F31" s="51">
        <f>D31+E31</f>
        <v>14000</v>
      </c>
      <c r="G31" s="51">
        <f>B31-E31</f>
        <v>37500</v>
      </c>
      <c r="H31" s="51">
        <v>0</v>
      </c>
      <c r="I31" s="51">
        <v>0</v>
      </c>
      <c r="J31" s="51">
        <f>C31-F31</f>
        <v>-14000</v>
      </c>
      <c r="K31" s="51">
        <v>0</v>
      </c>
      <c r="L31" s="51">
        <f>J31+K31</f>
        <v>-14000</v>
      </c>
    </row>
    <row r="32" spans="1:14">
      <c r="A32" s="71">
        <v>6</v>
      </c>
      <c r="B32" s="51">
        <f t="shared" ref="B32:B34" si="22">G31</f>
        <v>37500</v>
      </c>
      <c r="C32" s="51">
        <v>0</v>
      </c>
      <c r="D32" s="51">
        <f t="shared" ref="D32:D34" si="23">$N$16*B32</f>
        <v>1125</v>
      </c>
      <c r="E32" s="51">
        <f t="shared" ref="E32:E34" si="24">$N$17</f>
        <v>12500</v>
      </c>
      <c r="F32" s="51">
        <f t="shared" ref="F32:F34" si="25">D32+E32</f>
        <v>13625</v>
      </c>
      <c r="G32" s="51">
        <f t="shared" ref="G32:G33" si="26">B32-E32</f>
        <v>25000</v>
      </c>
      <c r="H32" s="51">
        <v>0</v>
      </c>
      <c r="I32" s="51">
        <v>0</v>
      </c>
      <c r="J32" s="51">
        <f t="shared" ref="J32:J34" si="27">C32-F32</f>
        <v>-13625</v>
      </c>
      <c r="K32" s="51">
        <v>0</v>
      </c>
      <c r="L32" s="51">
        <f t="shared" ref="L32:L34" si="28">J32+K32</f>
        <v>-13625</v>
      </c>
    </row>
    <row r="33" spans="1:12">
      <c r="A33" s="71">
        <v>7</v>
      </c>
      <c r="B33" s="51">
        <f t="shared" si="22"/>
        <v>25000</v>
      </c>
      <c r="C33" s="51">
        <v>0</v>
      </c>
      <c r="D33" s="51">
        <f t="shared" si="23"/>
        <v>750</v>
      </c>
      <c r="E33" s="51">
        <f t="shared" si="24"/>
        <v>12500</v>
      </c>
      <c r="F33" s="51">
        <f t="shared" si="25"/>
        <v>13250</v>
      </c>
      <c r="G33" s="51">
        <f t="shared" si="26"/>
        <v>12500</v>
      </c>
      <c r="H33" s="51">
        <v>0</v>
      </c>
      <c r="I33" s="51">
        <v>0</v>
      </c>
      <c r="J33" s="51">
        <f t="shared" si="27"/>
        <v>-13250</v>
      </c>
      <c r="K33" s="51">
        <v>0</v>
      </c>
      <c r="L33" s="51">
        <f t="shared" si="28"/>
        <v>-13250</v>
      </c>
    </row>
    <row r="34" spans="1:12">
      <c r="A34" s="71">
        <v>8</v>
      </c>
      <c r="B34" s="51">
        <f t="shared" si="22"/>
        <v>12500</v>
      </c>
      <c r="C34" s="51">
        <f>B4-C26-C30</f>
        <v>90250</v>
      </c>
      <c r="D34" s="51">
        <f t="shared" si="23"/>
        <v>375</v>
      </c>
      <c r="E34" s="51">
        <f t="shared" si="24"/>
        <v>12500</v>
      </c>
      <c r="F34" s="51">
        <f t="shared" si="25"/>
        <v>12875</v>
      </c>
      <c r="G34" s="51">
        <f>C34</f>
        <v>90250</v>
      </c>
      <c r="H34" s="51">
        <v>0</v>
      </c>
      <c r="I34" s="51">
        <v>0</v>
      </c>
      <c r="J34" s="51">
        <f t="shared" si="27"/>
        <v>77375</v>
      </c>
      <c r="K34" s="51">
        <f>SUM(D31:D34)*0.33</f>
        <v>1237.5</v>
      </c>
      <c r="L34" s="51">
        <f t="shared" si="28"/>
        <v>78612.5</v>
      </c>
    </row>
    <row r="35" spans="1:12">
      <c r="A35" s="75">
        <v>9</v>
      </c>
      <c r="B35" s="60">
        <f>G34</f>
        <v>90250</v>
      </c>
      <c r="C35" s="60">
        <v>0</v>
      </c>
      <c r="D35" s="60">
        <f>$N$21*B35</f>
        <v>2030.625</v>
      </c>
      <c r="E35" s="60">
        <f>F35-D35</f>
        <v>21815.133220611035</v>
      </c>
      <c r="F35" s="60">
        <f>$N$22</f>
        <v>23845.758220611035</v>
      </c>
      <c r="G35" s="60">
        <f t="shared" ref="G35" si="29">B35-E35</f>
        <v>68434.866779388962</v>
      </c>
      <c r="H35" s="60">
        <v>0</v>
      </c>
      <c r="I35" s="60">
        <v>0</v>
      </c>
      <c r="J35" s="60">
        <f t="shared" ref="J35" si="30">C35-F35</f>
        <v>-23845.758220611035</v>
      </c>
      <c r="K35" s="60">
        <v>0</v>
      </c>
      <c r="L35" s="60">
        <f t="shared" ref="L35" si="31">J35+K35</f>
        <v>-23845.758220611035</v>
      </c>
    </row>
    <row r="36" spans="1:12">
      <c r="A36" s="56">
        <v>10</v>
      </c>
      <c r="B36" s="60">
        <f t="shared" ref="B36:B38" si="32">G35</f>
        <v>68434.866779388962</v>
      </c>
      <c r="C36" s="60">
        <v>0</v>
      </c>
      <c r="D36" s="60">
        <f t="shared" ref="D36:D38" si="33">$N$21*B36</f>
        <v>1539.7845025362517</v>
      </c>
      <c r="E36" s="60">
        <f t="shared" ref="E36:E38" si="34">F36-D36</f>
        <v>22305.973718074783</v>
      </c>
      <c r="F36" s="60">
        <f t="shared" ref="F36:F38" si="35">$N$22</f>
        <v>23845.758220611035</v>
      </c>
      <c r="G36" s="60">
        <f t="shared" ref="G36:G37" si="36">B36-E36</f>
        <v>46128.893061314178</v>
      </c>
      <c r="H36" s="60">
        <v>0</v>
      </c>
      <c r="I36" s="60">
        <v>0</v>
      </c>
      <c r="J36" s="60">
        <f t="shared" ref="J36:J38" si="37">C36-F36</f>
        <v>-23845.758220611035</v>
      </c>
      <c r="K36" s="60">
        <v>0</v>
      </c>
      <c r="L36" s="60">
        <f t="shared" ref="L36:L38" si="38">J36+K36</f>
        <v>-23845.758220611035</v>
      </c>
    </row>
    <row r="37" spans="1:12">
      <c r="A37" s="58">
        <v>11</v>
      </c>
      <c r="B37" s="60">
        <f t="shared" si="32"/>
        <v>46128.893061314178</v>
      </c>
      <c r="C37" s="60">
        <v>0</v>
      </c>
      <c r="D37" s="60">
        <f t="shared" si="33"/>
        <v>1037.9000938795689</v>
      </c>
      <c r="E37" s="60">
        <f t="shared" si="34"/>
        <v>22807.858126731466</v>
      </c>
      <c r="F37" s="60">
        <f t="shared" si="35"/>
        <v>23845.758220611035</v>
      </c>
      <c r="G37" s="60">
        <f t="shared" si="36"/>
        <v>23321.034934582713</v>
      </c>
      <c r="H37" s="60">
        <v>0</v>
      </c>
      <c r="I37" s="60">
        <v>0</v>
      </c>
      <c r="J37" s="60">
        <f t="shared" si="37"/>
        <v>-23845.758220611035</v>
      </c>
      <c r="K37" s="60">
        <v>0</v>
      </c>
      <c r="L37" s="60">
        <f t="shared" si="38"/>
        <v>-23845.758220611035</v>
      </c>
    </row>
    <row r="38" spans="1:12">
      <c r="A38" s="58">
        <v>12</v>
      </c>
      <c r="B38" s="60">
        <f t="shared" si="32"/>
        <v>23321.034934582713</v>
      </c>
      <c r="C38" s="60">
        <v>0</v>
      </c>
      <c r="D38" s="60">
        <f t="shared" si="33"/>
        <v>524.72328602811103</v>
      </c>
      <c r="E38" s="60">
        <f t="shared" si="34"/>
        <v>23321.034934582924</v>
      </c>
      <c r="F38" s="60">
        <f t="shared" si="35"/>
        <v>23845.758220611035</v>
      </c>
      <c r="G38" s="60">
        <v>0</v>
      </c>
      <c r="H38" s="60">
        <v>0</v>
      </c>
      <c r="I38" s="60">
        <v>0</v>
      </c>
      <c r="J38" s="60">
        <f t="shared" si="37"/>
        <v>-23845.758220611035</v>
      </c>
      <c r="K38" s="60">
        <f>SUM(D35:D38)*0.33</f>
        <v>1693.9008512064975</v>
      </c>
      <c r="L38" s="60">
        <f t="shared" si="38"/>
        <v>-22151.857369404537</v>
      </c>
    </row>
    <row r="39" spans="1:12">
      <c r="K39" s="42" t="s">
        <v>114</v>
      </c>
      <c r="L39" s="16">
        <f>IRR(J26:J38)</f>
        <v>2.6221995846142931E-2</v>
      </c>
    </row>
    <row r="40" spans="1:12">
      <c r="K40" s="42" t="s">
        <v>115</v>
      </c>
      <c r="L40" s="16">
        <f>IRR(L26:L38)</f>
        <v>1.7797664409189062E-2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tabSelected="1" workbookViewId="0">
      <selection sqref="A1:E5"/>
    </sheetView>
  </sheetViews>
  <sheetFormatPr baseColWidth="10" defaultColWidth="20.6640625" defaultRowHeight="15" x14ac:dyDescent="0"/>
  <cols>
    <col min="2" max="2" width="21" bestFit="1" customWidth="1"/>
  </cols>
  <sheetData>
    <row r="1" spans="1:23">
      <c r="A1" s="1" t="s">
        <v>116</v>
      </c>
      <c r="B1" s="1" t="s">
        <v>117</v>
      </c>
      <c r="C1" s="1" t="s">
        <v>124</v>
      </c>
      <c r="D1" s="1" t="s">
        <v>118</v>
      </c>
      <c r="E1" s="1" t="s">
        <v>119</v>
      </c>
    </row>
    <row r="2" spans="1:23">
      <c r="A2" s="2" t="s">
        <v>108</v>
      </c>
      <c r="B2" s="4">
        <v>1000000000</v>
      </c>
      <c r="C2" s="2"/>
      <c r="D2" s="2"/>
      <c r="E2" s="2"/>
    </row>
    <row r="3" spans="1:23">
      <c r="A3" s="2" t="s">
        <v>120</v>
      </c>
      <c r="B3" s="4">
        <v>2500000000</v>
      </c>
      <c r="C3" s="2">
        <v>10</v>
      </c>
      <c r="D3" s="4">
        <v>500000000</v>
      </c>
      <c r="E3" s="2" t="s">
        <v>122</v>
      </c>
      <c r="G3" s="1" t="s">
        <v>142</v>
      </c>
      <c r="H3" s="1"/>
      <c r="I3" s="1"/>
      <c r="J3" s="1"/>
      <c r="K3" s="1"/>
      <c r="M3" s="1" t="s">
        <v>143</v>
      </c>
      <c r="N3" s="1"/>
      <c r="O3" s="1"/>
      <c r="P3" s="1"/>
      <c r="Q3" s="1"/>
      <c r="S3" s="1" t="s">
        <v>144</v>
      </c>
      <c r="T3" s="1"/>
      <c r="U3" s="1"/>
      <c r="V3" s="1"/>
      <c r="W3" s="1"/>
    </row>
    <row r="4" spans="1:23">
      <c r="A4" s="2" t="s">
        <v>121</v>
      </c>
      <c r="B4" s="4">
        <v>4500000000</v>
      </c>
      <c r="C4" s="2">
        <v>10</v>
      </c>
      <c r="D4" s="4">
        <v>1000000000</v>
      </c>
      <c r="E4" s="2" t="s">
        <v>122</v>
      </c>
      <c r="G4" s="1" t="s">
        <v>29</v>
      </c>
      <c r="H4" s="1" t="s">
        <v>139</v>
      </c>
      <c r="I4" s="1" t="s">
        <v>133</v>
      </c>
      <c r="J4" s="1" t="s">
        <v>140</v>
      </c>
      <c r="K4" s="1" t="s">
        <v>141</v>
      </c>
      <c r="M4" s="1" t="s">
        <v>29</v>
      </c>
      <c r="N4" s="1" t="s">
        <v>139</v>
      </c>
      <c r="O4" s="1" t="s">
        <v>133</v>
      </c>
      <c r="P4" s="1" t="s">
        <v>140</v>
      </c>
      <c r="Q4" s="1" t="s">
        <v>141</v>
      </c>
      <c r="S4" s="1" t="s">
        <v>29</v>
      </c>
      <c r="T4" s="1" t="s">
        <v>139</v>
      </c>
      <c r="U4" s="1" t="s">
        <v>133</v>
      </c>
      <c r="V4" s="1" t="s">
        <v>140</v>
      </c>
      <c r="W4" s="1" t="s">
        <v>141</v>
      </c>
    </row>
    <row r="5" spans="1:23">
      <c r="A5" s="2" t="s">
        <v>123</v>
      </c>
      <c r="B5" s="4">
        <v>3000000000</v>
      </c>
      <c r="C5" s="2">
        <v>10</v>
      </c>
      <c r="D5" s="4">
        <v>0</v>
      </c>
      <c r="E5" s="2" t="s">
        <v>122</v>
      </c>
      <c r="G5" s="2">
        <v>0</v>
      </c>
      <c r="H5" s="2">
        <v>0</v>
      </c>
      <c r="I5" s="2">
        <v>0</v>
      </c>
      <c r="J5" s="2">
        <v>0</v>
      </c>
      <c r="K5" s="4">
        <f>B3</f>
        <v>2500000000</v>
      </c>
      <c r="M5" s="2">
        <v>0</v>
      </c>
      <c r="N5" s="2">
        <v>0</v>
      </c>
      <c r="O5" s="2">
        <v>0</v>
      </c>
      <c r="P5" s="2">
        <v>0</v>
      </c>
      <c r="Q5" s="4">
        <f>B4</f>
        <v>4500000000</v>
      </c>
      <c r="S5" s="2">
        <v>0</v>
      </c>
      <c r="T5" s="2">
        <v>0</v>
      </c>
      <c r="U5" s="2">
        <v>0</v>
      </c>
      <c r="V5" s="2">
        <v>0</v>
      </c>
      <c r="W5" s="4">
        <f>B5</f>
        <v>3000000000</v>
      </c>
    </row>
    <row r="6" spans="1:23">
      <c r="G6" s="2">
        <v>1</v>
      </c>
      <c r="H6" s="4">
        <f>K5</f>
        <v>2500000000</v>
      </c>
      <c r="I6" s="4">
        <f>($B$3-$D$3)/$C$3</f>
        <v>200000000</v>
      </c>
      <c r="J6" s="4">
        <f>J5+I6</f>
        <v>200000000</v>
      </c>
      <c r="K6" s="4">
        <f>($B$3-J6)</f>
        <v>2300000000</v>
      </c>
      <c r="M6" s="2">
        <v>1</v>
      </c>
      <c r="N6" s="4">
        <f>Q5</f>
        <v>4500000000</v>
      </c>
      <c r="O6" s="4">
        <f>($B$4-$D$4)/$C$4</f>
        <v>350000000</v>
      </c>
      <c r="P6" s="4">
        <f>P5+O6</f>
        <v>350000000</v>
      </c>
      <c r="Q6" s="4">
        <f>($B$4-P6)</f>
        <v>4150000000</v>
      </c>
      <c r="S6" s="2">
        <v>1</v>
      </c>
      <c r="T6" s="4">
        <f>W5</f>
        <v>3000000000</v>
      </c>
      <c r="U6" s="4">
        <f>($B$5-$D$5)/$C$5</f>
        <v>300000000</v>
      </c>
      <c r="V6" s="4">
        <f>V5+U6</f>
        <v>300000000</v>
      </c>
      <c r="W6" s="4">
        <f>($B$5-V6)</f>
        <v>2700000000</v>
      </c>
    </row>
    <row r="7" spans="1:23">
      <c r="G7" s="2">
        <v>2</v>
      </c>
      <c r="H7" s="4">
        <f t="shared" ref="H7:H15" si="0">K6</f>
        <v>2300000000</v>
      </c>
      <c r="I7" s="4">
        <f t="shared" ref="I7:I15" si="1">($B$3-$D$3)/$C$3</f>
        <v>200000000</v>
      </c>
      <c r="J7" s="4">
        <f t="shared" ref="J7:J15" si="2">J6+I7</f>
        <v>400000000</v>
      </c>
      <c r="K7" s="4">
        <f t="shared" ref="K7:K15" si="3">($B$3-J7)</f>
        <v>2100000000</v>
      </c>
      <c r="M7" s="2">
        <v>2</v>
      </c>
      <c r="N7" s="4">
        <f t="shared" ref="N7:N15" si="4">Q6</f>
        <v>4150000000</v>
      </c>
      <c r="O7" s="4">
        <f t="shared" ref="O7:O15" si="5">($B$4-$D$4)/$C$4</f>
        <v>350000000</v>
      </c>
      <c r="P7" s="4">
        <f t="shared" ref="P7:P15" si="6">P6+O7</f>
        <v>700000000</v>
      </c>
      <c r="Q7" s="4">
        <f t="shared" ref="Q7:Q15" si="7">($B$4-P7)</f>
        <v>3800000000</v>
      </c>
      <c r="S7" s="2">
        <v>2</v>
      </c>
      <c r="T7" s="4">
        <f t="shared" ref="T7:T15" si="8">W6</f>
        <v>2700000000</v>
      </c>
      <c r="U7" s="4">
        <f t="shared" ref="U7:U15" si="9">($B$5-$D$5)/$C$5</f>
        <v>300000000</v>
      </c>
      <c r="V7" s="4">
        <f t="shared" ref="V7:V15" si="10">V6+U7</f>
        <v>600000000</v>
      </c>
      <c r="W7" s="4">
        <f t="shared" ref="W7:W15" si="11">($B$5-V7)</f>
        <v>2400000000</v>
      </c>
    </row>
    <row r="8" spans="1:23">
      <c r="G8" s="2">
        <v>3</v>
      </c>
      <c r="H8" s="4">
        <f t="shared" si="0"/>
        <v>2100000000</v>
      </c>
      <c r="I8" s="4">
        <f t="shared" si="1"/>
        <v>200000000</v>
      </c>
      <c r="J8" s="4">
        <f t="shared" si="2"/>
        <v>600000000</v>
      </c>
      <c r="K8" s="4">
        <f t="shared" si="3"/>
        <v>1900000000</v>
      </c>
      <c r="M8" s="2">
        <v>3</v>
      </c>
      <c r="N8" s="4">
        <f t="shared" si="4"/>
        <v>3800000000</v>
      </c>
      <c r="O8" s="4">
        <f t="shared" si="5"/>
        <v>350000000</v>
      </c>
      <c r="P8" s="4">
        <f t="shared" si="6"/>
        <v>1050000000</v>
      </c>
      <c r="Q8" s="4">
        <f t="shared" si="7"/>
        <v>3450000000</v>
      </c>
      <c r="S8" s="2">
        <v>3</v>
      </c>
      <c r="T8" s="4">
        <f t="shared" si="8"/>
        <v>2400000000</v>
      </c>
      <c r="U8" s="4">
        <f t="shared" si="9"/>
        <v>300000000</v>
      </c>
      <c r="V8" s="4">
        <f t="shared" si="10"/>
        <v>900000000</v>
      </c>
      <c r="W8" s="4">
        <f t="shared" si="11"/>
        <v>2100000000</v>
      </c>
    </row>
    <row r="9" spans="1:23">
      <c r="G9" s="2">
        <v>4</v>
      </c>
      <c r="H9" s="4">
        <f t="shared" si="0"/>
        <v>1900000000</v>
      </c>
      <c r="I9" s="4">
        <f t="shared" si="1"/>
        <v>200000000</v>
      </c>
      <c r="J9" s="4">
        <f t="shared" si="2"/>
        <v>800000000</v>
      </c>
      <c r="K9" s="4">
        <f t="shared" si="3"/>
        <v>1700000000</v>
      </c>
      <c r="M9" s="2">
        <v>4</v>
      </c>
      <c r="N9" s="4">
        <f t="shared" si="4"/>
        <v>3450000000</v>
      </c>
      <c r="O9" s="4">
        <f t="shared" si="5"/>
        <v>350000000</v>
      </c>
      <c r="P9" s="4">
        <f t="shared" si="6"/>
        <v>1400000000</v>
      </c>
      <c r="Q9" s="4">
        <f t="shared" si="7"/>
        <v>3100000000</v>
      </c>
      <c r="S9" s="2">
        <v>4</v>
      </c>
      <c r="T9" s="4">
        <f t="shared" si="8"/>
        <v>2100000000</v>
      </c>
      <c r="U9" s="4">
        <f t="shared" si="9"/>
        <v>300000000</v>
      </c>
      <c r="V9" s="4">
        <f t="shared" si="10"/>
        <v>1200000000</v>
      </c>
      <c r="W9" s="4">
        <f t="shared" si="11"/>
        <v>1800000000</v>
      </c>
    </row>
    <row r="10" spans="1:23">
      <c r="A10" s="1" t="s">
        <v>29</v>
      </c>
      <c r="B10" s="1" t="s">
        <v>125</v>
      </c>
      <c r="C10" s="1" t="s">
        <v>128</v>
      </c>
      <c r="D10" s="1" t="s">
        <v>126</v>
      </c>
      <c r="E10" s="1" t="s">
        <v>127</v>
      </c>
      <c r="G10" s="2">
        <v>5</v>
      </c>
      <c r="H10" s="4">
        <f t="shared" si="0"/>
        <v>1700000000</v>
      </c>
      <c r="I10" s="4">
        <f t="shared" si="1"/>
        <v>200000000</v>
      </c>
      <c r="J10" s="4">
        <f t="shared" si="2"/>
        <v>1000000000</v>
      </c>
      <c r="K10" s="4">
        <f t="shared" si="3"/>
        <v>1500000000</v>
      </c>
      <c r="M10" s="2">
        <v>5</v>
      </c>
      <c r="N10" s="4">
        <f t="shared" si="4"/>
        <v>3100000000</v>
      </c>
      <c r="O10" s="4">
        <f t="shared" si="5"/>
        <v>350000000</v>
      </c>
      <c r="P10" s="4">
        <f t="shared" si="6"/>
        <v>1750000000</v>
      </c>
      <c r="Q10" s="4">
        <f t="shared" si="7"/>
        <v>2750000000</v>
      </c>
      <c r="S10" s="2">
        <v>5</v>
      </c>
      <c r="T10" s="4">
        <f t="shared" si="8"/>
        <v>1800000000</v>
      </c>
      <c r="U10" s="4">
        <f t="shared" si="9"/>
        <v>300000000</v>
      </c>
      <c r="V10" s="4">
        <f t="shared" si="10"/>
        <v>1500000000</v>
      </c>
      <c r="W10" s="4">
        <f t="shared" si="11"/>
        <v>1500000000</v>
      </c>
    </row>
    <row r="11" spans="1:23">
      <c r="A11" s="2">
        <v>1</v>
      </c>
      <c r="B11" s="2">
        <v>200000</v>
      </c>
      <c r="C11" s="4">
        <f>50000*B11</f>
        <v>10000000000</v>
      </c>
      <c r="D11" s="4">
        <f>24000*B11+2500000000+5000000000</f>
        <v>12300000000</v>
      </c>
      <c r="E11" s="4">
        <f>0.15*C11</f>
        <v>1500000000</v>
      </c>
      <c r="G11" s="2">
        <v>6</v>
      </c>
      <c r="H11" s="4">
        <f t="shared" si="0"/>
        <v>1500000000</v>
      </c>
      <c r="I11" s="4">
        <f t="shared" si="1"/>
        <v>200000000</v>
      </c>
      <c r="J11" s="4">
        <f t="shared" si="2"/>
        <v>1200000000</v>
      </c>
      <c r="K11" s="4">
        <f t="shared" si="3"/>
        <v>1300000000</v>
      </c>
      <c r="M11" s="2">
        <v>6</v>
      </c>
      <c r="N11" s="4">
        <f t="shared" si="4"/>
        <v>2750000000</v>
      </c>
      <c r="O11" s="4">
        <f t="shared" si="5"/>
        <v>350000000</v>
      </c>
      <c r="P11" s="4">
        <f t="shared" si="6"/>
        <v>2100000000</v>
      </c>
      <c r="Q11" s="4">
        <f t="shared" si="7"/>
        <v>2400000000</v>
      </c>
      <c r="S11" s="2">
        <v>6</v>
      </c>
      <c r="T11" s="4">
        <f t="shared" si="8"/>
        <v>1500000000</v>
      </c>
      <c r="U11" s="4">
        <f t="shared" si="9"/>
        <v>300000000</v>
      </c>
      <c r="V11" s="4">
        <f t="shared" si="10"/>
        <v>1800000000</v>
      </c>
      <c r="W11" s="4">
        <f t="shared" si="11"/>
        <v>1200000000</v>
      </c>
    </row>
    <row r="12" spans="1:23">
      <c r="A12" s="2">
        <v>2</v>
      </c>
      <c r="B12" s="2">
        <f>B11+1000</f>
        <v>201000</v>
      </c>
      <c r="C12" s="4">
        <f t="shared" ref="C12:C21" si="12">50000*B12</f>
        <v>10050000000</v>
      </c>
      <c r="D12" s="4">
        <f t="shared" ref="D12:D21" si="13">24000*B12+2500000000+5000000000</f>
        <v>12324000000</v>
      </c>
      <c r="E12" s="4">
        <f t="shared" ref="E12:E21" si="14">0.15*C12</f>
        <v>1507500000</v>
      </c>
      <c r="G12" s="2">
        <v>7</v>
      </c>
      <c r="H12" s="4">
        <f t="shared" si="0"/>
        <v>1300000000</v>
      </c>
      <c r="I12" s="4">
        <f t="shared" si="1"/>
        <v>200000000</v>
      </c>
      <c r="J12" s="4">
        <f t="shared" si="2"/>
        <v>1400000000</v>
      </c>
      <c r="K12" s="4">
        <f t="shared" si="3"/>
        <v>1100000000</v>
      </c>
      <c r="M12" s="2">
        <v>7</v>
      </c>
      <c r="N12" s="4">
        <f t="shared" si="4"/>
        <v>2400000000</v>
      </c>
      <c r="O12" s="4">
        <f t="shared" si="5"/>
        <v>350000000</v>
      </c>
      <c r="P12" s="4">
        <f t="shared" si="6"/>
        <v>2450000000</v>
      </c>
      <c r="Q12" s="4">
        <f t="shared" si="7"/>
        <v>2050000000</v>
      </c>
      <c r="S12" s="2">
        <v>7</v>
      </c>
      <c r="T12" s="4">
        <f t="shared" si="8"/>
        <v>1200000000</v>
      </c>
      <c r="U12" s="4">
        <f t="shared" si="9"/>
        <v>300000000</v>
      </c>
      <c r="V12" s="4">
        <f t="shared" si="10"/>
        <v>2100000000</v>
      </c>
      <c r="W12" s="4">
        <f t="shared" si="11"/>
        <v>900000000</v>
      </c>
    </row>
    <row r="13" spans="1:23">
      <c r="A13" s="2">
        <v>3</v>
      </c>
      <c r="B13" s="2">
        <f>B12</f>
        <v>201000</v>
      </c>
      <c r="C13" s="4">
        <f t="shared" si="12"/>
        <v>10050000000</v>
      </c>
      <c r="D13" s="4">
        <f t="shared" si="13"/>
        <v>12324000000</v>
      </c>
      <c r="E13" s="4">
        <f t="shared" si="14"/>
        <v>1507500000</v>
      </c>
      <c r="G13" s="2">
        <v>8</v>
      </c>
      <c r="H13" s="4">
        <f t="shared" si="0"/>
        <v>1100000000</v>
      </c>
      <c r="I13" s="4">
        <f t="shared" si="1"/>
        <v>200000000</v>
      </c>
      <c r="J13" s="4">
        <f t="shared" si="2"/>
        <v>1600000000</v>
      </c>
      <c r="K13" s="4">
        <f t="shared" si="3"/>
        <v>900000000</v>
      </c>
      <c r="M13" s="2">
        <v>8</v>
      </c>
      <c r="N13" s="4">
        <f t="shared" si="4"/>
        <v>2050000000</v>
      </c>
      <c r="O13" s="4">
        <f t="shared" si="5"/>
        <v>350000000</v>
      </c>
      <c r="P13" s="4">
        <f t="shared" si="6"/>
        <v>2800000000</v>
      </c>
      <c r="Q13" s="4">
        <f t="shared" si="7"/>
        <v>1700000000</v>
      </c>
      <c r="S13" s="2">
        <v>8</v>
      </c>
      <c r="T13" s="4">
        <f t="shared" si="8"/>
        <v>900000000</v>
      </c>
      <c r="U13" s="4">
        <f t="shared" si="9"/>
        <v>300000000</v>
      </c>
      <c r="V13" s="4">
        <f t="shared" si="10"/>
        <v>2400000000</v>
      </c>
      <c r="W13" s="4">
        <f t="shared" si="11"/>
        <v>600000000</v>
      </c>
    </row>
    <row r="14" spans="1:23">
      <c r="A14" s="2">
        <v>4</v>
      </c>
      <c r="B14" s="2">
        <f>220000</f>
        <v>220000</v>
      </c>
      <c r="C14" s="4">
        <f t="shared" si="12"/>
        <v>11000000000</v>
      </c>
      <c r="D14" s="4">
        <f t="shared" si="13"/>
        <v>12780000000</v>
      </c>
      <c r="E14" s="4">
        <f t="shared" si="14"/>
        <v>1650000000</v>
      </c>
      <c r="G14" s="2">
        <v>9</v>
      </c>
      <c r="H14" s="4">
        <f t="shared" si="0"/>
        <v>900000000</v>
      </c>
      <c r="I14" s="4">
        <f t="shared" si="1"/>
        <v>200000000</v>
      </c>
      <c r="J14" s="4">
        <f t="shared" si="2"/>
        <v>1800000000</v>
      </c>
      <c r="K14" s="4">
        <f t="shared" si="3"/>
        <v>700000000</v>
      </c>
      <c r="M14" s="2">
        <v>9</v>
      </c>
      <c r="N14" s="4">
        <f t="shared" si="4"/>
        <v>1700000000</v>
      </c>
      <c r="O14" s="4">
        <f t="shared" si="5"/>
        <v>350000000</v>
      </c>
      <c r="P14" s="4">
        <f t="shared" si="6"/>
        <v>3150000000</v>
      </c>
      <c r="Q14" s="4">
        <f t="shared" si="7"/>
        <v>1350000000</v>
      </c>
      <c r="S14" s="2">
        <v>9</v>
      </c>
      <c r="T14" s="4">
        <f t="shared" si="8"/>
        <v>600000000</v>
      </c>
      <c r="U14" s="4">
        <f t="shared" si="9"/>
        <v>300000000</v>
      </c>
      <c r="V14" s="4">
        <f t="shared" si="10"/>
        <v>2700000000</v>
      </c>
      <c r="W14" s="4">
        <f t="shared" si="11"/>
        <v>300000000</v>
      </c>
    </row>
    <row r="15" spans="1:23">
      <c r="A15" s="2">
        <v>5</v>
      </c>
      <c r="B15" s="2">
        <f t="shared" ref="B15:B21" si="15">220000</f>
        <v>220000</v>
      </c>
      <c r="C15" s="4">
        <f t="shared" si="12"/>
        <v>11000000000</v>
      </c>
      <c r="D15" s="4">
        <f t="shared" si="13"/>
        <v>12780000000</v>
      </c>
      <c r="E15" s="4">
        <f t="shared" si="14"/>
        <v>1650000000</v>
      </c>
      <c r="G15" s="2">
        <v>10</v>
      </c>
      <c r="H15" s="4">
        <f t="shared" si="0"/>
        <v>700000000</v>
      </c>
      <c r="I15" s="4">
        <f t="shared" si="1"/>
        <v>200000000</v>
      </c>
      <c r="J15" s="4">
        <f t="shared" si="2"/>
        <v>2000000000</v>
      </c>
      <c r="K15" s="4">
        <f t="shared" si="3"/>
        <v>500000000</v>
      </c>
      <c r="M15" s="2">
        <v>10</v>
      </c>
      <c r="N15" s="4">
        <f t="shared" si="4"/>
        <v>1350000000</v>
      </c>
      <c r="O15" s="4">
        <f t="shared" si="5"/>
        <v>350000000</v>
      </c>
      <c r="P15" s="4">
        <f t="shared" si="6"/>
        <v>3500000000</v>
      </c>
      <c r="Q15" s="4">
        <f t="shared" si="7"/>
        <v>1000000000</v>
      </c>
      <c r="S15" s="2">
        <v>10</v>
      </c>
      <c r="T15" s="4">
        <f t="shared" si="8"/>
        <v>300000000</v>
      </c>
      <c r="U15" s="4">
        <f t="shared" si="9"/>
        <v>300000000</v>
      </c>
      <c r="V15" s="4">
        <f t="shared" si="10"/>
        <v>3000000000</v>
      </c>
      <c r="W15" s="4">
        <f t="shared" si="11"/>
        <v>0</v>
      </c>
    </row>
    <row r="16" spans="1:23">
      <c r="A16" s="2">
        <v>6</v>
      </c>
      <c r="B16" s="2">
        <f t="shared" si="15"/>
        <v>220000</v>
      </c>
      <c r="C16" s="4">
        <f t="shared" si="12"/>
        <v>11000000000</v>
      </c>
      <c r="D16" s="4">
        <f t="shared" si="13"/>
        <v>12780000000</v>
      </c>
      <c r="E16" s="4">
        <f t="shared" si="14"/>
        <v>1650000000</v>
      </c>
    </row>
    <row r="17" spans="1:5">
      <c r="A17" s="2">
        <v>7</v>
      </c>
      <c r="B17" s="2">
        <f t="shared" si="15"/>
        <v>220000</v>
      </c>
      <c r="C17" s="4">
        <f t="shared" si="12"/>
        <v>11000000000</v>
      </c>
      <c r="D17" s="4">
        <f t="shared" si="13"/>
        <v>12780000000</v>
      </c>
      <c r="E17" s="4">
        <f t="shared" si="14"/>
        <v>1650000000</v>
      </c>
    </row>
    <row r="18" spans="1:5">
      <c r="A18" s="2">
        <v>8</v>
      </c>
      <c r="B18" s="2">
        <f t="shared" si="15"/>
        <v>220000</v>
      </c>
      <c r="C18" s="4">
        <f t="shared" si="12"/>
        <v>11000000000</v>
      </c>
      <c r="D18" s="4">
        <f t="shared" si="13"/>
        <v>12780000000</v>
      </c>
      <c r="E18" s="4">
        <f t="shared" si="14"/>
        <v>1650000000</v>
      </c>
    </row>
    <row r="19" spans="1:5">
      <c r="A19" s="2">
        <v>9</v>
      </c>
      <c r="B19" s="2">
        <f t="shared" si="15"/>
        <v>220000</v>
      </c>
      <c r="C19" s="4">
        <f t="shared" si="12"/>
        <v>11000000000</v>
      </c>
      <c r="D19" s="4">
        <f t="shared" si="13"/>
        <v>12780000000</v>
      </c>
      <c r="E19" s="4">
        <f t="shared" si="14"/>
        <v>1650000000</v>
      </c>
    </row>
    <row r="20" spans="1:5">
      <c r="A20" s="2">
        <v>10</v>
      </c>
      <c r="B20" s="2">
        <f t="shared" si="15"/>
        <v>220000</v>
      </c>
      <c r="C20" s="4">
        <f t="shared" si="12"/>
        <v>11000000000</v>
      </c>
      <c r="D20" s="4">
        <f t="shared" si="13"/>
        <v>12780000000</v>
      </c>
      <c r="E20" s="4">
        <f t="shared" si="14"/>
        <v>1650000000</v>
      </c>
    </row>
    <row r="23" spans="1:5">
      <c r="A23" s="1" t="s">
        <v>116</v>
      </c>
      <c r="B23" s="1" t="s">
        <v>129</v>
      </c>
    </row>
    <row r="24" spans="1:5">
      <c r="A24" s="33" t="s">
        <v>130</v>
      </c>
      <c r="B24" s="4">
        <v>1000000000</v>
      </c>
    </row>
    <row r="25" spans="1:5">
      <c r="A25" s="33" t="s">
        <v>108</v>
      </c>
      <c r="B25" s="4">
        <v>1500000000</v>
      </c>
    </row>
    <row r="26" spans="1:5">
      <c r="A26" s="33" t="s">
        <v>120</v>
      </c>
      <c r="B26" s="4">
        <v>1000000000</v>
      </c>
    </row>
    <row r="27" spans="1:5">
      <c r="A27" s="33" t="s">
        <v>121</v>
      </c>
      <c r="B27" s="4">
        <v>800000000</v>
      </c>
    </row>
    <row r="33" spans="1:10">
      <c r="A33" s="1" t="s">
        <v>29</v>
      </c>
      <c r="B33" s="1" t="s">
        <v>131</v>
      </c>
      <c r="C33" s="1" t="s">
        <v>132</v>
      </c>
      <c r="D33" s="1" t="s">
        <v>133</v>
      </c>
      <c r="E33" s="1" t="s">
        <v>134</v>
      </c>
      <c r="F33" s="1" t="s">
        <v>135</v>
      </c>
      <c r="G33" s="1" t="s">
        <v>145</v>
      </c>
      <c r="H33" s="1" t="s">
        <v>136</v>
      </c>
      <c r="I33" s="1" t="s">
        <v>137</v>
      </c>
      <c r="J33" s="1" t="s">
        <v>138</v>
      </c>
    </row>
    <row r="34" spans="1:10">
      <c r="A34" s="2">
        <v>0</v>
      </c>
      <c r="B34" s="4">
        <v>0</v>
      </c>
      <c r="C34" s="4">
        <v>0</v>
      </c>
      <c r="D34" s="4">
        <f>I5+O5+U5</f>
        <v>0</v>
      </c>
      <c r="E34" s="4">
        <f>B34-C34-D34</f>
        <v>0</v>
      </c>
      <c r="F34" s="4">
        <f>SUM(B2:B5)</f>
        <v>11000000000</v>
      </c>
      <c r="G34" s="4">
        <v>0</v>
      </c>
      <c r="H34" s="4">
        <v>0</v>
      </c>
      <c r="I34" s="4">
        <f>E34*0.3</f>
        <v>0</v>
      </c>
      <c r="J34" s="4">
        <f>D34+E34-F34-H34-I34</f>
        <v>-11000000000</v>
      </c>
    </row>
    <row r="35" spans="1:10">
      <c r="A35" s="2">
        <v>1</v>
      </c>
      <c r="B35" s="4">
        <f>C11</f>
        <v>10000000000</v>
      </c>
      <c r="C35" s="4">
        <f>D11</f>
        <v>12300000000</v>
      </c>
      <c r="D35" s="4">
        <f t="shared" ref="D35:D44" si="16">I6+O6+U6</f>
        <v>850000000</v>
      </c>
      <c r="E35" s="4">
        <f t="shared" ref="E35:E44" si="17">B35-C35-D35</f>
        <v>-3150000000</v>
      </c>
      <c r="F35" s="4">
        <v>0</v>
      </c>
      <c r="G35" s="4">
        <f>E11</f>
        <v>1500000000</v>
      </c>
      <c r="H35" s="4">
        <f>G35-G34</f>
        <v>1500000000</v>
      </c>
      <c r="I35" s="4">
        <f t="shared" ref="I35:I44" si="18">E35*0.3</f>
        <v>-945000000</v>
      </c>
      <c r="J35" s="4">
        <f t="shared" ref="J35:J44" si="19">D35+E35-F35-H35-I35</f>
        <v>-2855000000</v>
      </c>
    </row>
    <row r="36" spans="1:10">
      <c r="A36" s="2">
        <v>2</v>
      </c>
      <c r="B36" s="4">
        <f t="shared" ref="B36:C44" si="20">C12</f>
        <v>10050000000</v>
      </c>
      <c r="C36" s="4">
        <f t="shared" si="20"/>
        <v>12324000000</v>
      </c>
      <c r="D36" s="4">
        <f t="shared" si="16"/>
        <v>850000000</v>
      </c>
      <c r="E36" s="4">
        <f t="shared" si="17"/>
        <v>-3124000000</v>
      </c>
      <c r="F36" s="4">
        <v>0</v>
      </c>
      <c r="G36" s="4">
        <f t="shared" ref="G36:G44" si="21">E12</f>
        <v>1507500000</v>
      </c>
      <c r="H36" s="4">
        <f t="shared" ref="H36:H44" si="22">G36-G35</f>
        <v>7500000</v>
      </c>
      <c r="I36" s="4">
        <f t="shared" si="18"/>
        <v>-937200000</v>
      </c>
      <c r="J36" s="4">
        <f t="shared" si="19"/>
        <v>-1344300000</v>
      </c>
    </row>
    <row r="37" spans="1:10">
      <c r="A37" s="2">
        <v>3</v>
      </c>
      <c r="B37" s="4">
        <f t="shared" si="20"/>
        <v>10050000000</v>
      </c>
      <c r="C37" s="4">
        <f t="shared" si="20"/>
        <v>12324000000</v>
      </c>
      <c r="D37" s="4">
        <f t="shared" si="16"/>
        <v>850000000</v>
      </c>
      <c r="E37" s="4">
        <f t="shared" si="17"/>
        <v>-3124000000</v>
      </c>
      <c r="F37" s="4">
        <v>0</v>
      </c>
      <c r="G37" s="4">
        <f t="shared" si="21"/>
        <v>1507500000</v>
      </c>
      <c r="H37" s="4">
        <f t="shared" si="22"/>
        <v>0</v>
      </c>
      <c r="I37" s="4">
        <f t="shared" si="18"/>
        <v>-937200000</v>
      </c>
      <c r="J37" s="4">
        <f t="shared" si="19"/>
        <v>-1336800000</v>
      </c>
    </row>
    <row r="38" spans="1:10">
      <c r="A38" s="2">
        <v>4</v>
      </c>
      <c r="B38" s="4">
        <f t="shared" si="20"/>
        <v>11000000000</v>
      </c>
      <c r="C38" s="4">
        <f t="shared" si="20"/>
        <v>12780000000</v>
      </c>
      <c r="D38" s="4">
        <f t="shared" si="16"/>
        <v>850000000</v>
      </c>
      <c r="E38" s="4">
        <f t="shared" si="17"/>
        <v>-2630000000</v>
      </c>
      <c r="F38" s="4">
        <v>0</v>
      </c>
      <c r="G38" s="4">
        <f t="shared" si="21"/>
        <v>1650000000</v>
      </c>
      <c r="H38" s="4">
        <f t="shared" si="22"/>
        <v>142500000</v>
      </c>
      <c r="I38" s="4">
        <f t="shared" si="18"/>
        <v>-789000000</v>
      </c>
      <c r="J38" s="4">
        <f t="shared" si="19"/>
        <v>-1133500000</v>
      </c>
    </row>
    <row r="39" spans="1:10">
      <c r="A39" s="2">
        <v>5</v>
      </c>
      <c r="B39" s="4">
        <f t="shared" si="20"/>
        <v>11000000000</v>
      </c>
      <c r="C39" s="4">
        <f t="shared" si="20"/>
        <v>12780000000</v>
      </c>
      <c r="D39" s="4">
        <f t="shared" si="16"/>
        <v>850000000</v>
      </c>
      <c r="E39" s="4">
        <f t="shared" si="17"/>
        <v>-2630000000</v>
      </c>
      <c r="F39" s="4">
        <v>0</v>
      </c>
      <c r="G39" s="4">
        <f t="shared" si="21"/>
        <v>1650000000</v>
      </c>
      <c r="H39" s="4">
        <f t="shared" si="22"/>
        <v>0</v>
      </c>
      <c r="I39" s="4">
        <f t="shared" si="18"/>
        <v>-789000000</v>
      </c>
      <c r="J39" s="4">
        <f t="shared" si="19"/>
        <v>-991000000</v>
      </c>
    </row>
    <row r="40" spans="1:10">
      <c r="A40" s="2">
        <v>6</v>
      </c>
      <c r="B40" s="4">
        <f t="shared" si="20"/>
        <v>11000000000</v>
      </c>
      <c r="C40" s="4">
        <f t="shared" si="20"/>
        <v>12780000000</v>
      </c>
      <c r="D40" s="4">
        <f t="shared" si="16"/>
        <v>850000000</v>
      </c>
      <c r="E40" s="4">
        <f t="shared" si="17"/>
        <v>-2630000000</v>
      </c>
      <c r="F40" s="4">
        <v>0</v>
      </c>
      <c r="G40" s="4">
        <f t="shared" si="21"/>
        <v>1650000000</v>
      </c>
      <c r="H40" s="4">
        <f t="shared" si="22"/>
        <v>0</v>
      </c>
      <c r="I40" s="4">
        <f t="shared" si="18"/>
        <v>-789000000</v>
      </c>
      <c r="J40" s="4">
        <f t="shared" si="19"/>
        <v>-991000000</v>
      </c>
    </row>
    <row r="41" spans="1:10">
      <c r="A41" s="2">
        <v>7</v>
      </c>
      <c r="B41" s="4">
        <f t="shared" si="20"/>
        <v>11000000000</v>
      </c>
      <c r="C41" s="4">
        <f t="shared" si="20"/>
        <v>12780000000</v>
      </c>
      <c r="D41" s="4">
        <f t="shared" si="16"/>
        <v>850000000</v>
      </c>
      <c r="E41" s="4">
        <f t="shared" si="17"/>
        <v>-2630000000</v>
      </c>
      <c r="F41" s="4">
        <v>0</v>
      </c>
      <c r="G41" s="4">
        <f t="shared" si="21"/>
        <v>1650000000</v>
      </c>
      <c r="H41" s="4">
        <f t="shared" si="22"/>
        <v>0</v>
      </c>
      <c r="I41" s="4">
        <f t="shared" si="18"/>
        <v>-789000000</v>
      </c>
      <c r="J41" s="4">
        <f t="shared" si="19"/>
        <v>-991000000</v>
      </c>
    </row>
    <row r="42" spans="1:10">
      <c r="A42" s="2">
        <v>8</v>
      </c>
      <c r="B42" s="4">
        <f t="shared" si="20"/>
        <v>11000000000</v>
      </c>
      <c r="C42" s="4">
        <f t="shared" si="20"/>
        <v>12780000000</v>
      </c>
      <c r="D42" s="4">
        <f t="shared" si="16"/>
        <v>850000000</v>
      </c>
      <c r="E42" s="4">
        <f t="shared" si="17"/>
        <v>-2630000000</v>
      </c>
      <c r="F42" s="4">
        <v>0</v>
      </c>
      <c r="G42" s="4">
        <f t="shared" si="21"/>
        <v>1650000000</v>
      </c>
      <c r="H42" s="4">
        <f t="shared" si="22"/>
        <v>0</v>
      </c>
      <c r="I42" s="4">
        <f t="shared" si="18"/>
        <v>-789000000</v>
      </c>
      <c r="J42" s="4">
        <f t="shared" si="19"/>
        <v>-991000000</v>
      </c>
    </row>
    <row r="43" spans="1:10">
      <c r="A43" s="2">
        <v>9</v>
      </c>
      <c r="B43" s="4">
        <f t="shared" si="20"/>
        <v>11000000000</v>
      </c>
      <c r="C43" s="4">
        <f t="shared" si="20"/>
        <v>12780000000</v>
      </c>
      <c r="D43" s="4">
        <f t="shared" si="16"/>
        <v>850000000</v>
      </c>
      <c r="E43" s="4">
        <f t="shared" si="17"/>
        <v>-2630000000</v>
      </c>
      <c r="F43" s="4">
        <v>0</v>
      </c>
      <c r="G43" s="4">
        <f t="shared" si="21"/>
        <v>1650000000</v>
      </c>
      <c r="H43" s="4">
        <f t="shared" si="22"/>
        <v>0</v>
      </c>
      <c r="I43" s="4">
        <f t="shared" si="18"/>
        <v>-789000000</v>
      </c>
      <c r="J43" s="4">
        <f t="shared" si="19"/>
        <v>-991000000</v>
      </c>
    </row>
    <row r="44" spans="1:10">
      <c r="A44" s="2">
        <v>10</v>
      </c>
      <c r="B44" s="4">
        <f t="shared" si="20"/>
        <v>11000000000</v>
      </c>
      <c r="C44" s="4">
        <f t="shared" si="20"/>
        <v>12780000000</v>
      </c>
      <c r="D44" s="4">
        <f t="shared" si="16"/>
        <v>850000000</v>
      </c>
      <c r="E44" s="4">
        <f t="shared" si="17"/>
        <v>-2630000000</v>
      </c>
      <c r="F44" s="4">
        <f>-SUM(B24:B27)</f>
        <v>-4300000000</v>
      </c>
      <c r="G44" s="4">
        <f t="shared" si="21"/>
        <v>1650000000</v>
      </c>
      <c r="H44" s="4">
        <f t="shared" si="22"/>
        <v>0</v>
      </c>
      <c r="I44" s="4">
        <f t="shared" si="18"/>
        <v>-789000000</v>
      </c>
      <c r="J44" s="4">
        <f t="shared" si="19"/>
        <v>3309000000</v>
      </c>
    </row>
    <row r="47" spans="1:10">
      <c r="A47" s="80" t="s">
        <v>146</v>
      </c>
      <c r="B47" s="79"/>
      <c r="C47" s="79"/>
    </row>
    <row r="48" spans="1:10">
      <c r="A48" s="80" t="s">
        <v>97</v>
      </c>
      <c r="B48" s="79"/>
      <c r="C48" s="79"/>
    </row>
    <row r="49" spans="1:4">
      <c r="A49" s="81" t="s">
        <v>1</v>
      </c>
      <c r="B49" s="4">
        <v>22000</v>
      </c>
      <c r="C49" s="79"/>
    </row>
    <row r="50" spans="1:4">
      <c r="A50" s="81" t="s">
        <v>147</v>
      </c>
      <c r="B50" s="4">
        <v>6000</v>
      </c>
      <c r="C50" s="79"/>
    </row>
    <row r="51" spans="1:4">
      <c r="A51" s="81" t="s">
        <v>148</v>
      </c>
      <c r="B51" s="77">
        <v>0.03</v>
      </c>
      <c r="C51" s="79"/>
    </row>
    <row r="52" spans="1:4">
      <c r="A52" s="80" t="s">
        <v>107</v>
      </c>
      <c r="B52" s="80" t="s">
        <v>149</v>
      </c>
      <c r="C52" s="80" t="s">
        <v>150</v>
      </c>
    </row>
    <row r="53" spans="1:4">
      <c r="A53" s="81" t="s">
        <v>25</v>
      </c>
      <c r="B53" s="4">
        <v>3000000000</v>
      </c>
      <c r="C53" s="4">
        <v>4000000000</v>
      </c>
    </row>
    <row r="54" spans="1:4">
      <c r="A54" s="81" t="s">
        <v>32</v>
      </c>
      <c r="B54" s="77">
        <v>7.0000000000000007E-2</v>
      </c>
      <c r="C54" s="5">
        <v>0.14499999999999999</v>
      </c>
    </row>
    <row r="55" spans="1:4">
      <c r="A55" s="81" t="s">
        <v>151</v>
      </c>
      <c r="B55" s="2">
        <v>5</v>
      </c>
      <c r="C55" s="78">
        <v>8</v>
      </c>
    </row>
    <row r="56" spans="1:4">
      <c r="A56" s="81" t="s">
        <v>44</v>
      </c>
      <c r="B56" s="77">
        <v>0.03</v>
      </c>
      <c r="C56" s="2"/>
    </row>
    <row r="57" spans="1:4">
      <c r="A57" s="81" t="s">
        <v>73</v>
      </c>
      <c r="B57" s="2" t="s">
        <v>21</v>
      </c>
      <c r="C57" s="2" t="s">
        <v>152</v>
      </c>
    </row>
    <row r="60" spans="1:4">
      <c r="A60" s="81" t="s">
        <v>154</v>
      </c>
      <c r="B60" s="4">
        <f>B50*(1+B51)</f>
        <v>6180</v>
      </c>
    </row>
    <row r="61" spans="1:4">
      <c r="A61" s="81" t="s">
        <v>155</v>
      </c>
      <c r="B61" s="4">
        <f>B49</f>
        <v>22000</v>
      </c>
      <c r="D61" s="76">
        <v>0</v>
      </c>
    </row>
    <row r="62" spans="1:4">
      <c r="A62" s="81" t="s">
        <v>153</v>
      </c>
      <c r="B62" s="82">
        <f>(B60/B61)+B51</f>
        <v>0.31090909090909091</v>
      </c>
    </row>
    <row r="64" spans="1:4">
      <c r="A64" s="81" t="s">
        <v>156</v>
      </c>
      <c r="B64" s="83">
        <f>(C54/2)*(1-30%)</f>
        <v>5.0749999999999997E-2</v>
      </c>
    </row>
    <row r="67" spans="1:11">
      <c r="A67" s="80" t="s">
        <v>86</v>
      </c>
      <c r="B67" s="4">
        <f>B53/5</f>
        <v>600000000</v>
      </c>
    </row>
    <row r="69" spans="1:11">
      <c r="A69" s="80" t="s">
        <v>29</v>
      </c>
      <c r="B69" s="80" t="s">
        <v>30</v>
      </c>
      <c r="C69" s="80" t="s">
        <v>31</v>
      </c>
      <c r="D69" s="80" t="s">
        <v>32</v>
      </c>
      <c r="E69" s="80" t="s">
        <v>33</v>
      </c>
      <c r="F69" s="80" t="s">
        <v>28</v>
      </c>
      <c r="G69" s="80" t="s">
        <v>34</v>
      </c>
      <c r="H69" s="80" t="s">
        <v>44</v>
      </c>
      <c r="I69" s="85" t="s">
        <v>35</v>
      </c>
      <c r="J69" s="85" t="s">
        <v>157</v>
      </c>
      <c r="K69" s="85" t="s">
        <v>91</v>
      </c>
    </row>
    <row r="70" spans="1:11">
      <c r="A70" s="86">
        <v>0</v>
      </c>
      <c r="B70" s="87">
        <v>0</v>
      </c>
      <c r="C70" s="87">
        <f>B53</f>
        <v>3000000000</v>
      </c>
      <c r="D70" s="87">
        <v>0</v>
      </c>
      <c r="E70" s="87">
        <v>0</v>
      </c>
      <c r="F70" s="87">
        <v>0</v>
      </c>
      <c r="G70" s="87">
        <f>C70</f>
        <v>3000000000</v>
      </c>
      <c r="H70" s="87">
        <f>0.03*C70</f>
        <v>90000000</v>
      </c>
      <c r="I70" s="88">
        <f>G70-H70</f>
        <v>2910000000</v>
      </c>
      <c r="J70" s="88">
        <f>D61</f>
        <v>0</v>
      </c>
      <c r="K70" s="88">
        <f>I70+J70</f>
        <v>2910000000</v>
      </c>
    </row>
    <row r="71" spans="1:11">
      <c r="A71" s="2">
        <v>1</v>
      </c>
      <c r="B71" s="4">
        <f>G70</f>
        <v>3000000000</v>
      </c>
      <c r="C71" s="4">
        <f>$D$61</f>
        <v>0</v>
      </c>
      <c r="D71" s="4">
        <f>$B$54*B71</f>
        <v>210000000.00000003</v>
      </c>
      <c r="E71" s="4">
        <f>$D$61</f>
        <v>0</v>
      </c>
      <c r="F71" s="4">
        <f>D71+E71</f>
        <v>210000000.00000003</v>
      </c>
      <c r="G71" s="4">
        <f>B71-E71</f>
        <v>3000000000</v>
      </c>
      <c r="H71" s="4">
        <f>$D$61</f>
        <v>0</v>
      </c>
      <c r="I71" s="84">
        <f>C71-F71</f>
        <v>-210000000.00000003</v>
      </c>
      <c r="J71" s="84">
        <f>$D$61</f>
        <v>0</v>
      </c>
      <c r="K71" s="84">
        <f>I71+J71</f>
        <v>-210000000.00000003</v>
      </c>
    </row>
    <row r="72" spans="1:11">
      <c r="A72" s="86">
        <v>2</v>
      </c>
      <c r="B72" s="87">
        <f>G71</f>
        <v>3000000000</v>
      </c>
      <c r="C72" s="87">
        <f>$D$61</f>
        <v>0</v>
      </c>
      <c r="D72" s="87">
        <f>$B$54*B72</f>
        <v>210000000.00000003</v>
      </c>
      <c r="E72" s="87">
        <f>$B$67</f>
        <v>600000000</v>
      </c>
      <c r="F72" s="87">
        <f>D72+E72</f>
        <v>810000000</v>
      </c>
      <c r="G72" s="87">
        <f>B72-E72</f>
        <v>2400000000</v>
      </c>
      <c r="H72" s="87">
        <f>$D$61</f>
        <v>0</v>
      </c>
      <c r="I72" s="88">
        <f>C72-F72</f>
        <v>-810000000</v>
      </c>
      <c r="J72" s="88">
        <f>(H70+D71+D72)*0.3</f>
        <v>153000000</v>
      </c>
      <c r="K72" s="88">
        <f>I72+J72</f>
        <v>-657000000</v>
      </c>
    </row>
    <row r="73" spans="1:11">
      <c r="A73" s="2">
        <v>3</v>
      </c>
      <c r="B73" s="4">
        <f t="shared" ref="B73:B80" si="23">G72</f>
        <v>2400000000</v>
      </c>
      <c r="C73" s="4">
        <f t="shared" ref="C73:C80" si="24">$D$61</f>
        <v>0</v>
      </c>
      <c r="D73" s="4">
        <f t="shared" ref="D73:D81" si="25">$B$54*B73</f>
        <v>168000000.00000003</v>
      </c>
      <c r="E73" s="4">
        <f t="shared" ref="E73:E80" si="26">$D$61</f>
        <v>0</v>
      </c>
      <c r="F73" s="4">
        <f t="shared" ref="F73:F80" si="27">D73+E73</f>
        <v>168000000.00000003</v>
      </c>
      <c r="G73" s="4">
        <f t="shared" ref="G73:G80" si="28">B73-E73</f>
        <v>2400000000</v>
      </c>
      <c r="H73" s="4">
        <f t="shared" ref="H73:H80" si="29">$D$61</f>
        <v>0</v>
      </c>
      <c r="I73" s="84">
        <f t="shared" ref="I73:I80" si="30">C73-F73</f>
        <v>-168000000.00000003</v>
      </c>
      <c r="J73" s="84">
        <f t="shared" ref="J73:J80" si="31">$D$61</f>
        <v>0</v>
      </c>
      <c r="K73" s="84">
        <f t="shared" ref="K73:K80" si="32">I73+J73</f>
        <v>-168000000.00000003</v>
      </c>
    </row>
    <row r="74" spans="1:11">
      <c r="A74" s="86">
        <v>4</v>
      </c>
      <c r="B74" s="87">
        <f t="shared" si="23"/>
        <v>2400000000</v>
      </c>
      <c r="C74" s="87">
        <f t="shared" si="24"/>
        <v>0</v>
      </c>
      <c r="D74" s="87">
        <f t="shared" si="25"/>
        <v>168000000.00000003</v>
      </c>
      <c r="E74" s="87">
        <f t="shared" ref="E74:E80" si="33">$B$67</f>
        <v>600000000</v>
      </c>
      <c r="F74" s="87">
        <f t="shared" si="27"/>
        <v>768000000</v>
      </c>
      <c r="G74" s="87">
        <f t="shared" si="28"/>
        <v>1800000000</v>
      </c>
      <c r="H74" s="87">
        <f t="shared" si="29"/>
        <v>0</v>
      </c>
      <c r="I74" s="88">
        <f t="shared" si="30"/>
        <v>-768000000</v>
      </c>
      <c r="J74" s="88">
        <f t="shared" ref="J74" si="34">(H72+D73+D74)*0.3</f>
        <v>100800000.00000001</v>
      </c>
      <c r="K74" s="88">
        <f t="shared" si="32"/>
        <v>-667200000</v>
      </c>
    </row>
    <row r="75" spans="1:11">
      <c r="A75" s="2">
        <v>5</v>
      </c>
      <c r="B75" s="4">
        <f t="shared" si="23"/>
        <v>1800000000</v>
      </c>
      <c r="C75" s="4">
        <f t="shared" si="24"/>
        <v>0</v>
      </c>
      <c r="D75" s="4">
        <f t="shared" si="25"/>
        <v>126000000.00000001</v>
      </c>
      <c r="E75" s="4">
        <f t="shared" ref="E75:E80" si="35">$D$61</f>
        <v>0</v>
      </c>
      <c r="F75" s="4">
        <f t="shared" si="27"/>
        <v>126000000.00000001</v>
      </c>
      <c r="G75" s="4">
        <f t="shared" si="28"/>
        <v>1800000000</v>
      </c>
      <c r="H75" s="4">
        <f t="shared" si="29"/>
        <v>0</v>
      </c>
      <c r="I75" s="84">
        <f t="shared" si="30"/>
        <v>-126000000.00000001</v>
      </c>
      <c r="J75" s="84">
        <f t="shared" ref="J75:J80" si="36">$D$61</f>
        <v>0</v>
      </c>
      <c r="K75" s="84">
        <f t="shared" si="32"/>
        <v>-126000000.00000001</v>
      </c>
    </row>
    <row r="76" spans="1:11">
      <c r="A76" s="86">
        <v>6</v>
      </c>
      <c r="B76" s="87">
        <f t="shared" si="23"/>
        <v>1800000000</v>
      </c>
      <c r="C76" s="87">
        <f t="shared" si="24"/>
        <v>0</v>
      </c>
      <c r="D76" s="87">
        <f t="shared" si="25"/>
        <v>126000000.00000001</v>
      </c>
      <c r="E76" s="87">
        <f t="shared" ref="E76:E80" si="37">$B$67</f>
        <v>600000000</v>
      </c>
      <c r="F76" s="87">
        <f t="shared" si="27"/>
        <v>726000000</v>
      </c>
      <c r="G76" s="87">
        <f t="shared" si="28"/>
        <v>1200000000</v>
      </c>
      <c r="H76" s="87">
        <f t="shared" si="29"/>
        <v>0</v>
      </c>
      <c r="I76" s="88">
        <f t="shared" si="30"/>
        <v>-726000000</v>
      </c>
      <c r="J76" s="88">
        <f t="shared" ref="J76" si="38">(H74+D75+D76)*0.3</f>
        <v>75600000</v>
      </c>
      <c r="K76" s="88">
        <f t="shared" si="32"/>
        <v>-650400000</v>
      </c>
    </row>
    <row r="77" spans="1:11">
      <c r="A77" s="2">
        <v>7</v>
      </c>
      <c r="B77" s="4">
        <f t="shared" si="23"/>
        <v>1200000000</v>
      </c>
      <c r="C77" s="4">
        <f t="shared" si="24"/>
        <v>0</v>
      </c>
      <c r="D77" s="4">
        <f t="shared" si="25"/>
        <v>84000000.000000015</v>
      </c>
      <c r="E77" s="4">
        <f t="shared" ref="E77:E80" si="39">$D$61</f>
        <v>0</v>
      </c>
      <c r="F77" s="4">
        <f t="shared" si="27"/>
        <v>84000000.000000015</v>
      </c>
      <c r="G77" s="4">
        <f t="shared" si="28"/>
        <v>1200000000</v>
      </c>
      <c r="H77" s="4">
        <f t="shared" si="29"/>
        <v>0</v>
      </c>
      <c r="I77" s="84">
        <f t="shared" si="30"/>
        <v>-84000000.000000015</v>
      </c>
      <c r="J77" s="84">
        <f t="shared" ref="J77:J80" si="40">$D$61</f>
        <v>0</v>
      </c>
      <c r="K77" s="84">
        <f t="shared" si="32"/>
        <v>-84000000.000000015</v>
      </c>
    </row>
    <row r="78" spans="1:11">
      <c r="A78" s="86">
        <v>8</v>
      </c>
      <c r="B78" s="87">
        <f t="shared" si="23"/>
        <v>1200000000</v>
      </c>
      <c r="C78" s="87">
        <f t="shared" si="24"/>
        <v>0</v>
      </c>
      <c r="D78" s="87">
        <f t="shared" si="25"/>
        <v>84000000.000000015</v>
      </c>
      <c r="E78" s="87">
        <f t="shared" ref="E78:E80" si="41">$B$67</f>
        <v>600000000</v>
      </c>
      <c r="F78" s="87">
        <f t="shared" si="27"/>
        <v>684000000</v>
      </c>
      <c r="G78" s="87">
        <f t="shared" si="28"/>
        <v>600000000</v>
      </c>
      <c r="H78" s="87">
        <f t="shared" si="29"/>
        <v>0</v>
      </c>
      <c r="I78" s="88">
        <f t="shared" si="30"/>
        <v>-684000000</v>
      </c>
      <c r="J78" s="88">
        <f t="shared" ref="J78" si="42">(H76+D77+D78)*0.3</f>
        <v>50400000.000000007</v>
      </c>
      <c r="K78" s="88">
        <f t="shared" si="32"/>
        <v>-633600000</v>
      </c>
    </row>
    <row r="79" spans="1:11">
      <c r="A79" s="2">
        <v>9</v>
      </c>
      <c r="B79" s="4">
        <f t="shared" si="23"/>
        <v>600000000</v>
      </c>
      <c r="C79" s="4">
        <f t="shared" si="24"/>
        <v>0</v>
      </c>
      <c r="D79" s="4">
        <f t="shared" si="25"/>
        <v>42000000.000000007</v>
      </c>
      <c r="E79" s="4">
        <f t="shared" ref="E79:E80" si="43">$D$61</f>
        <v>0</v>
      </c>
      <c r="F79" s="4">
        <f t="shared" si="27"/>
        <v>42000000.000000007</v>
      </c>
      <c r="G79" s="4">
        <f t="shared" si="28"/>
        <v>600000000</v>
      </c>
      <c r="H79" s="4">
        <f t="shared" si="29"/>
        <v>0</v>
      </c>
      <c r="I79" s="84">
        <f t="shared" si="30"/>
        <v>-42000000.000000007</v>
      </c>
      <c r="J79" s="84">
        <f t="shared" ref="J79:J80" si="44">$D$61</f>
        <v>0</v>
      </c>
      <c r="K79" s="84">
        <f t="shared" si="32"/>
        <v>-42000000.000000007</v>
      </c>
    </row>
    <row r="80" spans="1:11">
      <c r="A80" s="86">
        <v>10</v>
      </c>
      <c r="B80" s="87">
        <f t="shared" si="23"/>
        <v>600000000</v>
      </c>
      <c r="C80" s="87">
        <f t="shared" si="24"/>
        <v>0</v>
      </c>
      <c r="D80" s="87">
        <f t="shared" si="25"/>
        <v>42000000.000000007</v>
      </c>
      <c r="E80" s="87">
        <f t="shared" ref="E80" si="45">$B$67</f>
        <v>600000000</v>
      </c>
      <c r="F80" s="87">
        <f t="shared" si="27"/>
        <v>642000000</v>
      </c>
      <c r="G80" s="87">
        <f t="shared" si="28"/>
        <v>0</v>
      </c>
      <c r="H80" s="87">
        <f t="shared" si="29"/>
        <v>0</v>
      </c>
      <c r="I80" s="88">
        <f t="shared" si="30"/>
        <v>-642000000</v>
      </c>
      <c r="J80" s="88">
        <f t="shared" ref="J80" si="46">(H78+D79+D80)*0.3</f>
        <v>25200000.000000004</v>
      </c>
      <c r="K80" s="88">
        <f t="shared" si="32"/>
        <v>-616800000</v>
      </c>
    </row>
    <row r="81" spans="1:9">
      <c r="A81" s="80" t="s">
        <v>160</v>
      </c>
      <c r="B81" s="83">
        <f>IRR(K70:K80)</f>
        <v>5.4058310394433651E-2</v>
      </c>
      <c r="C81" s="76"/>
      <c r="D81" s="76"/>
      <c r="E81" s="76"/>
      <c r="F81" s="76"/>
      <c r="G81" s="76"/>
      <c r="H81" s="76"/>
      <c r="I81" s="76"/>
    </row>
    <row r="82" spans="1:9">
      <c r="A82" s="80" t="s">
        <v>161</v>
      </c>
      <c r="B82" s="91">
        <f>((1+B81)^2)-1</f>
        <v>0.11103892171156815</v>
      </c>
    </row>
    <row r="87" spans="1:9">
      <c r="A87" s="80" t="s">
        <v>8</v>
      </c>
      <c r="B87" s="80" t="s">
        <v>162</v>
      </c>
      <c r="C87" s="80" t="s">
        <v>98</v>
      </c>
      <c r="D87" s="80" t="s">
        <v>163</v>
      </c>
      <c r="E87" s="80" t="s">
        <v>164</v>
      </c>
    </row>
    <row r="88" spans="1:9">
      <c r="A88" s="80" t="s">
        <v>97</v>
      </c>
      <c r="B88" s="5">
        <f>B62</f>
        <v>0.31090909090909091</v>
      </c>
      <c r="C88" s="2">
        <v>3</v>
      </c>
      <c r="D88" s="4">
        <f>-0.4*J34</f>
        <v>4400000000</v>
      </c>
      <c r="E88" s="4">
        <f>D88</f>
        <v>4400000000</v>
      </c>
    </row>
    <row r="89" spans="1:9">
      <c r="A89" s="80" t="s">
        <v>158</v>
      </c>
      <c r="B89" s="90">
        <f>B82</f>
        <v>0.11103892171156815</v>
      </c>
      <c r="C89" s="2">
        <v>2</v>
      </c>
      <c r="D89" s="4">
        <f>C70-H70</f>
        <v>2910000000</v>
      </c>
      <c r="E89" s="4">
        <f>-J34-E88-E90</f>
        <v>2600000000</v>
      </c>
    </row>
    <row r="90" spans="1:9">
      <c r="A90" s="80" t="s">
        <v>159</v>
      </c>
      <c r="B90" s="5">
        <f>B64</f>
        <v>5.0749999999999997E-2</v>
      </c>
      <c r="C90" s="2">
        <v>1</v>
      </c>
      <c r="D90" s="4">
        <f>C53</f>
        <v>4000000000</v>
      </c>
      <c r="E90" s="4">
        <f>D90</f>
        <v>4000000000</v>
      </c>
    </row>
    <row r="91" spans="1:9">
      <c r="D91" s="89" t="s">
        <v>5</v>
      </c>
      <c r="E91" s="4">
        <f>SUM(E88:E90)</f>
        <v>11000000000</v>
      </c>
    </row>
    <row r="92" spans="1:9">
      <c r="E92" s="76"/>
    </row>
    <row r="94" spans="1:9">
      <c r="A94" s="80" t="s">
        <v>58</v>
      </c>
      <c r="B94" s="83">
        <f>(E88/E91)*B88+(E89/E91)*B89+(E90/E91)*B90</f>
        <v>0.1690637451318252</v>
      </c>
    </row>
    <row r="95" spans="1:9">
      <c r="A95" s="80" t="s">
        <v>106</v>
      </c>
      <c r="B95" s="92">
        <f>NPV(B94,J35:J44) + J34</f>
        <v>-16876348453.447536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Punto1</vt:lpstr>
      <vt:lpstr>Punto2</vt:lpstr>
      <vt:lpstr>Punto3</vt:lpstr>
      <vt:lpstr>Punto4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Valencia Calderón</dc:creator>
  <cp:lastModifiedBy>Sebastián Valencia Calderón</cp:lastModifiedBy>
  <dcterms:created xsi:type="dcterms:W3CDTF">2015-04-15T16:02:38Z</dcterms:created>
  <dcterms:modified xsi:type="dcterms:W3CDTF">2015-04-17T14:56:16Z</dcterms:modified>
</cp:coreProperties>
</file>