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40" windowWidth="28800" windowHeight="18000" tabRatio="500" activeTab="1"/>
  </bookViews>
  <sheets>
    <sheet name="P1" sheetId="1" r:id="rId1"/>
    <sheet name="P2" sheetId="2" r:id="rId2"/>
    <sheet name="P3" sheetId="3" r:id="rId3"/>
    <sheet name="P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9" i="2" l="1"/>
  <c r="B148" i="2"/>
  <c r="B147" i="2"/>
  <c r="A149" i="2"/>
  <c r="A148" i="2"/>
  <c r="A147" i="2"/>
  <c r="C138" i="2"/>
  <c r="C137" i="2"/>
  <c r="D131" i="2"/>
  <c r="D130" i="2"/>
  <c r="C131" i="2"/>
  <c r="C130" i="2"/>
  <c r="C132" i="2"/>
  <c r="C133" i="2"/>
  <c r="D132" i="2"/>
  <c r="D133" i="2"/>
  <c r="B126" i="2"/>
  <c r="B125" i="2"/>
  <c r="B138" i="2"/>
  <c r="B139" i="2"/>
  <c r="C140" i="2"/>
  <c r="B144" i="2"/>
  <c r="C139" i="2"/>
  <c r="C136" i="2"/>
  <c r="B137" i="2"/>
  <c r="B136" i="2"/>
  <c r="B133" i="2"/>
  <c r="B132" i="2"/>
  <c r="B131" i="2"/>
  <c r="B130" i="2"/>
  <c r="B124" i="2"/>
  <c r="B121" i="2"/>
  <c r="B120" i="2"/>
  <c r="B119" i="2"/>
  <c r="K115" i="2"/>
  <c r="K114" i="2"/>
  <c r="B102" i="2"/>
  <c r="C102" i="2"/>
  <c r="D102" i="2"/>
  <c r="E102" i="2"/>
  <c r="F102" i="2"/>
  <c r="G102" i="2"/>
  <c r="H102" i="2"/>
  <c r="I102" i="2"/>
  <c r="K102" i="2"/>
  <c r="B103" i="2"/>
  <c r="C103" i="2"/>
  <c r="D103" i="2"/>
  <c r="E103" i="2"/>
  <c r="F103" i="2"/>
  <c r="G103" i="2"/>
  <c r="H103" i="2"/>
  <c r="I103" i="2"/>
  <c r="K103" i="2"/>
  <c r="B104" i="2"/>
  <c r="C104" i="2"/>
  <c r="D104" i="2"/>
  <c r="E104" i="2"/>
  <c r="F104" i="2"/>
  <c r="G104" i="2"/>
  <c r="H104" i="2"/>
  <c r="I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K106" i="2"/>
  <c r="B107" i="2"/>
  <c r="C107" i="2"/>
  <c r="D107" i="2"/>
  <c r="E107" i="2"/>
  <c r="F107" i="2"/>
  <c r="G107" i="2"/>
  <c r="H107" i="2"/>
  <c r="I107" i="2"/>
  <c r="K107" i="2"/>
  <c r="B108" i="2"/>
  <c r="C108" i="2"/>
  <c r="D108" i="2"/>
  <c r="E108" i="2"/>
  <c r="F108" i="2"/>
  <c r="G108" i="2"/>
  <c r="H108" i="2"/>
  <c r="I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K110" i="2"/>
  <c r="B111" i="2"/>
  <c r="C111" i="2"/>
  <c r="D111" i="2"/>
  <c r="E111" i="2"/>
  <c r="F111" i="2"/>
  <c r="G111" i="2"/>
  <c r="H111" i="2"/>
  <c r="I111" i="2"/>
  <c r="K111" i="2"/>
  <c r="B112" i="2"/>
  <c r="C112" i="2"/>
  <c r="D112" i="2"/>
  <c r="E112" i="2"/>
  <c r="F112" i="2"/>
  <c r="G112" i="2"/>
  <c r="H112" i="2"/>
  <c r="I112" i="2"/>
  <c r="K112" i="2"/>
  <c r="B113" i="2"/>
  <c r="C113" i="2"/>
  <c r="D113" i="2"/>
  <c r="E113" i="2"/>
  <c r="F113" i="2"/>
  <c r="G113" i="2"/>
  <c r="H113" i="2"/>
  <c r="I113" i="2"/>
  <c r="J113" i="2"/>
  <c r="K113" i="2"/>
  <c r="J101" i="2"/>
  <c r="B101" i="2"/>
  <c r="C101" i="2"/>
  <c r="D101" i="2"/>
  <c r="E101" i="2"/>
  <c r="F101" i="2"/>
  <c r="G101" i="2"/>
  <c r="H101" i="2"/>
  <c r="I101" i="2"/>
  <c r="K101" i="2"/>
  <c r="B100" i="2"/>
  <c r="C100" i="2"/>
  <c r="D100" i="2"/>
  <c r="E100" i="2"/>
  <c r="F100" i="2"/>
  <c r="G100" i="2"/>
  <c r="H100" i="2"/>
  <c r="I100" i="2"/>
  <c r="K100" i="2"/>
  <c r="B99" i="2"/>
  <c r="C99" i="2"/>
  <c r="D99" i="2"/>
  <c r="E99" i="2"/>
  <c r="F99" i="2"/>
  <c r="G99" i="2"/>
  <c r="H99" i="2"/>
  <c r="I99" i="2"/>
  <c r="K99" i="2"/>
  <c r="D98" i="2"/>
  <c r="F98" i="2"/>
  <c r="I98" i="2"/>
  <c r="K98" i="2"/>
  <c r="H98" i="2"/>
  <c r="G98" i="2"/>
  <c r="C98" i="2"/>
  <c r="E98" i="2"/>
  <c r="B98" i="2"/>
  <c r="K97" i="2"/>
  <c r="I97" i="2"/>
  <c r="H97" i="2"/>
  <c r="G97" i="2"/>
  <c r="C97" i="2"/>
  <c r="D95" i="2"/>
  <c r="D94" i="2"/>
  <c r="B95" i="2"/>
  <c r="K91" i="2"/>
  <c r="K90" i="2"/>
  <c r="J69" i="2"/>
  <c r="J73" i="2"/>
  <c r="J77" i="2"/>
  <c r="J81" i="2"/>
  <c r="J85" i="2"/>
  <c r="J89" i="2"/>
  <c r="J65" i="2"/>
  <c r="J61" i="2"/>
  <c r="B62" i="2"/>
  <c r="D62" i="2"/>
  <c r="E62" i="2"/>
  <c r="F62" i="2"/>
  <c r="G62" i="2"/>
  <c r="I62" i="2"/>
  <c r="K62" i="2"/>
  <c r="B63" i="2"/>
  <c r="D63" i="2"/>
  <c r="E63" i="2"/>
  <c r="F63" i="2"/>
  <c r="G63" i="2"/>
  <c r="I63" i="2"/>
  <c r="K63" i="2"/>
  <c r="B64" i="2"/>
  <c r="D64" i="2"/>
  <c r="E64" i="2"/>
  <c r="F64" i="2"/>
  <c r="G64" i="2"/>
  <c r="I64" i="2"/>
  <c r="K64" i="2"/>
  <c r="B65" i="2"/>
  <c r="D65" i="2"/>
  <c r="E65" i="2"/>
  <c r="F65" i="2"/>
  <c r="G65" i="2"/>
  <c r="I65" i="2"/>
  <c r="K65" i="2"/>
  <c r="B66" i="2"/>
  <c r="D66" i="2"/>
  <c r="E66" i="2"/>
  <c r="F66" i="2"/>
  <c r="G66" i="2"/>
  <c r="I66" i="2"/>
  <c r="K66" i="2"/>
  <c r="B67" i="2"/>
  <c r="D67" i="2"/>
  <c r="E67" i="2"/>
  <c r="F67" i="2"/>
  <c r="G67" i="2"/>
  <c r="I67" i="2"/>
  <c r="K67" i="2"/>
  <c r="B68" i="2"/>
  <c r="D68" i="2"/>
  <c r="E68" i="2"/>
  <c r="F68" i="2"/>
  <c r="G68" i="2"/>
  <c r="I68" i="2"/>
  <c r="K68" i="2"/>
  <c r="B69" i="2"/>
  <c r="D69" i="2"/>
  <c r="E69" i="2"/>
  <c r="F69" i="2"/>
  <c r="G69" i="2"/>
  <c r="I69" i="2"/>
  <c r="K69" i="2"/>
  <c r="B70" i="2"/>
  <c r="D70" i="2"/>
  <c r="E70" i="2"/>
  <c r="F70" i="2"/>
  <c r="G70" i="2"/>
  <c r="I70" i="2"/>
  <c r="K70" i="2"/>
  <c r="B71" i="2"/>
  <c r="D71" i="2"/>
  <c r="E71" i="2"/>
  <c r="F71" i="2"/>
  <c r="G71" i="2"/>
  <c r="I71" i="2"/>
  <c r="K71" i="2"/>
  <c r="B72" i="2"/>
  <c r="D72" i="2"/>
  <c r="E72" i="2"/>
  <c r="F72" i="2"/>
  <c r="G72" i="2"/>
  <c r="I72" i="2"/>
  <c r="K72" i="2"/>
  <c r="B73" i="2"/>
  <c r="D73" i="2"/>
  <c r="E73" i="2"/>
  <c r="F73" i="2"/>
  <c r="G73" i="2"/>
  <c r="I73" i="2"/>
  <c r="K73" i="2"/>
  <c r="B74" i="2"/>
  <c r="D74" i="2"/>
  <c r="E74" i="2"/>
  <c r="F74" i="2"/>
  <c r="G74" i="2"/>
  <c r="I74" i="2"/>
  <c r="K74" i="2"/>
  <c r="B75" i="2"/>
  <c r="D75" i="2"/>
  <c r="E75" i="2"/>
  <c r="F75" i="2"/>
  <c r="G75" i="2"/>
  <c r="I75" i="2"/>
  <c r="K75" i="2"/>
  <c r="B76" i="2"/>
  <c r="D76" i="2"/>
  <c r="E76" i="2"/>
  <c r="F76" i="2"/>
  <c r="G76" i="2"/>
  <c r="I76" i="2"/>
  <c r="K76" i="2"/>
  <c r="B77" i="2"/>
  <c r="D77" i="2"/>
  <c r="E77" i="2"/>
  <c r="F77" i="2"/>
  <c r="G77" i="2"/>
  <c r="I77" i="2"/>
  <c r="K77" i="2"/>
  <c r="B78" i="2"/>
  <c r="D78" i="2"/>
  <c r="E78" i="2"/>
  <c r="F78" i="2"/>
  <c r="G78" i="2"/>
  <c r="I78" i="2"/>
  <c r="K78" i="2"/>
  <c r="B79" i="2"/>
  <c r="D79" i="2"/>
  <c r="E79" i="2"/>
  <c r="F79" i="2"/>
  <c r="G79" i="2"/>
  <c r="I79" i="2"/>
  <c r="K79" i="2"/>
  <c r="B80" i="2"/>
  <c r="D80" i="2"/>
  <c r="E80" i="2"/>
  <c r="F80" i="2"/>
  <c r="G80" i="2"/>
  <c r="I80" i="2"/>
  <c r="K80" i="2"/>
  <c r="B81" i="2"/>
  <c r="D81" i="2"/>
  <c r="E81" i="2"/>
  <c r="F81" i="2"/>
  <c r="G81" i="2"/>
  <c r="I81" i="2"/>
  <c r="K81" i="2"/>
  <c r="B82" i="2"/>
  <c r="D82" i="2"/>
  <c r="E82" i="2"/>
  <c r="F82" i="2"/>
  <c r="G82" i="2"/>
  <c r="I82" i="2"/>
  <c r="K82" i="2"/>
  <c r="B83" i="2"/>
  <c r="D83" i="2"/>
  <c r="E83" i="2"/>
  <c r="F83" i="2"/>
  <c r="G83" i="2"/>
  <c r="I83" i="2"/>
  <c r="K83" i="2"/>
  <c r="B84" i="2"/>
  <c r="D84" i="2"/>
  <c r="E84" i="2"/>
  <c r="F84" i="2"/>
  <c r="G84" i="2"/>
  <c r="I84" i="2"/>
  <c r="K84" i="2"/>
  <c r="B85" i="2"/>
  <c r="D85" i="2"/>
  <c r="E85" i="2"/>
  <c r="F85" i="2"/>
  <c r="G85" i="2"/>
  <c r="I85" i="2"/>
  <c r="K85" i="2"/>
  <c r="B86" i="2"/>
  <c r="D86" i="2"/>
  <c r="E86" i="2"/>
  <c r="F86" i="2"/>
  <c r="G86" i="2"/>
  <c r="I86" i="2"/>
  <c r="K86" i="2"/>
  <c r="B87" i="2"/>
  <c r="D87" i="2"/>
  <c r="E87" i="2"/>
  <c r="F87" i="2"/>
  <c r="G87" i="2"/>
  <c r="I87" i="2"/>
  <c r="K87" i="2"/>
  <c r="B88" i="2"/>
  <c r="D88" i="2"/>
  <c r="E88" i="2"/>
  <c r="F88" i="2"/>
  <c r="G88" i="2"/>
  <c r="I88" i="2"/>
  <c r="K88" i="2"/>
  <c r="B89" i="2"/>
  <c r="E89" i="2"/>
  <c r="F89" i="2"/>
  <c r="G89" i="2"/>
  <c r="I89" i="2"/>
  <c r="K89" i="2"/>
  <c r="J57" i="2"/>
  <c r="J53" i="2"/>
  <c r="E61" i="2"/>
  <c r="E60" i="2"/>
  <c r="E59" i="2"/>
  <c r="E58" i="2"/>
  <c r="E57" i="2"/>
  <c r="E56" i="2"/>
  <c r="E55" i="2"/>
  <c r="E54" i="2"/>
  <c r="E53" i="2"/>
  <c r="E52" i="2"/>
  <c r="E51" i="2"/>
  <c r="E50" i="2"/>
  <c r="G50" i="2"/>
  <c r="B51" i="2"/>
  <c r="G51" i="2"/>
  <c r="B52" i="2"/>
  <c r="G52" i="2"/>
  <c r="B53" i="2"/>
  <c r="G53" i="2"/>
  <c r="B54" i="2"/>
  <c r="G54" i="2"/>
  <c r="B55" i="2"/>
  <c r="G55" i="2"/>
  <c r="B56" i="2"/>
  <c r="G56" i="2"/>
  <c r="B57" i="2"/>
  <c r="G57" i="2"/>
  <c r="B58" i="2"/>
  <c r="D51" i="2"/>
  <c r="G58" i="2"/>
  <c r="B59" i="2"/>
  <c r="G59" i="2"/>
  <c r="B60" i="2"/>
  <c r="D60" i="2"/>
  <c r="D59" i="2"/>
  <c r="D58" i="2"/>
  <c r="F51" i="2"/>
  <c r="I51" i="2"/>
  <c r="D52" i="2"/>
  <c r="F52" i="2"/>
  <c r="I52" i="2"/>
  <c r="D53" i="2"/>
  <c r="F53" i="2"/>
  <c r="I53" i="2"/>
  <c r="D54" i="2"/>
  <c r="F54" i="2"/>
  <c r="I54" i="2"/>
  <c r="D55" i="2"/>
  <c r="F55" i="2"/>
  <c r="I55" i="2"/>
  <c r="D56" i="2"/>
  <c r="F56" i="2"/>
  <c r="I56" i="2"/>
  <c r="D57" i="2"/>
  <c r="F57" i="2"/>
  <c r="I57" i="2"/>
  <c r="F58" i="2"/>
  <c r="I58" i="2"/>
  <c r="F59" i="2"/>
  <c r="I59" i="2"/>
  <c r="F60" i="2"/>
  <c r="I60" i="2"/>
  <c r="G60" i="2"/>
  <c r="B61" i="2"/>
  <c r="D61" i="2"/>
  <c r="F61" i="2"/>
  <c r="I61" i="2"/>
  <c r="F50" i="2"/>
  <c r="I50" i="2"/>
  <c r="K58" i="2"/>
  <c r="K59" i="2"/>
  <c r="K60" i="2"/>
  <c r="G61" i="2"/>
  <c r="K61" i="2"/>
  <c r="K57" i="2"/>
  <c r="K56" i="2"/>
  <c r="K55" i="2"/>
  <c r="K54" i="2"/>
  <c r="K53" i="2"/>
  <c r="K52" i="2"/>
  <c r="K51" i="2"/>
  <c r="D49" i="2"/>
  <c r="K50" i="2"/>
  <c r="D50" i="2"/>
  <c r="G49" i="2"/>
  <c r="B50" i="2"/>
  <c r="F49" i="2"/>
  <c r="I49" i="2"/>
  <c r="K49" i="2"/>
  <c r="H49" i="2"/>
  <c r="D47" i="2"/>
  <c r="D46" i="2"/>
  <c r="B47" i="2"/>
  <c r="C49" i="2"/>
  <c r="B44" i="2"/>
  <c r="B41" i="2"/>
  <c r="B40" i="2"/>
  <c r="B156" i="1"/>
  <c r="B5" i="1"/>
  <c r="B158" i="1"/>
  <c r="B73" i="1"/>
  <c r="B81" i="1"/>
  <c r="B86" i="1"/>
  <c r="B87" i="1"/>
  <c r="B88" i="1"/>
  <c r="B74" i="1"/>
  <c r="B85" i="1"/>
  <c r="C80" i="1"/>
  <c r="C82" i="1"/>
  <c r="C84" i="1"/>
  <c r="C86" i="1"/>
  <c r="C88" i="1"/>
  <c r="C85" i="1"/>
  <c r="D80" i="1"/>
  <c r="D82" i="1"/>
  <c r="D84" i="1"/>
  <c r="D86" i="1"/>
  <c r="D87" i="1"/>
  <c r="D88" i="1"/>
  <c r="D85" i="1"/>
  <c r="E80" i="1"/>
  <c r="E82" i="1"/>
  <c r="B77" i="1"/>
  <c r="E83" i="1"/>
  <c r="E84" i="1"/>
  <c r="E86" i="1"/>
  <c r="E88" i="1"/>
  <c r="E85" i="1"/>
  <c r="F80" i="1"/>
  <c r="F82" i="1"/>
  <c r="F83" i="1"/>
  <c r="F84" i="1"/>
  <c r="F86" i="1"/>
  <c r="F87" i="1"/>
  <c r="F88" i="1"/>
  <c r="F85" i="1"/>
  <c r="G80" i="1"/>
  <c r="G82" i="1"/>
  <c r="G83" i="1"/>
  <c r="G84" i="1"/>
  <c r="G86" i="1"/>
  <c r="G88" i="1"/>
  <c r="G85" i="1"/>
  <c r="H80" i="1"/>
  <c r="H82" i="1"/>
  <c r="H83" i="1"/>
  <c r="H84" i="1"/>
  <c r="H86" i="1"/>
  <c r="H87" i="1"/>
  <c r="H88" i="1"/>
  <c r="H85" i="1"/>
  <c r="I80" i="1"/>
  <c r="I82" i="1"/>
  <c r="I83" i="1"/>
  <c r="I84" i="1"/>
  <c r="I86" i="1"/>
  <c r="I88" i="1"/>
  <c r="I85" i="1"/>
  <c r="J80" i="1"/>
  <c r="J82" i="1"/>
  <c r="J83" i="1"/>
  <c r="J84" i="1"/>
  <c r="J86" i="1"/>
  <c r="J87" i="1"/>
  <c r="J88" i="1"/>
  <c r="J85" i="1"/>
  <c r="K80" i="1"/>
  <c r="K82" i="1"/>
  <c r="K83" i="1"/>
  <c r="K84" i="1"/>
  <c r="K86" i="1"/>
  <c r="K88" i="1"/>
  <c r="K85" i="1"/>
  <c r="L80" i="1"/>
  <c r="L82" i="1"/>
  <c r="L83" i="1"/>
  <c r="L84" i="1"/>
  <c r="L86" i="1"/>
  <c r="L87" i="1"/>
  <c r="L88" i="1"/>
  <c r="L85" i="1"/>
  <c r="M80" i="1"/>
  <c r="M82" i="1"/>
  <c r="M83" i="1"/>
  <c r="M84" i="1"/>
  <c r="M86" i="1"/>
  <c r="M88" i="1"/>
  <c r="M85" i="1"/>
  <c r="N80" i="1"/>
  <c r="N82" i="1"/>
  <c r="N83" i="1"/>
  <c r="N84" i="1"/>
  <c r="N86" i="1"/>
  <c r="N87" i="1"/>
  <c r="N88" i="1"/>
  <c r="B90" i="1"/>
  <c r="B144" i="1"/>
  <c r="B150" i="1"/>
  <c r="C156" i="1"/>
  <c r="C158" i="1"/>
  <c r="B16" i="1"/>
  <c r="B37" i="1"/>
  <c r="B42" i="1"/>
  <c r="B43" i="1"/>
  <c r="B44" i="1"/>
  <c r="B17" i="1"/>
  <c r="B20" i="1"/>
  <c r="C40" i="1"/>
  <c r="C42" i="1"/>
  <c r="C44" i="1"/>
  <c r="D40" i="1"/>
  <c r="D42" i="1"/>
  <c r="B41" i="1"/>
  <c r="C36" i="1"/>
  <c r="C38" i="1"/>
  <c r="C39" i="1"/>
  <c r="C41" i="1"/>
  <c r="D36" i="1"/>
  <c r="D38" i="1"/>
  <c r="D43" i="1"/>
  <c r="D44" i="1"/>
  <c r="E40" i="1"/>
  <c r="E42" i="1"/>
  <c r="E44" i="1"/>
  <c r="F40" i="1"/>
  <c r="F42" i="1"/>
  <c r="D39" i="1"/>
  <c r="D41" i="1"/>
  <c r="E36" i="1"/>
  <c r="E38" i="1"/>
  <c r="E39" i="1"/>
  <c r="E41" i="1"/>
  <c r="F36" i="1"/>
  <c r="F38" i="1"/>
  <c r="F43" i="1"/>
  <c r="F44" i="1"/>
  <c r="G40" i="1"/>
  <c r="G42" i="1"/>
  <c r="G44" i="1"/>
  <c r="H40" i="1"/>
  <c r="H42" i="1"/>
  <c r="F39" i="1"/>
  <c r="F41" i="1"/>
  <c r="G36" i="1"/>
  <c r="G38" i="1"/>
  <c r="G39" i="1"/>
  <c r="G41" i="1"/>
  <c r="H36" i="1"/>
  <c r="H38" i="1"/>
  <c r="H43" i="1"/>
  <c r="H44" i="1"/>
  <c r="I40" i="1"/>
  <c r="I42" i="1"/>
  <c r="I44" i="1"/>
  <c r="J40" i="1"/>
  <c r="J42" i="1"/>
  <c r="H39" i="1"/>
  <c r="H41" i="1"/>
  <c r="I36" i="1"/>
  <c r="I38" i="1"/>
  <c r="I39" i="1"/>
  <c r="I41" i="1"/>
  <c r="J36" i="1"/>
  <c r="J38" i="1"/>
  <c r="J43" i="1"/>
  <c r="J44" i="1"/>
  <c r="K40" i="1"/>
  <c r="K42" i="1"/>
  <c r="K44" i="1"/>
  <c r="L40" i="1"/>
  <c r="L42" i="1"/>
  <c r="J39" i="1"/>
  <c r="J41" i="1"/>
  <c r="K36" i="1"/>
  <c r="K38" i="1"/>
  <c r="K39" i="1"/>
  <c r="K41" i="1"/>
  <c r="L36" i="1"/>
  <c r="L38" i="1"/>
  <c r="L43" i="1"/>
  <c r="L44" i="1"/>
  <c r="M40" i="1"/>
  <c r="M42" i="1"/>
  <c r="M44" i="1"/>
  <c r="N40" i="1"/>
  <c r="N42" i="1"/>
  <c r="L39" i="1"/>
  <c r="L41" i="1"/>
  <c r="M36" i="1"/>
  <c r="M38" i="1"/>
  <c r="M39" i="1"/>
  <c r="M41" i="1"/>
  <c r="N36" i="1"/>
  <c r="N38" i="1"/>
  <c r="N43" i="1"/>
  <c r="N44" i="1"/>
  <c r="B46" i="1"/>
  <c r="B142" i="1"/>
  <c r="B148" i="1"/>
  <c r="D156" i="1"/>
  <c r="D158" i="1"/>
  <c r="B95" i="1"/>
  <c r="B103" i="1"/>
  <c r="B108" i="1"/>
  <c r="B109" i="1"/>
  <c r="B110" i="1"/>
  <c r="B96" i="1"/>
  <c r="B107" i="1"/>
  <c r="C102" i="1"/>
  <c r="C104" i="1"/>
  <c r="B99" i="1"/>
  <c r="C105" i="1"/>
  <c r="C106" i="1"/>
  <c r="C108" i="1"/>
  <c r="C110" i="1"/>
  <c r="C107" i="1"/>
  <c r="D102" i="1"/>
  <c r="D104" i="1"/>
  <c r="D105" i="1"/>
  <c r="D106" i="1"/>
  <c r="D108" i="1"/>
  <c r="D109" i="1"/>
  <c r="D110" i="1"/>
  <c r="D107" i="1"/>
  <c r="E102" i="1"/>
  <c r="E104" i="1"/>
  <c r="E105" i="1"/>
  <c r="E106" i="1"/>
  <c r="E108" i="1"/>
  <c r="E110" i="1"/>
  <c r="E107" i="1"/>
  <c r="F102" i="1"/>
  <c r="F104" i="1"/>
  <c r="F105" i="1"/>
  <c r="F106" i="1"/>
  <c r="F108" i="1"/>
  <c r="F109" i="1"/>
  <c r="F110" i="1"/>
  <c r="F107" i="1"/>
  <c r="G102" i="1"/>
  <c r="G104" i="1"/>
  <c r="G105" i="1"/>
  <c r="G106" i="1"/>
  <c r="G108" i="1"/>
  <c r="G110" i="1"/>
  <c r="G107" i="1"/>
  <c r="H102" i="1"/>
  <c r="H104" i="1"/>
  <c r="H105" i="1"/>
  <c r="H106" i="1"/>
  <c r="H108" i="1"/>
  <c r="H109" i="1"/>
  <c r="H110" i="1"/>
  <c r="H107" i="1"/>
  <c r="I102" i="1"/>
  <c r="I104" i="1"/>
  <c r="I105" i="1"/>
  <c r="I106" i="1"/>
  <c r="I108" i="1"/>
  <c r="I110" i="1"/>
  <c r="I107" i="1"/>
  <c r="J102" i="1"/>
  <c r="J104" i="1"/>
  <c r="J105" i="1"/>
  <c r="J106" i="1"/>
  <c r="J108" i="1"/>
  <c r="J109" i="1"/>
  <c r="J110" i="1"/>
  <c r="J107" i="1"/>
  <c r="K102" i="1"/>
  <c r="K104" i="1"/>
  <c r="K105" i="1"/>
  <c r="K106" i="1"/>
  <c r="K108" i="1"/>
  <c r="K110" i="1"/>
  <c r="K107" i="1"/>
  <c r="L102" i="1"/>
  <c r="L104" i="1"/>
  <c r="L105" i="1"/>
  <c r="L106" i="1"/>
  <c r="L108" i="1"/>
  <c r="L109" i="1"/>
  <c r="L110" i="1"/>
  <c r="L107" i="1"/>
  <c r="M102" i="1"/>
  <c r="M104" i="1"/>
  <c r="M105" i="1"/>
  <c r="M106" i="1"/>
  <c r="M108" i="1"/>
  <c r="M110" i="1"/>
  <c r="M107" i="1"/>
  <c r="N102" i="1"/>
  <c r="N104" i="1"/>
  <c r="N105" i="1"/>
  <c r="N106" i="1"/>
  <c r="N108" i="1"/>
  <c r="N109" i="1"/>
  <c r="N110" i="1"/>
  <c r="B112" i="1"/>
  <c r="B145" i="1"/>
  <c r="B151" i="1"/>
  <c r="B155" i="1"/>
  <c r="B157" i="1"/>
  <c r="C155" i="1"/>
  <c r="C157" i="1"/>
  <c r="D155" i="1"/>
  <c r="D157" i="1"/>
  <c r="E155" i="1"/>
  <c r="E156" i="1"/>
  <c r="E158" i="1"/>
  <c r="B117" i="1"/>
  <c r="B125" i="1"/>
  <c r="B129" i="1"/>
  <c r="E116" i="1"/>
  <c r="E117" i="1"/>
  <c r="E118" i="1"/>
  <c r="B130" i="1"/>
  <c r="E113" i="1"/>
  <c r="B131" i="1"/>
  <c r="B132" i="1"/>
  <c r="B134" i="1"/>
  <c r="B118" i="1"/>
  <c r="C124" i="1"/>
  <c r="C126" i="1"/>
  <c r="C128" i="1"/>
  <c r="C132" i="1"/>
  <c r="C134" i="1"/>
  <c r="D124" i="1"/>
  <c r="D126" i="1"/>
  <c r="D128" i="1"/>
  <c r="D132" i="1"/>
  <c r="D133" i="1"/>
  <c r="D134" i="1"/>
  <c r="E124" i="1"/>
  <c r="E126" i="1"/>
  <c r="E128" i="1"/>
  <c r="E132" i="1"/>
  <c r="E134" i="1"/>
  <c r="F124" i="1"/>
  <c r="F126" i="1"/>
  <c r="F128" i="1"/>
  <c r="F132" i="1"/>
  <c r="F133" i="1"/>
  <c r="F134" i="1"/>
  <c r="G124" i="1"/>
  <c r="G126" i="1"/>
  <c r="G128" i="1"/>
  <c r="G132" i="1"/>
  <c r="G134" i="1"/>
  <c r="H124" i="1"/>
  <c r="H126" i="1"/>
  <c r="H128" i="1"/>
  <c r="H132" i="1"/>
  <c r="H133" i="1"/>
  <c r="H134" i="1"/>
  <c r="I124" i="1"/>
  <c r="I126" i="1"/>
  <c r="I128" i="1"/>
  <c r="I132" i="1"/>
  <c r="I134" i="1"/>
  <c r="J124" i="1"/>
  <c r="J126" i="1"/>
  <c r="J128" i="1"/>
  <c r="J132" i="1"/>
  <c r="J133" i="1"/>
  <c r="J134" i="1"/>
  <c r="K124" i="1"/>
  <c r="K126" i="1"/>
  <c r="K128" i="1"/>
  <c r="K132" i="1"/>
  <c r="K134" i="1"/>
  <c r="L124" i="1"/>
  <c r="L126" i="1"/>
  <c r="L128" i="1"/>
  <c r="L132" i="1"/>
  <c r="L133" i="1"/>
  <c r="L134" i="1"/>
  <c r="M124" i="1"/>
  <c r="M126" i="1"/>
  <c r="M128" i="1"/>
  <c r="M132" i="1"/>
  <c r="M134" i="1"/>
  <c r="N124" i="1"/>
  <c r="N126" i="1"/>
  <c r="N127" i="1"/>
  <c r="N128" i="1"/>
  <c r="N132" i="1"/>
  <c r="N133" i="1"/>
  <c r="N134" i="1"/>
  <c r="B137" i="1"/>
  <c r="B149" i="1"/>
  <c r="B162" i="1"/>
  <c r="E154" i="1"/>
  <c r="D154" i="1"/>
  <c r="C154" i="1"/>
  <c r="B154" i="1"/>
  <c r="E157" i="1"/>
  <c r="B51" i="1"/>
  <c r="B59" i="1"/>
  <c r="B64" i="1"/>
  <c r="B65" i="1"/>
  <c r="B66" i="1"/>
  <c r="B52" i="1"/>
  <c r="B63" i="1"/>
  <c r="C58" i="1"/>
  <c r="C60" i="1"/>
  <c r="C62" i="1"/>
  <c r="C64" i="1"/>
  <c r="C66" i="1"/>
  <c r="D58" i="1"/>
  <c r="D60" i="1"/>
  <c r="D62" i="1"/>
  <c r="D64" i="1"/>
  <c r="D65" i="1"/>
  <c r="D66" i="1"/>
  <c r="E58" i="1"/>
  <c r="E60" i="1"/>
  <c r="E62" i="1"/>
  <c r="E64" i="1"/>
  <c r="E66" i="1"/>
  <c r="F58" i="1"/>
  <c r="F60" i="1"/>
  <c r="F62" i="1"/>
  <c r="F64" i="1"/>
  <c r="F65" i="1"/>
  <c r="F66" i="1"/>
  <c r="G58" i="1"/>
  <c r="G60" i="1"/>
  <c r="G62" i="1"/>
  <c r="G64" i="1"/>
  <c r="G66" i="1"/>
  <c r="H58" i="1"/>
  <c r="H60" i="1"/>
  <c r="H62" i="1"/>
  <c r="H64" i="1"/>
  <c r="H65" i="1"/>
  <c r="H66" i="1"/>
  <c r="I58" i="1"/>
  <c r="I60" i="1"/>
  <c r="I62" i="1"/>
  <c r="I64" i="1"/>
  <c r="I66" i="1"/>
  <c r="J58" i="1"/>
  <c r="J60" i="1"/>
  <c r="J62" i="1"/>
  <c r="J64" i="1"/>
  <c r="J65" i="1"/>
  <c r="J66" i="1"/>
  <c r="K58" i="1"/>
  <c r="K60" i="1"/>
  <c r="K62" i="1"/>
  <c r="K64" i="1"/>
  <c r="K66" i="1"/>
  <c r="L58" i="1"/>
  <c r="L60" i="1"/>
  <c r="L62" i="1"/>
  <c r="L64" i="1"/>
  <c r="L65" i="1"/>
  <c r="L66" i="1"/>
  <c r="M58" i="1"/>
  <c r="M60" i="1"/>
  <c r="M62" i="1"/>
  <c r="M64" i="1"/>
  <c r="M66" i="1"/>
  <c r="N58" i="1"/>
  <c r="N60" i="1"/>
  <c r="N61" i="1"/>
  <c r="N62" i="1"/>
  <c r="N64" i="1"/>
  <c r="N65" i="1"/>
  <c r="N66" i="1"/>
  <c r="B68" i="1"/>
  <c r="B143" i="1"/>
  <c r="D131" i="1"/>
  <c r="E131" i="1"/>
  <c r="F131" i="1"/>
  <c r="G131" i="1"/>
  <c r="H131" i="1"/>
  <c r="I131" i="1"/>
  <c r="J131" i="1"/>
  <c r="K131" i="1"/>
  <c r="L131" i="1"/>
  <c r="M131" i="1"/>
  <c r="N131" i="1"/>
  <c r="D130" i="1"/>
  <c r="E130" i="1"/>
  <c r="F130" i="1"/>
  <c r="G130" i="1"/>
  <c r="H130" i="1"/>
  <c r="I130" i="1"/>
  <c r="J130" i="1"/>
  <c r="K130" i="1"/>
  <c r="L130" i="1"/>
  <c r="M130" i="1"/>
  <c r="N130" i="1"/>
  <c r="B124" i="1"/>
  <c r="C131" i="1"/>
  <c r="C130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N107" i="1"/>
  <c r="N85" i="1"/>
  <c r="D63" i="1"/>
  <c r="E63" i="1"/>
  <c r="F63" i="1"/>
  <c r="G63" i="1"/>
  <c r="H63" i="1"/>
  <c r="I63" i="1"/>
  <c r="J63" i="1"/>
  <c r="K63" i="1"/>
  <c r="L63" i="1"/>
  <c r="M63" i="1"/>
  <c r="C63" i="1"/>
  <c r="N39" i="1"/>
  <c r="N41" i="1"/>
  <c r="N63" i="1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50" i="2"/>
  <c r="H51" i="2"/>
  <c r="H52" i="2"/>
  <c r="H53" i="2"/>
  <c r="H54" i="2"/>
  <c r="H55" i="2"/>
  <c r="H56" i="2"/>
  <c r="H57" i="2"/>
  <c r="H59" i="2"/>
  <c r="H61" i="2"/>
  <c r="H60" i="2"/>
  <c r="H58" i="2"/>
</calcChain>
</file>

<file path=xl/sharedStrings.xml><?xml version="1.0" encoding="utf-8"?>
<sst xmlns="http://schemas.openxmlformats.org/spreadsheetml/2006/main" count="245" uniqueCount="108">
  <si>
    <t>P3</t>
  </si>
  <si>
    <t>Máquina</t>
  </si>
  <si>
    <t>Mezcladora de alta viscosidad</t>
  </si>
  <si>
    <t>Precio</t>
  </si>
  <si>
    <t>Homogeneizador</t>
  </si>
  <si>
    <t>Torre de secado</t>
  </si>
  <si>
    <t>Fuente</t>
  </si>
  <si>
    <t>Monto máximo</t>
  </si>
  <si>
    <t>Periodo de gracia</t>
  </si>
  <si>
    <t>Modalidad de pago</t>
  </si>
  <si>
    <t>Banco capital</t>
  </si>
  <si>
    <t>Banco de Boyacá</t>
  </si>
  <si>
    <t>Banco profuturo</t>
  </si>
  <si>
    <t>Banco VVBA</t>
  </si>
  <si>
    <t>Tasa de interés (NA/SV)</t>
  </si>
  <si>
    <t>Plazo (años)</t>
  </si>
  <si>
    <t>1 año sobre capital</t>
  </si>
  <si>
    <t>Cuota semestral constante</t>
  </si>
  <si>
    <t>Bullet</t>
  </si>
  <si>
    <t>Amortización semestral constante</t>
  </si>
  <si>
    <t>No aplica</t>
  </si>
  <si>
    <t>Total</t>
  </si>
  <si>
    <t>Tasa impositiva</t>
  </si>
  <si>
    <t>El ahorro tributario se contabiliza anual</t>
  </si>
  <si>
    <t>FCD Banco capital</t>
  </si>
  <si>
    <t>Monto</t>
  </si>
  <si>
    <t>Valor</t>
  </si>
  <si>
    <t>Plazo (Semestres)</t>
  </si>
  <si>
    <t>Cuota</t>
  </si>
  <si>
    <t>Periodo</t>
  </si>
  <si>
    <t>Saldo inicial</t>
  </si>
  <si>
    <t>Adquisición deuda</t>
  </si>
  <si>
    <t>Interés</t>
  </si>
  <si>
    <t>Amortización</t>
  </si>
  <si>
    <t>Saldo final</t>
  </si>
  <si>
    <t>FCD Pre</t>
  </si>
  <si>
    <t>Tax shield</t>
  </si>
  <si>
    <t>FCD Pos</t>
  </si>
  <si>
    <t>Tasa (SV)</t>
  </si>
  <si>
    <t>Plazo (Años)</t>
  </si>
  <si>
    <t>KD_Pos</t>
  </si>
  <si>
    <t>FCD Banco de Boyacá</t>
  </si>
  <si>
    <t>FCD Banco Profuturo</t>
  </si>
  <si>
    <t>Reciprocidad</t>
  </si>
  <si>
    <t>Comision</t>
  </si>
  <si>
    <t>Comisión</t>
  </si>
  <si>
    <t>Periodos</t>
  </si>
  <si>
    <t>Monto reciprocidad</t>
  </si>
  <si>
    <t>Inflación (E.A)</t>
  </si>
  <si>
    <t>Magnitud</t>
  </si>
  <si>
    <t>Ordenamineto bancos</t>
  </si>
  <si>
    <t>Banco</t>
  </si>
  <si>
    <t>Costo de deuda</t>
  </si>
  <si>
    <t>Banco Profuturo</t>
  </si>
  <si>
    <t>FCD VVBA</t>
  </si>
  <si>
    <t>Posición</t>
  </si>
  <si>
    <t>Abono</t>
  </si>
  <si>
    <t>Faltante</t>
  </si>
  <si>
    <t>Porcetage</t>
  </si>
  <si>
    <t>WACC</t>
  </si>
  <si>
    <t>Flujo de caja P1 (Inclusión San Andrés)</t>
  </si>
  <si>
    <t>Año</t>
  </si>
  <si>
    <t>Flujo (millones de USD)</t>
  </si>
  <si>
    <t>Flujo de caja P2 (Tren de Colombia)</t>
  </si>
  <si>
    <t>Flujo de caja P1 (Colombia internacional)</t>
  </si>
  <si>
    <t>Emisión de acciones</t>
  </si>
  <si>
    <t>Valor de emisión</t>
  </si>
  <si>
    <t>Dividendo actual</t>
  </si>
  <si>
    <t>Tasa de crecimiento</t>
  </si>
  <si>
    <t>Costo de emisión</t>
  </si>
  <si>
    <t>Correspondencia</t>
  </si>
  <si>
    <t>Banco AAAA</t>
  </si>
  <si>
    <t>Pago</t>
  </si>
  <si>
    <t>Tasa de interés (E.A)</t>
  </si>
  <si>
    <t>Banco BBB</t>
  </si>
  <si>
    <t>Tasa de interés (NA/TA)</t>
  </si>
  <si>
    <t>Banco CCC</t>
  </si>
  <si>
    <t>Politica de financiación</t>
  </si>
  <si>
    <t>Cuota fija</t>
  </si>
  <si>
    <t>Amortización anual igual</t>
  </si>
  <si>
    <t>Amortización semestral igual</t>
  </si>
  <si>
    <t>Po</t>
  </si>
  <si>
    <t>Ke (E.A)</t>
  </si>
  <si>
    <t>FCD Banco AAA</t>
  </si>
  <si>
    <t>FCD Banco BBB</t>
  </si>
  <si>
    <t>Deuda</t>
  </si>
  <si>
    <t>FCD Post</t>
  </si>
  <si>
    <t>Tasa</t>
  </si>
  <si>
    <t>Amortización anual</t>
  </si>
  <si>
    <t>Amortización trimestral</t>
  </si>
  <si>
    <t>FCD pre</t>
  </si>
  <si>
    <t>TAX Shield</t>
  </si>
  <si>
    <t>FCD Banco CCC</t>
  </si>
  <si>
    <t>Equity</t>
  </si>
  <si>
    <t>AAA</t>
  </si>
  <si>
    <t>Favorabilidad</t>
  </si>
  <si>
    <t>BBB</t>
  </si>
  <si>
    <t>CCC</t>
  </si>
  <si>
    <t>Monto necesario</t>
  </si>
  <si>
    <t>Total necesario</t>
  </si>
  <si>
    <t>Peso</t>
  </si>
  <si>
    <t>Kd (E.A)</t>
  </si>
  <si>
    <t>Kd Pre (E.T)</t>
  </si>
  <si>
    <t>Kd Post  (E.T)</t>
  </si>
  <si>
    <t>Kd Pre (E.S)</t>
  </si>
  <si>
    <t>Kd Post (E.S)</t>
  </si>
  <si>
    <t>VPN</t>
  </si>
  <si>
    <t>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</si>
</sst>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COP&quot;* #,##0_);_(&quot;COP&quot;* \(#,##0\);_(&quot;COP&quot;* &quot;-&quot;_);_(@_)"/>
    <numFmt numFmtId="41" formatCode="_(* #,##0_);_(* \(#,##0\);_(* &quot;-&quot;_);_(@_)"/>
    <numFmt numFmtId="164" formatCode="_([$$-409]* #,##0.00_);_([$$-409]* \(#,##0.00\);_([$$-409]* &quot;-&quot;??_);_(@_)"/>
    <numFmt numFmtId="165" formatCode="0.000000%"/>
    <numFmt numFmtId="166" formatCode="_(* #,##0.00_);_(* \(#,##0.00\);_(* &quot;-&quot;_);_(@_)"/>
    <numFmt numFmtId="168" formatCode="0.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AD3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2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164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  <xf numFmtId="164" fontId="0" fillId="0" borderId="1" xfId="2" applyNumberFormat="1" applyFont="1" applyBorder="1"/>
    <xf numFmtId="9" fontId="0" fillId="0" borderId="1" xfId="0" applyNumberFormat="1" applyBorder="1"/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165" fontId="0" fillId="0" borderId="1" xfId="0" applyNumberFormat="1" applyBorder="1"/>
    <xf numFmtId="164" fontId="0" fillId="3" borderId="1" xfId="0" applyNumberFormat="1" applyFill="1" applyBorder="1"/>
    <xf numFmtId="164" fontId="0" fillId="3" borderId="1" xfId="2" applyNumberFormat="1" applyFont="1" applyFill="1" applyBorder="1"/>
    <xf numFmtId="0" fontId="0" fillId="6" borderId="1" xfId="0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7" borderId="1" xfId="0" applyFill="1" applyBorder="1"/>
    <xf numFmtId="0" fontId="7" fillId="8" borderId="1" xfId="0" applyFont="1" applyFill="1" applyBorder="1"/>
    <xf numFmtId="164" fontId="6" fillId="0" borderId="2" xfId="0" applyNumberFormat="1" applyFont="1" applyBorder="1"/>
    <xf numFmtId="0" fontId="7" fillId="8" borderId="3" xfId="0" applyFont="1" applyFill="1" applyBorder="1"/>
    <xf numFmtId="0" fontId="0" fillId="0" borderId="4" xfId="0" applyBorder="1"/>
    <xf numFmtId="164" fontId="6" fillId="0" borderId="4" xfId="0" applyNumberFormat="1" applyFont="1" applyBorder="1"/>
    <xf numFmtId="0" fontId="0" fillId="9" borderId="1" xfId="0" applyFill="1" applyBorder="1"/>
    <xf numFmtId="0" fontId="3" fillId="3" borderId="0" xfId="0" applyFont="1" applyFill="1" applyBorder="1"/>
    <xf numFmtId="164" fontId="6" fillId="0" borderId="4" xfId="3" applyNumberFormat="1" applyFont="1" applyBorder="1"/>
    <xf numFmtId="0" fontId="0" fillId="10" borderId="1" xfId="0" applyFill="1" applyBorder="1"/>
    <xf numFmtId="9" fontId="0" fillId="0" borderId="1" xfId="3" applyFont="1" applyBorder="1"/>
    <xf numFmtId="164" fontId="0" fillId="7" borderId="1" xfId="0" applyNumberFormat="1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0" fontId="3" fillId="3" borderId="8" xfId="0" applyFont="1" applyFill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Border="1"/>
    <xf numFmtId="165" fontId="0" fillId="0" borderId="0" xfId="0" applyNumberFormat="1" applyBorder="1"/>
    <xf numFmtId="0" fontId="2" fillId="7" borderId="1" xfId="0" applyFont="1" applyFill="1" applyBorder="1" applyAlignment="1">
      <alignment shrinkToFit="1"/>
    </xf>
    <xf numFmtId="0" fontId="0" fillId="7" borderId="1" xfId="0" applyFill="1" applyBorder="1" applyAlignment="1">
      <alignment shrinkToFit="1"/>
    </xf>
    <xf numFmtId="164" fontId="0" fillId="0" borderId="1" xfId="0" applyNumberFormat="1" applyBorder="1" applyAlignment="1">
      <alignment shrinkToFit="1"/>
    </xf>
    <xf numFmtId="9" fontId="0" fillId="0" borderId="1" xfId="0" applyNumberFormat="1" applyBorder="1" applyAlignment="1">
      <alignment shrinkToFit="1"/>
    </xf>
    <xf numFmtId="0" fontId="0" fillId="0" borderId="1" xfId="0" applyBorder="1" applyAlignment="1">
      <alignment shrinkToFit="1"/>
    </xf>
    <xf numFmtId="166" fontId="0" fillId="0" borderId="1" xfId="1" applyNumberFormat="1" applyFont="1" applyBorder="1" applyAlignment="1">
      <alignment shrinkToFit="1"/>
    </xf>
    <xf numFmtId="0" fontId="0" fillId="0" borderId="0" xfId="0" applyAlignment="1">
      <alignment shrinkToFit="1"/>
    </xf>
    <xf numFmtId="0" fontId="2" fillId="7" borderId="0" xfId="0" applyFont="1" applyFill="1" applyBorder="1" applyAlignment="1">
      <alignment shrinkToFit="1"/>
    </xf>
    <xf numFmtId="10" fontId="0" fillId="0" borderId="1" xfId="3" applyNumberFormat="1" applyFont="1" applyBorder="1" applyAlignment="1">
      <alignment shrinkToFit="1"/>
    </xf>
    <xf numFmtId="0" fontId="0" fillId="11" borderId="1" xfId="0" applyFill="1" applyBorder="1" applyAlignment="1">
      <alignment shrinkToFit="1"/>
    </xf>
    <xf numFmtId="164" fontId="0" fillId="11" borderId="1" xfId="0" applyNumberFormat="1" applyFill="1" applyBorder="1" applyAlignment="1">
      <alignment shrinkToFit="1"/>
    </xf>
    <xf numFmtId="0" fontId="0" fillId="3" borderId="1" xfId="0" applyFill="1" applyBorder="1" applyAlignment="1">
      <alignment shrinkToFit="1"/>
    </xf>
    <xf numFmtId="164" fontId="0" fillId="3" borderId="1" xfId="0" applyNumberFormat="1" applyFill="1" applyBorder="1" applyAlignment="1">
      <alignment shrinkToFit="1"/>
    </xf>
    <xf numFmtId="164" fontId="0" fillId="11" borderId="1" xfId="0" applyNumberFormat="1" applyFont="1" applyFill="1" applyBorder="1" applyAlignment="1">
      <alignment shrinkToFit="1"/>
    </xf>
    <xf numFmtId="164" fontId="0" fillId="3" borderId="1" xfId="0" applyNumberFormat="1" applyFont="1" applyFill="1" applyBorder="1" applyAlignment="1">
      <alignment shrinkToFit="1"/>
    </xf>
    <xf numFmtId="0" fontId="0" fillId="12" borderId="1" xfId="0" applyFill="1" applyBorder="1" applyAlignment="1">
      <alignment shrinkToFit="1"/>
    </xf>
    <xf numFmtId="168" fontId="0" fillId="0" borderId="1" xfId="0" applyNumberFormat="1" applyBorder="1" applyAlignment="1">
      <alignment shrinkToFit="1"/>
    </xf>
    <xf numFmtId="9" fontId="0" fillId="0" borderId="1" xfId="3" applyFont="1" applyBorder="1" applyAlignment="1">
      <alignment shrinkToFit="1"/>
    </xf>
    <xf numFmtId="0" fontId="8" fillId="0" borderId="0" xfId="0" applyFont="1" applyAlignment="1">
      <alignment shrinkToFit="1"/>
    </xf>
    <xf numFmtId="0" fontId="0" fillId="7" borderId="6" xfId="0" applyFill="1" applyBorder="1" applyAlignment="1">
      <alignment shrinkToFit="1"/>
    </xf>
    <xf numFmtId="0" fontId="2" fillId="12" borderId="1" xfId="0" applyFont="1" applyFill="1" applyBorder="1" applyAlignment="1">
      <alignment shrinkToFit="1"/>
    </xf>
    <xf numFmtId="164" fontId="0" fillId="0" borderId="0" xfId="0" applyNumberFormat="1" applyAlignment="1">
      <alignment shrinkToFit="1"/>
    </xf>
    <xf numFmtId="10" fontId="0" fillId="0" borderId="1" xfId="0" applyNumberFormat="1" applyBorder="1" applyAlignment="1">
      <alignment shrinkToFit="1"/>
    </xf>
  </cellXfs>
  <cellStyles count="62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Millares [0]" xfId="1" builtinId="6"/>
    <cellStyle name="Moneda [0]" xfId="2" builtinId="7"/>
    <cellStyle name="Normal" xfId="0" builtinId="0"/>
    <cellStyle name="Porcentual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62"/>
  <sheetViews>
    <sheetView topLeftCell="A115" zoomScale="125" zoomScaleNormal="125" zoomScalePageLayoutView="125" workbookViewId="0">
      <selection activeCell="C19" sqref="C19"/>
    </sheetView>
  </sheetViews>
  <sheetFormatPr baseColWidth="10" defaultColWidth="33.6640625" defaultRowHeight="15" x14ac:dyDescent="0"/>
  <cols>
    <col min="1" max="1" width="33.6640625" style="35"/>
    <col min="2" max="16384" width="33.6640625" style="30"/>
  </cols>
  <sheetData>
    <row r="1" spans="1:87" s="31" customFormat="1">
      <c r="A1" s="4" t="s">
        <v>1</v>
      </c>
      <c r="B1" s="4" t="s">
        <v>3</v>
      </c>
      <c r="D1" s="4" t="s">
        <v>22</v>
      </c>
      <c r="E1" s="6">
        <v>0.33</v>
      </c>
      <c r="CI1" s="32"/>
    </row>
    <row r="2" spans="1:87">
      <c r="A2" s="3" t="s">
        <v>2</v>
      </c>
      <c r="B2" s="5">
        <v>290000000</v>
      </c>
      <c r="D2" s="3" t="s">
        <v>23</v>
      </c>
      <c r="E2" s="3"/>
      <c r="CI2" s="33"/>
    </row>
    <row r="3" spans="1:87">
      <c r="A3" s="3" t="s">
        <v>4</v>
      </c>
      <c r="B3" s="1">
        <v>375000000</v>
      </c>
      <c r="CI3" s="33"/>
    </row>
    <row r="4" spans="1:87">
      <c r="A4" s="3" t="s">
        <v>5</v>
      </c>
      <c r="B4" s="1">
        <v>580000000</v>
      </c>
      <c r="CI4" s="33"/>
    </row>
    <row r="5" spans="1:87">
      <c r="A5" s="3" t="s">
        <v>21</v>
      </c>
      <c r="B5" s="1">
        <f>SUM(B2:B4)</f>
        <v>1245000000</v>
      </c>
      <c r="CI5" s="33"/>
    </row>
    <row r="6" spans="1:87">
      <c r="A6" s="34"/>
      <c r="CI6" s="33"/>
    </row>
    <row r="7" spans="1:87">
      <c r="A7" s="4" t="s">
        <v>6</v>
      </c>
      <c r="B7" s="4" t="s">
        <v>10</v>
      </c>
      <c r="C7" s="4" t="s">
        <v>11</v>
      </c>
      <c r="D7" s="4" t="s">
        <v>12</v>
      </c>
      <c r="E7" s="4" t="s">
        <v>13</v>
      </c>
      <c r="CI7" s="33"/>
    </row>
    <row r="8" spans="1:87">
      <c r="A8" s="4" t="s">
        <v>7</v>
      </c>
      <c r="B8" s="1">
        <v>400000000</v>
      </c>
      <c r="C8" s="1">
        <v>500000000</v>
      </c>
      <c r="D8" s="1">
        <v>200000000</v>
      </c>
      <c r="E8" s="1">
        <v>300000000</v>
      </c>
      <c r="CI8" s="33"/>
    </row>
    <row r="9" spans="1:87">
      <c r="A9" s="4" t="s">
        <v>14</v>
      </c>
      <c r="B9" s="2">
        <v>0.114</v>
      </c>
      <c r="C9" s="2">
        <v>0.114</v>
      </c>
      <c r="D9" s="2">
        <v>0.114</v>
      </c>
      <c r="E9" s="2">
        <v>0.114</v>
      </c>
      <c r="CI9" s="33"/>
    </row>
    <row r="10" spans="1:87">
      <c r="A10" s="4" t="s">
        <v>15</v>
      </c>
      <c r="B10" s="3">
        <v>6</v>
      </c>
      <c r="C10" s="3">
        <v>6</v>
      </c>
      <c r="D10" s="3">
        <v>6</v>
      </c>
      <c r="E10" s="3">
        <v>6</v>
      </c>
      <c r="CI10" s="33"/>
    </row>
    <row r="11" spans="1:87">
      <c r="A11" s="4" t="s">
        <v>8</v>
      </c>
      <c r="B11" s="3" t="s">
        <v>20</v>
      </c>
      <c r="C11" s="3" t="s">
        <v>20</v>
      </c>
      <c r="D11" s="3" t="s">
        <v>16</v>
      </c>
      <c r="E11" s="3" t="s">
        <v>20</v>
      </c>
      <c r="CI11" s="33"/>
    </row>
    <row r="12" spans="1:87">
      <c r="A12" s="4" t="s">
        <v>9</v>
      </c>
      <c r="B12" s="3" t="s">
        <v>17</v>
      </c>
      <c r="C12" s="3" t="s">
        <v>18</v>
      </c>
      <c r="D12" s="3" t="s">
        <v>19</v>
      </c>
      <c r="E12" s="3" t="s">
        <v>19</v>
      </c>
      <c r="CI12" s="33"/>
    </row>
    <row r="13" spans="1:87">
      <c r="C13"/>
      <c r="D13"/>
      <c r="E13"/>
      <c r="F13"/>
      <c r="G13"/>
      <c r="H13"/>
      <c r="I13"/>
      <c r="CI13" s="33"/>
    </row>
    <row r="14" spans="1:87">
      <c r="C14"/>
      <c r="D14"/>
      <c r="E14"/>
      <c r="F14"/>
      <c r="G14"/>
      <c r="H14"/>
      <c r="I14"/>
      <c r="CI14" s="33"/>
    </row>
    <row r="15" spans="1:87">
      <c r="A15" s="16" t="s">
        <v>24</v>
      </c>
      <c r="B15" s="16" t="s">
        <v>26</v>
      </c>
      <c r="C15"/>
      <c r="D15"/>
      <c r="E15"/>
      <c r="F15"/>
      <c r="G15"/>
      <c r="H15"/>
      <c r="I15"/>
      <c r="CI15" s="33"/>
    </row>
    <row r="16" spans="1:87">
      <c r="A16" s="7" t="s">
        <v>25</v>
      </c>
      <c r="B16" s="13">
        <f>B8</f>
        <v>400000000</v>
      </c>
      <c r="C16"/>
      <c r="D16"/>
      <c r="E16"/>
      <c r="F16"/>
      <c r="G16"/>
      <c r="H16"/>
      <c r="I16"/>
      <c r="CI16" s="33"/>
    </row>
    <row r="17" spans="1:87">
      <c r="A17" s="7" t="s">
        <v>38</v>
      </c>
      <c r="B17" s="7">
        <f>(B9/2) *100%</f>
        <v>5.7000000000000002E-2</v>
      </c>
      <c r="C17"/>
      <c r="D17"/>
      <c r="E17"/>
      <c r="F17"/>
      <c r="G17"/>
      <c r="H17"/>
      <c r="I17"/>
      <c r="CI17" s="33"/>
    </row>
    <row r="18" spans="1:87">
      <c r="A18" s="7" t="s">
        <v>27</v>
      </c>
      <c r="B18" s="7">
        <v>12</v>
      </c>
      <c r="C18"/>
      <c r="D18"/>
      <c r="E18"/>
      <c r="F18"/>
      <c r="G18"/>
      <c r="H18"/>
      <c r="I18"/>
      <c r="CI18" s="33"/>
    </row>
    <row r="19" spans="1:87">
      <c r="A19"/>
      <c r="B19"/>
      <c r="C19"/>
      <c r="D19"/>
      <c r="E19"/>
      <c r="F19"/>
      <c r="G19"/>
      <c r="H19"/>
      <c r="I19"/>
      <c r="J19"/>
      <c r="K19"/>
      <c r="L19"/>
      <c r="M19"/>
      <c r="CI19" s="33"/>
    </row>
    <row r="20" spans="1:87">
      <c r="A20" s="15" t="s">
        <v>28</v>
      </c>
      <c r="B20" s="14">
        <f>B16*((B17*(1+B17)^B18)/((1+B17)^B18-1))</f>
        <v>46929243.457100071</v>
      </c>
      <c r="C20"/>
      <c r="D20"/>
      <c r="E20"/>
      <c r="F20"/>
      <c r="G20"/>
      <c r="H20"/>
      <c r="I20"/>
      <c r="CI20" s="33"/>
    </row>
    <row r="21" spans="1:8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CI21" s="33"/>
    </row>
    <row r="22" spans="1:87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CI22" s="33"/>
    </row>
    <row r="23" spans="1:87">
      <c r="A23"/>
      <c r="B23"/>
      <c r="C23"/>
      <c r="D23"/>
      <c r="E23"/>
      <c r="F23"/>
      <c r="G23"/>
      <c r="H23"/>
      <c r="I23"/>
      <c r="J23"/>
      <c r="K23"/>
      <c r="CI23" s="33"/>
    </row>
    <row r="24" spans="1:87">
      <c r="A24"/>
      <c r="B24"/>
      <c r="C24"/>
      <c r="D24"/>
      <c r="E24"/>
      <c r="F24"/>
      <c r="G24"/>
      <c r="H24"/>
      <c r="I24"/>
      <c r="J24"/>
      <c r="K24"/>
      <c r="CI24" s="33"/>
    </row>
    <row r="25" spans="1:87">
      <c r="A25"/>
      <c r="B25"/>
      <c r="C25"/>
      <c r="D25"/>
      <c r="E25"/>
      <c r="F25"/>
      <c r="G25"/>
      <c r="H25"/>
      <c r="I25"/>
      <c r="J25"/>
      <c r="K25"/>
      <c r="CI25" s="33"/>
    </row>
    <row r="26" spans="1:87">
      <c r="A26"/>
      <c r="B26"/>
      <c r="C26"/>
      <c r="D26"/>
      <c r="E26"/>
      <c r="F26"/>
      <c r="G26"/>
      <c r="H26"/>
      <c r="I26"/>
      <c r="J26"/>
      <c r="K26"/>
      <c r="CI26" s="33"/>
    </row>
    <row r="27" spans="1:87">
      <c r="A27"/>
      <c r="B27"/>
      <c r="C27"/>
      <c r="D27"/>
      <c r="E27"/>
      <c r="F27"/>
      <c r="G27"/>
      <c r="H27"/>
      <c r="I27"/>
      <c r="J27"/>
      <c r="K27"/>
      <c r="CI27" s="33"/>
    </row>
    <row r="28" spans="1:87">
      <c r="A28"/>
      <c r="B28"/>
      <c r="C28"/>
      <c r="D28"/>
      <c r="E28"/>
      <c r="F28"/>
      <c r="G28"/>
      <c r="H28"/>
      <c r="I28"/>
      <c r="J28"/>
      <c r="K28"/>
      <c r="CI28" s="33"/>
    </row>
    <row r="29" spans="1:87">
      <c r="A29"/>
      <c r="B29"/>
      <c r="C29"/>
      <c r="D29"/>
      <c r="E29"/>
      <c r="F29"/>
      <c r="G29"/>
      <c r="H29"/>
      <c r="I29"/>
      <c r="J29"/>
      <c r="K29"/>
      <c r="CI29" s="33"/>
    </row>
    <row r="30" spans="1:87">
      <c r="A30"/>
      <c r="B30"/>
      <c r="C30"/>
      <c r="D30"/>
      <c r="E30"/>
      <c r="F30"/>
      <c r="G30"/>
      <c r="H30"/>
      <c r="I30"/>
      <c r="J30"/>
      <c r="K30"/>
      <c r="CI30" s="33"/>
    </row>
    <row r="31" spans="1:87">
      <c r="A31"/>
      <c r="B31"/>
      <c r="C31"/>
      <c r="D31"/>
      <c r="E31"/>
      <c r="F31"/>
      <c r="G31"/>
      <c r="H31"/>
      <c r="I31"/>
      <c r="J31"/>
      <c r="K31"/>
      <c r="CI31" s="33"/>
    </row>
    <row r="32" spans="1:87">
      <c r="A32"/>
      <c r="B32"/>
      <c r="C32"/>
      <c r="D32"/>
      <c r="E32"/>
      <c r="F32"/>
      <c r="G32"/>
      <c r="H32"/>
      <c r="I32"/>
      <c r="J32"/>
      <c r="K32"/>
      <c r="CI32" s="33"/>
    </row>
    <row r="33" spans="1:87">
      <c r="A33"/>
      <c r="B33"/>
      <c r="C33"/>
      <c r="D33"/>
      <c r="E33"/>
      <c r="F33"/>
      <c r="G33"/>
      <c r="H33"/>
      <c r="I33"/>
      <c r="J33"/>
      <c r="K33"/>
      <c r="CI33" s="33"/>
    </row>
    <row r="34" spans="1:87">
      <c r="CI34" s="33"/>
    </row>
    <row r="35" spans="1:87">
      <c r="A35" s="8" t="s">
        <v>29</v>
      </c>
      <c r="B35" s="9">
        <v>0</v>
      </c>
      <c r="C35" s="9">
        <v>1</v>
      </c>
      <c r="D35" s="9">
        <v>2</v>
      </c>
      <c r="E35" s="9">
        <v>3</v>
      </c>
      <c r="F35" s="9">
        <v>4</v>
      </c>
      <c r="G35" s="9">
        <v>5</v>
      </c>
      <c r="H35" s="9">
        <v>6</v>
      </c>
      <c r="I35" s="9">
        <v>7</v>
      </c>
      <c r="J35" s="9">
        <v>8</v>
      </c>
      <c r="K35" s="9">
        <v>9</v>
      </c>
      <c r="L35" s="9">
        <v>10</v>
      </c>
      <c r="M35" s="9">
        <v>11</v>
      </c>
      <c r="N35" s="9">
        <v>12</v>
      </c>
      <c r="CI35" s="33"/>
    </row>
    <row r="36" spans="1:87">
      <c r="A36" s="8" t="s">
        <v>30</v>
      </c>
      <c r="B36" s="1">
        <v>0</v>
      </c>
      <c r="C36" s="1">
        <f t="shared" ref="C36:N36" si="0">B41</f>
        <v>400000000</v>
      </c>
      <c r="D36" s="1">
        <f t="shared" si="0"/>
        <v>375870756.54289991</v>
      </c>
      <c r="E36" s="1">
        <f t="shared" si="0"/>
        <v>350366146.20874512</v>
      </c>
      <c r="F36" s="1">
        <f t="shared" si="0"/>
        <v>323407773.08554351</v>
      </c>
      <c r="G36" s="1">
        <f t="shared" si="0"/>
        <v>294912772.69431943</v>
      </c>
      <c r="H36" s="1">
        <f t="shared" si="0"/>
        <v>264793557.28079557</v>
      </c>
      <c r="I36" s="1">
        <f t="shared" si="0"/>
        <v>232957546.58870086</v>
      </c>
      <c r="J36" s="1">
        <f t="shared" si="0"/>
        <v>199306883.28715673</v>
      </c>
      <c r="K36" s="1">
        <f t="shared" si="0"/>
        <v>163738132.17742461</v>
      </c>
      <c r="L36" s="1">
        <f t="shared" si="0"/>
        <v>126141962.25443774</v>
      </c>
      <c r="M36" s="1">
        <f t="shared" si="0"/>
        <v>86402810.645840615</v>
      </c>
      <c r="N36" s="1">
        <f t="shared" si="0"/>
        <v>44398527.395553462</v>
      </c>
      <c r="CI36" s="33"/>
    </row>
    <row r="37" spans="1:87">
      <c r="A37" s="8" t="s">
        <v>31</v>
      </c>
      <c r="B37" s="1">
        <f>B16</f>
        <v>400000000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CI37" s="33"/>
    </row>
    <row r="38" spans="1:87">
      <c r="A38" s="8" t="s">
        <v>32</v>
      </c>
      <c r="B38" s="5">
        <v>0</v>
      </c>
      <c r="C38" s="1">
        <f>B17*C36</f>
        <v>22800000</v>
      </c>
      <c r="D38" s="1">
        <f>B17*D36</f>
        <v>21424633.122945294</v>
      </c>
      <c r="E38" s="1">
        <f>B17*E36</f>
        <v>19970870.333898474</v>
      </c>
      <c r="F38" s="1">
        <f>B17*F36</f>
        <v>18434243.065875981</v>
      </c>
      <c r="G38" s="1">
        <f>B17*G36</f>
        <v>16810028.043576207</v>
      </c>
      <c r="H38" s="1">
        <f>B17*H36</f>
        <v>15093232.765005348</v>
      </c>
      <c r="I38" s="1">
        <f>B17*I36</f>
        <v>13278580.155555949</v>
      </c>
      <c r="J38" s="1">
        <f>B17*J36</f>
        <v>11360492.347367935</v>
      </c>
      <c r="K38" s="1">
        <f>B17*K36</f>
        <v>9333073.5341132022</v>
      </c>
      <c r="L38" s="1">
        <f>B17*L36</f>
        <v>7190091.8485029517</v>
      </c>
      <c r="M38" s="1">
        <f>B17*M36</f>
        <v>4924960.2068129154</v>
      </c>
      <c r="N38" s="1">
        <f>B17*N36</f>
        <v>2530716.0615465473</v>
      </c>
      <c r="CI38" s="33"/>
    </row>
    <row r="39" spans="1:87">
      <c r="A39" s="8" t="s">
        <v>33</v>
      </c>
      <c r="B39" s="5">
        <v>0</v>
      </c>
      <c r="C39" s="1">
        <f t="shared" ref="C39:N39" si="1">C40-C38</f>
        <v>24129243.457100071</v>
      </c>
      <c r="D39" s="1">
        <f t="shared" si="1"/>
        <v>25504610.334154777</v>
      </c>
      <c r="E39" s="1">
        <f t="shared" si="1"/>
        <v>26958373.123201597</v>
      </c>
      <c r="F39" s="1">
        <f t="shared" si="1"/>
        <v>28495000.39122409</v>
      </c>
      <c r="G39" s="1">
        <f t="shared" si="1"/>
        <v>30119215.413523864</v>
      </c>
      <c r="H39" s="1">
        <f t="shared" si="1"/>
        <v>31836010.692094721</v>
      </c>
      <c r="I39" s="1">
        <f t="shared" si="1"/>
        <v>33650663.301544122</v>
      </c>
      <c r="J39" s="1">
        <f t="shared" si="1"/>
        <v>35568751.109732136</v>
      </c>
      <c r="K39" s="1">
        <f t="shared" si="1"/>
        <v>37596169.922986865</v>
      </c>
      <c r="L39" s="1">
        <f t="shared" si="1"/>
        <v>39739151.608597122</v>
      </c>
      <c r="M39" s="1">
        <f t="shared" si="1"/>
        <v>42004283.250287153</v>
      </c>
      <c r="N39" s="1">
        <f t="shared" si="1"/>
        <v>44398527.395553522</v>
      </c>
      <c r="CI39" s="33"/>
    </row>
    <row r="40" spans="1:87">
      <c r="A40" s="8" t="s">
        <v>28</v>
      </c>
      <c r="B40" s="5">
        <v>0</v>
      </c>
      <c r="C40" s="1">
        <f>B20</f>
        <v>46929243.457100071</v>
      </c>
      <c r="D40" s="1">
        <f>B20</f>
        <v>46929243.457100071</v>
      </c>
      <c r="E40" s="1">
        <f>B20</f>
        <v>46929243.457100071</v>
      </c>
      <c r="F40" s="1">
        <f>B20</f>
        <v>46929243.457100071</v>
      </c>
      <c r="G40" s="1">
        <f>B20</f>
        <v>46929243.457100071</v>
      </c>
      <c r="H40" s="1">
        <f>B20</f>
        <v>46929243.457100071</v>
      </c>
      <c r="I40" s="1">
        <f>B20</f>
        <v>46929243.457100071</v>
      </c>
      <c r="J40" s="1">
        <f>B20</f>
        <v>46929243.457100071</v>
      </c>
      <c r="K40" s="1">
        <f>B20</f>
        <v>46929243.457100071</v>
      </c>
      <c r="L40" s="1">
        <f>B20</f>
        <v>46929243.457100071</v>
      </c>
      <c r="M40" s="1">
        <f>B20</f>
        <v>46929243.457100071</v>
      </c>
      <c r="N40" s="1">
        <f>B20</f>
        <v>46929243.457100071</v>
      </c>
      <c r="CI40" s="33"/>
    </row>
    <row r="41" spans="1:87">
      <c r="A41" s="8" t="s">
        <v>34</v>
      </c>
      <c r="B41" s="1">
        <f>B37</f>
        <v>400000000</v>
      </c>
      <c r="C41" s="1">
        <f t="shared" ref="C41:N41" si="2">C36-C39</f>
        <v>375870756.54289991</v>
      </c>
      <c r="D41" s="1">
        <f t="shared" si="2"/>
        <v>350366146.20874512</v>
      </c>
      <c r="E41" s="1">
        <f t="shared" si="2"/>
        <v>323407773.08554351</v>
      </c>
      <c r="F41" s="1">
        <f t="shared" si="2"/>
        <v>294912772.69431943</v>
      </c>
      <c r="G41" s="1">
        <f t="shared" si="2"/>
        <v>264793557.28079557</v>
      </c>
      <c r="H41" s="1">
        <f t="shared" si="2"/>
        <v>232957546.58870086</v>
      </c>
      <c r="I41" s="1">
        <f t="shared" si="2"/>
        <v>199306883.28715673</v>
      </c>
      <c r="J41" s="1">
        <f t="shared" si="2"/>
        <v>163738132.17742461</v>
      </c>
      <c r="K41" s="1">
        <f t="shared" si="2"/>
        <v>126141962.25443774</v>
      </c>
      <c r="L41" s="1">
        <f t="shared" si="2"/>
        <v>86402810.645840615</v>
      </c>
      <c r="M41" s="1">
        <f t="shared" si="2"/>
        <v>44398527.395553462</v>
      </c>
      <c r="N41" s="1">
        <f t="shared" si="2"/>
        <v>-5.9604644775390625E-8</v>
      </c>
      <c r="CI41" s="33"/>
    </row>
    <row r="42" spans="1:87">
      <c r="A42" s="8" t="s">
        <v>35</v>
      </c>
      <c r="B42" s="1">
        <f>B37-B40</f>
        <v>400000000</v>
      </c>
      <c r="C42" s="1">
        <f t="shared" ref="C42:N42" si="3">C37-C40</f>
        <v>-46929243.457100071</v>
      </c>
      <c r="D42" s="1">
        <f t="shared" si="3"/>
        <v>-46929243.457100071</v>
      </c>
      <c r="E42" s="1">
        <f t="shared" si="3"/>
        <v>-46929243.457100071</v>
      </c>
      <c r="F42" s="1">
        <f t="shared" si="3"/>
        <v>-46929243.457100071</v>
      </c>
      <c r="G42" s="1">
        <f t="shared" si="3"/>
        <v>-46929243.457100071</v>
      </c>
      <c r="H42" s="1">
        <f t="shared" si="3"/>
        <v>-46929243.457100071</v>
      </c>
      <c r="I42" s="1">
        <f t="shared" si="3"/>
        <v>-46929243.457100071</v>
      </c>
      <c r="J42" s="1">
        <f t="shared" si="3"/>
        <v>-46929243.457100071</v>
      </c>
      <c r="K42" s="1">
        <f t="shared" si="3"/>
        <v>-46929243.457100071</v>
      </c>
      <c r="L42" s="1">
        <f t="shared" si="3"/>
        <v>-46929243.457100071</v>
      </c>
      <c r="M42" s="1">
        <f t="shared" si="3"/>
        <v>-46929243.457100071</v>
      </c>
      <c r="N42" s="1">
        <f t="shared" si="3"/>
        <v>-46929243.457100071</v>
      </c>
      <c r="CI42" s="33"/>
    </row>
    <row r="43" spans="1:87">
      <c r="A43" s="8" t="s">
        <v>36</v>
      </c>
      <c r="B43" s="1">
        <f>0</f>
        <v>0</v>
      </c>
      <c r="C43" s="1">
        <v>0</v>
      </c>
      <c r="D43" s="1">
        <f>(C38+D38)*0.33</f>
        <v>14594128.930571947</v>
      </c>
      <c r="E43" s="1">
        <v>0</v>
      </c>
      <c r="F43" s="1">
        <f t="shared" ref="F43:N43" si="4">(E38+F38)*0.33</f>
        <v>12673687.421925571</v>
      </c>
      <c r="G43" s="1">
        <v>0</v>
      </c>
      <c r="H43" s="1">
        <f t="shared" si="4"/>
        <v>10528076.066831913</v>
      </c>
      <c r="I43" s="5">
        <v>0</v>
      </c>
      <c r="J43" s="1">
        <f t="shared" si="4"/>
        <v>8130893.9259648817</v>
      </c>
      <c r="K43" s="5">
        <v>0</v>
      </c>
      <c r="L43" s="1">
        <f t="shared" si="4"/>
        <v>5452644.5762633318</v>
      </c>
      <c r="M43" s="5">
        <v>0</v>
      </c>
      <c r="N43" s="1">
        <f t="shared" si="4"/>
        <v>2460373.1685586227</v>
      </c>
      <c r="CI43" s="33"/>
    </row>
    <row r="44" spans="1:87">
      <c r="A44" s="8" t="s">
        <v>37</v>
      </c>
      <c r="B44" s="5">
        <f>B42-B43</f>
        <v>400000000</v>
      </c>
      <c r="C44" s="5">
        <f>C42+C43</f>
        <v>-46929243.457100071</v>
      </c>
      <c r="D44" s="5">
        <f t="shared" ref="D44:N44" si="5">D42+D43</f>
        <v>-32335114.526528124</v>
      </c>
      <c r="E44" s="5">
        <f t="shared" si="5"/>
        <v>-46929243.457100071</v>
      </c>
      <c r="F44" s="5">
        <f t="shared" si="5"/>
        <v>-34255556.035174504</v>
      </c>
      <c r="G44" s="5">
        <f t="shared" si="5"/>
        <v>-46929243.457100071</v>
      </c>
      <c r="H44" s="5">
        <f t="shared" si="5"/>
        <v>-36401167.390268162</v>
      </c>
      <c r="I44" s="5">
        <f t="shared" si="5"/>
        <v>-46929243.457100071</v>
      </c>
      <c r="J44" s="5">
        <f t="shared" si="5"/>
        <v>-38798349.531135187</v>
      </c>
      <c r="K44" s="5">
        <f t="shared" si="5"/>
        <v>-46929243.457100071</v>
      </c>
      <c r="L44" s="5">
        <f t="shared" si="5"/>
        <v>-41476598.88083674</v>
      </c>
      <c r="M44" s="5">
        <f t="shared" si="5"/>
        <v>-46929243.457100071</v>
      </c>
      <c r="N44" s="5">
        <f t="shared" si="5"/>
        <v>-44468870.288541451</v>
      </c>
      <c r="CI44" s="33"/>
    </row>
    <row r="45" spans="1:87">
      <c r="CI45" s="33"/>
    </row>
    <row r="46" spans="1:87">
      <c r="A46" s="8" t="s">
        <v>40</v>
      </c>
      <c r="B46" s="12">
        <f>IRR(B44:N44)</f>
        <v>3.8567697357282826E-2</v>
      </c>
      <c r="CI46" s="33"/>
    </row>
    <row r="47" spans="1:87">
      <c r="CI47" s="33"/>
    </row>
    <row r="48" spans="1:87">
      <c r="CI48" s="33"/>
    </row>
    <row r="49" spans="1:87">
      <c r="CI49" s="33"/>
    </row>
    <row r="50" spans="1:87">
      <c r="A50" s="10" t="s">
        <v>41</v>
      </c>
      <c r="B50" s="10" t="s">
        <v>26</v>
      </c>
      <c r="CI50" s="33"/>
    </row>
    <row r="51" spans="1:87">
      <c r="A51" s="7" t="s">
        <v>25</v>
      </c>
      <c r="B51" s="1">
        <f>C8</f>
        <v>500000000</v>
      </c>
      <c r="CI51" s="33"/>
    </row>
    <row r="52" spans="1:87">
      <c r="A52" s="3" t="s">
        <v>38</v>
      </c>
      <c r="B52" s="3">
        <f>B9/2</f>
        <v>5.7000000000000002E-2</v>
      </c>
      <c r="CI52" s="33"/>
    </row>
    <row r="53" spans="1:87">
      <c r="A53" s="3" t="s">
        <v>27</v>
      </c>
      <c r="B53" s="3">
        <v>12</v>
      </c>
      <c r="CI53" s="33"/>
    </row>
    <row r="54" spans="1:87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22"/>
    </row>
    <row r="57" spans="1:87">
      <c r="A57" s="10" t="s">
        <v>29</v>
      </c>
      <c r="B57" s="11">
        <v>0</v>
      </c>
      <c r="C57" s="11">
        <v>1</v>
      </c>
      <c r="D57" s="11">
        <v>2</v>
      </c>
      <c r="E57" s="11">
        <v>3</v>
      </c>
      <c r="F57" s="11">
        <v>4</v>
      </c>
      <c r="G57" s="11">
        <v>5</v>
      </c>
      <c r="H57" s="11">
        <v>6</v>
      </c>
      <c r="I57" s="11">
        <v>7</v>
      </c>
      <c r="J57" s="11">
        <v>8</v>
      </c>
      <c r="K57" s="11">
        <v>9</v>
      </c>
      <c r="L57" s="11">
        <v>10</v>
      </c>
      <c r="M57" s="11">
        <v>11</v>
      </c>
      <c r="N57" s="11">
        <v>12</v>
      </c>
    </row>
    <row r="58" spans="1:87">
      <c r="A58" s="10" t="s">
        <v>30</v>
      </c>
      <c r="B58" s="1">
        <v>0</v>
      </c>
      <c r="C58" s="1">
        <f>B63</f>
        <v>500000000</v>
      </c>
      <c r="D58" s="1">
        <f>B63</f>
        <v>500000000</v>
      </c>
      <c r="E58" s="1">
        <f>B63</f>
        <v>500000000</v>
      </c>
      <c r="F58" s="1">
        <f>B63</f>
        <v>500000000</v>
      </c>
      <c r="G58" s="1">
        <f>B63</f>
        <v>500000000</v>
      </c>
      <c r="H58" s="1">
        <f>B63</f>
        <v>500000000</v>
      </c>
      <c r="I58" s="1">
        <f>B63</f>
        <v>500000000</v>
      </c>
      <c r="J58" s="1">
        <f>B63</f>
        <v>500000000</v>
      </c>
      <c r="K58" s="1">
        <f>B63</f>
        <v>500000000</v>
      </c>
      <c r="L58" s="1">
        <f>B63</f>
        <v>500000000</v>
      </c>
      <c r="M58" s="1">
        <f>B63</f>
        <v>500000000</v>
      </c>
      <c r="N58" s="1">
        <f>B63</f>
        <v>500000000</v>
      </c>
    </row>
    <row r="59" spans="1:87">
      <c r="A59" s="10" t="s">
        <v>31</v>
      </c>
      <c r="B59" s="1">
        <f>B51</f>
        <v>500000000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</row>
    <row r="60" spans="1:87">
      <c r="A60" s="10" t="s">
        <v>32</v>
      </c>
      <c r="B60" s="1">
        <v>0</v>
      </c>
      <c r="C60" s="1">
        <f>B52*C58</f>
        <v>28500000</v>
      </c>
      <c r="D60" s="1">
        <f>B52*D58</f>
        <v>28500000</v>
      </c>
      <c r="E60" s="1">
        <f>B52*E58</f>
        <v>28500000</v>
      </c>
      <c r="F60" s="1">
        <f>B52*F58</f>
        <v>28500000</v>
      </c>
      <c r="G60" s="1">
        <f>B52*G58</f>
        <v>28500000</v>
      </c>
      <c r="H60" s="1">
        <f>B52*H58</f>
        <v>28500000</v>
      </c>
      <c r="I60" s="1">
        <f>B52*I58</f>
        <v>28500000</v>
      </c>
      <c r="J60" s="1">
        <f>B52*J58</f>
        <v>28500000</v>
      </c>
      <c r="K60" s="1">
        <f>B52*K58</f>
        <v>28500000</v>
      </c>
      <c r="L60" s="1">
        <f>B52*L58</f>
        <v>28500000</v>
      </c>
      <c r="M60" s="1">
        <f>B52*M58</f>
        <v>28500000</v>
      </c>
      <c r="N60" s="1">
        <f>B52*N58</f>
        <v>28500000</v>
      </c>
    </row>
    <row r="61" spans="1:87">
      <c r="A61" s="10" t="s">
        <v>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f>N58</f>
        <v>500000000</v>
      </c>
    </row>
    <row r="62" spans="1:87">
      <c r="A62" s="10" t="s">
        <v>28</v>
      </c>
      <c r="B62" s="1">
        <v>0</v>
      </c>
      <c r="C62" s="1">
        <f>C60+C61</f>
        <v>28500000</v>
      </c>
      <c r="D62" s="1">
        <f>D60+D61</f>
        <v>28500000</v>
      </c>
      <c r="E62" s="1">
        <f t="shared" ref="E62:N62" si="6">E60+E61</f>
        <v>28500000</v>
      </c>
      <c r="F62" s="1">
        <f t="shared" si="6"/>
        <v>28500000</v>
      </c>
      <c r="G62" s="1">
        <f t="shared" si="6"/>
        <v>28500000</v>
      </c>
      <c r="H62" s="1">
        <f t="shared" si="6"/>
        <v>28500000</v>
      </c>
      <c r="I62" s="1">
        <f t="shared" si="6"/>
        <v>28500000</v>
      </c>
      <c r="J62" s="1">
        <f t="shared" si="6"/>
        <v>28500000</v>
      </c>
      <c r="K62" s="1">
        <f t="shared" si="6"/>
        <v>28500000</v>
      </c>
      <c r="L62" s="1">
        <f t="shared" si="6"/>
        <v>28500000</v>
      </c>
      <c r="M62" s="1">
        <f t="shared" si="6"/>
        <v>28500000</v>
      </c>
      <c r="N62" s="1">
        <f t="shared" si="6"/>
        <v>528500000</v>
      </c>
    </row>
    <row r="63" spans="1:87">
      <c r="A63" s="10" t="s">
        <v>34</v>
      </c>
      <c r="B63" s="1">
        <f>B59</f>
        <v>500000000</v>
      </c>
      <c r="C63" s="1">
        <f t="shared" ref="C63:N63" si="7">C58-C61</f>
        <v>500000000</v>
      </c>
      <c r="D63" s="1">
        <f t="shared" si="7"/>
        <v>500000000</v>
      </c>
      <c r="E63" s="1">
        <f t="shared" si="7"/>
        <v>500000000</v>
      </c>
      <c r="F63" s="1">
        <f t="shared" si="7"/>
        <v>500000000</v>
      </c>
      <c r="G63" s="1">
        <f t="shared" si="7"/>
        <v>500000000</v>
      </c>
      <c r="H63" s="1">
        <f t="shared" si="7"/>
        <v>500000000</v>
      </c>
      <c r="I63" s="1">
        <f t="shared" si="7"/>
        <v>500000000</v>
      </c>
      <c r="J63" s="1">
        <f t="shared" si="7"/>
        <v>500000000</v>
      </c>
      <c r="K63" s="1">
        <f t="shared" si="7"/>
        <v>500000000</v>
      </c>
      <c r="L63" s="1">
        <f t="shared" si="7"/>
        <v>500000000</v>
      </c>
      <c r="M63" s="1">
        <f t="shared" si="7"/>
        <v>500000000</v>
      </c>
      <c r="N63" s="1">
        <f t="shared" si="7"/>
        <v>0</v>
      </c>
    </row>
    <row r="64" spans="1:87">
      <c r="A64" s="10" t="s">
        <v>35</v>
      </c>
      <c r="B64" s="1">
        <f>B59-B62</f>
        <v>500000000</v>
      </c>
      <c r="C64" s="1">
        <f t="shared" ref="C64:N64" si="8">C59-C62</f>
        <v>-28500000</v>
      </c>
      <c r="D64" s="1">
        <f t="shared" si="8"/>
        <v>-28500000</v>
      </c>
      <c r="E64" s="1">
        <f t="shared" si="8"/>
        <v>-28500000</v>
      </c>
      <c r="F64" s="1">
        <f t="shared" si="8"/>
        <v>-28500000</v>
      </c>
      <c r="G64" s="1">
        <f t="shared" si="8"/>
        <v>-28500000</v>
      </c>
      <c r="H64" s="1">
        <f t="shared" si="8"/>
        <v>-28500000</v>
      </c>
      <c r="I64" s="1">
        <f t="shared" si="8"/>
        <v>-28500000</v>
      </c>
      <c r="J64" s="1">
        <f t="shared" si="8"/>
        <v>-28500000</v>
      </c>
      <c r="K64" s="1">
        <f t="shared" si="8"/>
        <v>-28500000</v>
      </c>
      <c r="L64" s="1">
        <f t="shared" si="8"/>
        <v>-28500000</v>
      </c>
      <c r="M64" s="1">
        <f t="shared" si="8"/>
        <v>-28500000</v>
      </c>
      <c r="N64" s="1">
        <f t="shared" si="8"/>
        <v>-528500000</v>
      </c>
    </row>
    <row r="65" spans="1:14">
      <c r="A65" s="10" t="s">
        <v>36</v>
      </c>
      <c r="B65" s="1">
        <f>0</f>
        <v>0</v>
      </c>
      <c r="C65" s="1">
        <v>0</v>
      </c>
      <c r="D65" s="1">
        <f>(C60+D60)*0.33</f>
        <v>18810000</v>
      </c>
      <c r="E65" s="1">
        <v>0</v>
      </c>
      <c r="F65" s="1">
        <f t="shared" ref="F65" si="9">(E60+F60)*0.33</f>
        <v>18810000</v>
      </c>
      <c r="G65" s="1">
        <v>0</v>
      </c>
      <c r="H65" s="1">
        <f t="shared" ref="H65" si="10">(G60+H60)*0.33</f>
        <v>18810000</v>
      </c>
      <c r="I65" s="5">
        <v>0</v>
      </c>
      <c r="J65" s="1">
        <f t="shared" ref="J65" si="11">(I60+J60)*0.33</f>
        <v>18810000</v>
      </c>
      <c r="K65" s="5">
        <v>0</v>
      </c>
      <c r="L65" s="1">
        <f t="shared" ref="L65" si="12">(K60+L60)*0.33</f>
        <v>18810000</v>
      </c>
      <c r="M65" s="5">
        <v>0</v>
      </c>
      <c r="N65" s="1">
        <f t="shared" ref="N65" si="13">(M60+N60)*0.33</f>
        <v>18810000</v>
      </c>
    </row>
    <row r="66" spans="1:14">
      <c r="A66" s="10" t="s">
        <v>37</v>
      </c>
      <c r="B66" s="5">
        <f>B64-B65</f>
        <v>500000000</v>
      </c>
      <c r="C66" s="5">
        <f>C64+C65</f>
        <v>-28500000</v>
      </c>
      <c r="D66" s="5">
        <f t="shared" ref="D66" si="14">D64+D65</f>
        <v>-9690000</v>
      </c>
      <c r="E66" s="5">
        <f t="shared" ref="E66" si="15">E64+E65</f>
        <v>-28500000</v>
      </c>
      <c r="F66" s="5">
        <f t="shared" ref="F66" si="16">F64+F65</f>
        <v>-9690000</v>
      </c>
      <c r="G66" s="5">
        <f t="shared" ref="G66" si="17">G64+G65</f>
        <v>-28500000</v>
      </c>
      <c r="H66" s="5">
        <f t="shared" ref="H66" si="18">H64+H65</f>
        <v>-9690000</v>
      </c>
      <c r="I66" s="5">
        <f t="shared" ref="I66" si="19">I64+I65</f>
        <v>-28500000</v>
      </c>
      <c r="J66" s="5">
        <f t="shared" ref="J66" si="20">J64+J65</f>
        <v>-9690000</v>
      </c>
      <c r="K66" s="5">
        <f t="shared" ref="K66" si="21">K64+K65</f>
        <v>-28500000</v>
      </c>
      <c r="L66" s="5">
        <f t="shared" ref="L66" si="22">L64+L65</f>
        <v>-9690000</v>
      </c>
      <c r="M66" s="5">
        <f t="shared" ref="M66" si="23">M64+M65</f>
        <v>-28500000</v>
      </c>
      <c r="N66" s="5">
        <f t="shared" ref="N66" si="24">N64+N65</f>
        <v>-509690000</v>
      </c>
    </row>
    <row r="68" spans="1:14">
      <c r="A68" s="10" t="s">
        <v>40</v>
      </c>
      <c r="B68" s="12">
        <f>IRR(B66:N66)</f>
        <v>3.854566728440556E-2</v>
      </c>
    </row>
    <row r="72" spans="1:14">
      <c r="A72" s="8" t="s">
        <v>42</v>
      </c>
      <c r="B72" s="8" t="s">
        <v>26</v>
      </c>
    </row>
    <row r="73" spans="1:14">
      <c r="A73" s="7" t="s">
        <v>25</v>
      </c>
      <c r="B73" s="1">
        <f>D8</f>
        <v>200000000</v>
      </c>
    </row>
    <row r="74" spans="1:14">
      <c r="A74" s="3" t="s">
        <v>38</v>
      </c>
      <c r="B74" s="3">
        <f>D9/2</f>
        <v>5.7000000000000002E-2</v>
      </c>
    </row>
    <row r="75" spans="1:14">
      <c r="A75" s="3" t="s">
        <v>27</v>
      </c>
      <c r="B75" s="3">
        <v>12</v>
      </c>
    </row>
    <row r="77" spans="1:14">
      <c r="A77" s="35" t="s">
        <v>33</v>
      </c>
      <c r="B77" s="39">
        <f>B73/(B75-2)</f>
        <v>20000000</v>
      </c>
    </row>
    <row r="79" spans="1:14">
      <c r="A79" s="8" t="s">
        <v>29</v>
      </c>
      <c r="B79" s="9">
        <v>0</v>
      </c>
      <c r="C79" s="9">
        <v>1</v>
      </c>
      <c r="D79" s="9">
        <v>2</v>
      </c>
      <c r="E79" s="9">
        <v>3</v>
      </c>
      <c r="F79" s="9">
        <v>4</v>
      </c>
      <c r="G79" s="9">
        <v>5</v>
      </c>
      <c r="H79" s="9">
        <v>6</v>
      </c>
      <c r="I79" s="9">
        <v>7</v>
      </c>
      <c r="J79" s="9">
        <v>8</v>
      </c>
      <c r="K79" s="9">
        <v>9</v>
      </c>
      <c r="L79" s="9">
        <v>10</v>
      </c>
      <c r="M79" s="9">
        <v>11</v>
      </c>
      <c r="N79" s="9">
        <v>12</v>
      </c>
    </row>
    <row r="80" spans="1:14">
      <c r="A80" s="8" t="s">
        <v>30</v>
      </c>
      <c r="B80" s="1">
        <v>0</v>
      </c>
      <c r="C80" s="1">
        <f t="shared" ref="C80:N80" si="25">B85</f>
        <v>200000000</v>
      </c>
      <c r="D80" s="1">
        <f t="shared" si="25"/>
        <v>200000000</v>
      </c>
      <c r="E80" s="1">
        <f t="shared" si="25"/>
        <v>200000000</v>
      </c>
      <c r="F80" s="1">
        <f t="shared" si="25"/>
        <v>180000000</v>
      </c>
      <c r="G80" s="1">
        <f t="shared" si="25"/>
        <v>160000000</v>
      </c>
      <c r="H80" s="1">
        <f t="shared" si="25"/>
        <v>140000000</v>
      </c>
      <c r="I80" s="1">
        <f t="shared" si="25"/>
        <v>120000000</v>
      </c>
      <c r="J80" s="1">
        <f t="shared" si="25"/>
        <v>100000000</v>
      </c>
      <c r="K80" s="1">
        <f t="shared" si="25"/>
        <v>80000000</v>
      </c>
      <c r="L80" s="1">
        <f t="shared" si="25"/>
        <v>60000000</v>
      </c>
      <c r="M80" s="1">
        <f t="shared" si="25"/>
        <v>40000000</v>
      </c>
      <c r="N80" s="1">
        <f t="shared" si="25"/>
        <v>20000000</v>
      </c>
    </row>
    <row r="81" spans="1:14">
      <c r="A81" s="8" t="s">
        <v>31</v>
      </c>
      <c r="B81" s="1">
        <f>B73</f>
        <v>200000000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</row>
    <row r="82" spans="1:14">
      <c r="A82" s="8" t="s">
        <v>32</v>
      </c>
      <c r="B82" s="1">
        <v>0</v>
      </c>
      <c r="C82" s="1">
        <f>B74*C80</f>
        <v>11400000</v>
      </c>
      <c r="D82" s="1">
        <f>B74*D80</f>
        <v>11400000</v>
      </c>
      <c r="E82" s="1">
        <f>B74*E80</f>
        <v>11400000</v>
      </c>
      <c r="F82" s="1">
        <f>B74*F80</f>
        <v>10260000</v>
      </c>
      <c r="G82" s="1">
        <f>B74*G80</f>
        <v>9120000</v>
      </c>
      <c r="H82" s="1">
        <f>B74*H80</f>
        <v>7980000</v>
      </c>
      <c r="I82" s="1">
        <f>B74*I80</f>
        <v>6840000</v>
      </c>
      <c r="J82" s="1">
        <f>B74*J80</f>
        <v>5700000</v>
      </c>
      <c r="K82" s="1">
        <f>B74*K80</f>
        <v>4560000</v>
      </c>
      <c r="L82" s="1">
        <f>B74*L80</f>
        <v>3420000</v>
      </c>
      <c r="M82" s="1">
        <f>B74*M80</f>
        <v>2280000</v>
      </c>
      <c r="N82" s="1">
        <f>B74*N80</f>
        <v>1140000</v>
      </c>
    </row>
    <row r="83" spans="1:14">
      <c r="A83" s="8" t="s">
        <v>33</v>
      </c>
      <c r="B83" s="1">
        <v>0</v>
      </c>
      <c r="C83" s="1">
        <v>0</v>
      </c>
      <c r="D83" s="1">
        <v>0</v>
      </c>
      <c r="E83" s="1">
        <f>B77</f>
        <v>20000000</v>
      </c>
      <c r="F83" s="1">
        <f>B77</f>
        <v>20000000</v>
      </c>
      <c r="G83" s="1">
        <f>B77</f>
        <v>20000000</v>
      </c>
      <c r="H83" s="1">
        <f>B77</f>
        <v>20000000</v>
      </c>
      <c r="I83" s="1">
        <f>B77</f>
        <v>20000000</v>
      </c>
      <c r="J83" s="1">
        <f>B77</f>
        <v>20000000</v>
      </c>
      <c r="K83" s="1">
        <f>B77</f>
        <v>20000000</v>
      </c>
      <c r="L83" s="1">
        <f>B77</f>
        <v>20000000</v>
      </c>
      <c r="M83" s="1">
        <f>B77</f>
        <v>20000000</v>
      </c>
      <c r="N83" s="1">
        <f>B77</f>
        <v>20000000</v>
      </c>
    </row>
    <row r="84" spans="1:14">
      <c r="A84" s="8" t="s">
        <v>28</v>
      </c>
      <c r="B84" s="1">
        <v>0</v>
      </c>
      <c r="C84" s="1">
        <f>C82+C83</f>
        <v>11400000</v>
      </c>
      <c r="D84" s="1">
        <f>D82+D83</f>
        <v>11400000</v>
      </c>
      <c r="E84" s="1">
        <f t="shared" ref="E84" si="26">E82+E83</f>
        <v>31400000</v>
      </c>
      <c r="F84" s="1">
        <f t="shared" ref="F84" si="27">F82+F83</f>
        <v>30260000</v>
      </c>
      <c r="G84" s="1">
        <f t="shared" ref="G84" si="28">G82+G83</f>
        <v>29120000</v>
      </c>
      <c r="H84" s="1">
        <f t="shared" ref="H84" si="29">H82+H83</f>
        <v>27980000</v>
      </c>
      <c r="I84" s="1">
        <f t="shared" ref="I84" si="30">I82+I83</f>
        <v>26840000</v>
      </c>
      <c r="J84" s="1">
        <f t="shared" ref="J84" si="31">J82+J83</f>
        <v>25700000</v>
      </c>
      <c r="K84" s="1">
        <f t="shared" ref="K84" si="32">K82+K83</f>
        <v>24560000</v>
      </c>
      <c r="L84" s="1">
        <f t="shared" ref="L84" si="33">L82+L83</f>
        <v>23420000</v>
      </c>
      <c r="M84" s="1">
        <f t="shared" ref="M84" si="34">M82+M83</f>
        <v>22280000</v>
      </c>
      <c r="N84" s="1">
        <f t="shared" ref="N84" si="35">N82+N83</f>
        <v>21140000</v>
      </c>
    </row>
    <row r="85" spans="1:14">
      <c r="A85" s="8" t="s">
        <v>34</v>
      </c>
      <c r="B85" s="1">
        <f>B81</f>
        <v>200000000</v>
      </c>
      <c r="C85" s="1">
        <f t="shared" ref="C85:N85" si="36">C80-C83</f>
        <v>200000000</v>
      </c>
      <c r="D85" s="1">
        <f t="shared" si="36"/>
        <v>200000000</v>
      </c>
      <c r="E85" s="1">
        <f t="shared" si="36"/>
        <v>180000000</v>
      </c>
      <c r="F85" s="1">
        <f t="shared" si="36"/>
        <v>160000000</v>
      </c>
      <c r="G85" s="1">
        <f t="shared" si="36"/>
        <v>140000000</v>
      </c>
      <c r="H85" s="1">
        <f t="shared" si="36"/>
        <v>120000000</v>
      </c>
      <c r="I85" s="1">
        <f t="shared" si="36"/>
        <v>100000000</v>
      </c>
      <c r="J85" s="1">
        <f t="shared" si="36"/>
        <v>80000000</v>
      </c>
      <c r="K85" s="1">
        <f t="shared" si="36"/>
        <v>60000000</v>
      </c>
      <c r="L85" s="1">
        <f t="shared" si="36"/>
        <v>40000000</v>
      </c>
      <c r="M85" s="1">
        <f t="shared" si="36"/>
        <v>20000000</v>
      </c>
      <c r="N85" s="1">
        <f t="shared" si="36"/>
        <v>0</v>
      </c>
    </row>
    <row r="86" spans="1:14">
      <c r="A86" s="8" t="s">
        <v>35</v>
      </c>
      <c r="B86" s="1">
        <f>B81-B84</f>
        <v>200000000</v>
      </c>
      <c r="C86" s="1">
        <f t="shared" ref="C86:N86" si="37">C81-C84</f>
        <v>-11400000</v>
      </c>
      <c r="D86" s="1">
        <f t="shared" si="37"/>
        <v>-11400000</v>
      </c>
      <c r="E86" s="1">
        <f t="shared" si="37"/>
        <v>-31400000</v>
      </c>
      <c r="F86" s="1">
        <f t="shared" si="37"/>
        <v>-30260000</v>
      </c>
      <c r="G86" s="1">
        <f t="shared" si="37"/>
        <v>-29120000</v>
      </c>
      <c r="H86" s="1">
        <f t="shared" si="37"/>
        <v>-27980000</v>
      </c>
      <c r="I86" s="1">
        <f t="shared" si="37"/>
        <v>-26840000</v>
      </c>
      <c r="J86" s="1">
        <f t="shared" si="37"/>
        <v>-25700000</v>
      </c>
      <c r="K86" s="1">
        <f t="shared" si="37"/>
        <v>-24560000</v>
      </c>
      <c r="L86" s="1">
        <f t="shared" si="37"/>
        <v>-23420000</v>
      </c>
      <c r="M86" s="1">
        <f t="shared" si="37"/>
        <v>-22280000</v>
      </c>
      <c r="N86" s="1">
        <f t="shared" si="37"/>
        <v>-21140000</v>
      </c>
    </row>
    <row r="87" spans="1:14">
      <c r="A87" s="8" t="s">
        <v>36</v>
      </c>
      <c r="B87" s="1">
        <f>0</f>
        <v>0</v>
      </c>
      <c r="C87" s="1">
        <v>0</v>
      </c>
      <c r="D87" s="1">
        <f>(C82+D82)*0.33</f>
        <v>7524000</v>
      </c>
      <c r="E87" s="1">
        <v>0</v>
      </c>
      <c r="F87" s="1">
        <f t="shared" ref="F87" si="38">(E82+F82)*0.33</f>
        <v>7147800</v>
      </c>
      <c r="G87" s="1">
        <v>0</v>
      </c>
      <c r="H87" s="1">
        <f t="shared" ref="H87" si="39">(G82+H82)*0.33</f>
        <v>5643000</v>
      </c>
      <c r="I87" s="5">
        <v>0</v>
      </c>
      <c r="J87" s="1">
        <f t="shared" ref="J87" si="40">(I82+J82)*0.33</f>
        <v>4138200</v>
      </c>
      <c r="K87" s="5">
        <v>0</v>
      </c>
      <c r="L87" s="1">
        <f t="shared" ref="L87" si="41">(K82+L82)*0.33</f>
        <v>2633400</v>
      </c>
      <c r="M87" s="5">
        <v>0</v>
      </c>
      <c r="N87" s="1">
        <f t="shared" ref="N87" si="42">(M82+N82)*0.33</f>
        <v>1128600</v>
      </c>
    </row>
    <row r="88" spans="1:14">
      <c r="A88" s="8" t="s">
        <v>37</v>
      </c>
      <c r="B88" s="5">
        <f>B86-B87</f>
        <v>200000000</v>
      </c>
      <c r="C88" s="5">
        <f>C86+C87</f>
        <v>-11400000</v>
      </c>
      <c r="D88" s="5">
        <f t="shared" ref="D88" si="43">D86+D87</f>
        <v>-3876000</v>
      </c>
      <c r="E88" s="5">
        <f t="shared" ref="E88" si="44">E86+E87</f>
        <v>-31400000</v>
      </c>
      <c r="F88" s="5">
        <f t="shared" ref="F88" si="45">F86+F87</f>
        <v>-23112200</v>
      </c>
      <c r="G88" s="5">
        <f t="shared" ref="G88" si="46">G86+G87</f>
        <v>-29120000</v>
      </c>
      <c r="H88" s="5">
        <f t="shared" ref="H88" si="47">H86+H87</f>
        <v>-22337000</v>
      </c>
      <c r="I88" s="5">
        <f t="shared" ref="I88" si="48">I86+I87</f>
        <v>-26840000</v>
      </c>
      <c r="J88" s="5">
        <f t="shared" ref="J88" si="49">J86+J87</f>
        <v>-21561800</v>
      </c>
      <c r="K88" s="5">
        <f t="shared" ref="K88" si="50">K86+K87</f>
        <v>-24560000</v>
      </c>
      <c r="L88" s="5">
        <f t="shared" ref="L88" si="51">L86+L87</f>
        <v>-20786600</v>
      </c>
      <c r="M88" s="5">
        <f t="shared" ref="M88" si="52">M86+M87</f>
        <v>-22280000</v>
      </c>
      <c r="N88" s="5">
        <f t="shared" ref="N88" si="53">N86+N87</f>
        <v>-20011400</v>
      </c>
    </row>
    <row r="90" spans="1:14">
      <c r="A90" s="8" t="s">
        <v>40</v>
      </c>
      <c r="B90" s="12">
        <f>IRR(B88:N88)</f>
        <v>3.8566873491407971E-2</v>
      </c>
    </row>
    <row r="94" spans="1:14">
      <c r="A94" s="10" t="s">
        <v>54</v>
      </c>
      <c r="B94" s="10" t="s">
        <v>26</v>
      </c>
    </row>
    <row r="95" spans="1:14">
      <c r="A95" s="7" t="s">
        <v>25</v>
      </c>
      <c r="B95" s="1">
        <f>E8</f>
        <v>300000000</v>
      </c>
    </row>
    <row r="96" spans="1:14">
      <c r="A96" s="3" t="s">
        <v>38</v>
      </c>
      <c r="B96" s="3">
        <f>E9/2</f>
        <v>5.7000000000000002E-2</v>
      </c>
    </row>
    <row r="97" spans="1:14">
      <c r="A97" s="3" t="s">
        <v>27</v>
      </c>
      <c r="B97" s="3">
        <v>12</v>
      </c>
    </row>
    <row r="99" spans="1:14">
      <c r="A99" s="35" t="s">
        <v>33</v>
      </c>
      <c r="B99" s="39">
        <f>B95/(B97)</f>
        <v>25000000</v>
      </c>
    </row>
    <row r="101" spans="1:14">
      <c r="A101" s="10" t="s">
        <v>29</v>
      </c>
      <c r="B101" s="11">
        <v>0</v>
      </c>
      <c r="C101" s="11">
        <v>1</v>
      </c>
      <c r="D101" s="11">
        <v>2</v>
      </c>
      <c r="E101" s="11">
        <v>3</v>
      </c>
      <c r="F101" s="11">
        <v>4</v>
      </c>
      <c r="G101" s="11">
        <v>5</v>
      </c>
      <c r="H101" s="11">
        <v>6</v>
      </c>
      <c r="I101" s="11">
        <v>7</v>
      </c>
      <c r="J101" s="11">
        <v>8</v>
      </c>
      <c r="K101" s="11">
        <v>9</v>
      </c>
      <c r="L101" s="11">
        <v>10</v>
      </c>
      <c r="M101" s="11">
        <v>11</v>
      </c>
      <c r="N101" s="11">
        <v>12</v>
      </c>
    </row>
    <row r="102" spans="1:14">
      <c r="A102" s="10" t="s">
        <v>30</v>
      </c>
      <c r="B102" s="1">
        <v>0</v>
      </c>
      <c r="C102" s="1">
        <f t="shared" ref="C102:N102" si="54">B107</f>
        <v>300000000</v>
      </c>
      <c r="D102" s="1">
        <f t="shared" si="54"/>
        <v>275000000</v>
      </c>
      <c r="E102" s="1">
        <f t="shared" si="54"/>
        <v>250000000</v>
      </c>
      <c r="F102" s="1">
        <f t="shared" si="54"/>
        <v>225000000</v>
      </c>
      <c r="G102" s="1">
        <f t="shared" si="54"/>
        <v>200000000</v>
      </c>
      <c r="H102" s="1">
        <f t="shared" si="54"/>
        <v>175000000</v>
      </c>
      <c r="I102" s="1">
        <f t="shared" si="54"/>
        <v>150000000</v>
      </c>
      <c r="J102" s="1">
        <f t="shared" si="54"/>
        <v>125000000</v>
      </c>
      <c r="K102" s="1">
        <f t="shared" si="54"/>
        <v>100000000</v>
      </c>
      <c r="L102" s="1">
        <f t="shared" si="54"/>
        <v>75000000</v>
      </c>
      <c r="M102" s="1">
        <f t="shared" si="54"/>
        <v>50000000</v>
      </c>
      <c r="N102" s="1">
        <f t="shared" si="54"/>
        <v>25000000</v>
      </c>
    </row>
    <row r="103" spans="1:14">
      <c r="A103" s="10" t="s">
        <v>31</v>
      </c>
      <c r="B103" s="1">
        <f>B95</f>
        <v>300000000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</row>
    <row r="104" spans="1:14">
      <c r="A104" s="10" t="s">
        <v>32</v>
      </c>
      <c r="B104" s="1">
        <v>0</v>
      </c>
      <c r="C104" s="1">
        <f>B96*C102</f>
        <v>17100000</v>
      </c>
      <c r="D104" s="1">
        <f>B96*D102</f>
        <v>15675000</v>
      </c>
      <c r="E104" s="1">
        <f>B96*E102</f>
        <v>14250000</v>
      </c>
      <c r="F104" s="1">
        <f>B96*F102</f>
        <v>12825000</v>
      </c>
      <c r="G104" s="1">
        <f>B96*G102</f>
        <v>11400000</v>
      </c>
      <c r="H104" s="1">
        <f>B96*H102</f>
        <v>9975000</v>
      </c>
      <c r="I104" s="1">
        <f>B96*I102</f>
        <v>8550000</v>
      </c>
      <c r="J104" s="1">
        <f>B96*J102</f>
        <v>7125000</v>
      </c>
      <c r="K104" s="1">
        <f>B96*K102</f>
        <v>5700000</v>
      </c>
      <c r="L104" s="1">
        <f>B96*L102</f>
        <v>4275000</v>
      </c>
      <c r="M104" s="1">
        <f>B96*M102</f>
        <v>2850000</v>
      </c>
      <c r="N104" s="1">
        <f>B96*N102</f>
        <v>1425000</v>
      </c>
    </row>
    <row r="105" spans="1:14">
      <c r="A105" s="10" t="s">
        <v>33</v>
      </c>
      <c r="B105" s="1">
        <v>0</v>
      </c>
      <c r="C105" s="1">
        <f>B99</f>
        <v>25000000</v>
      </c>
      <c r="D105" s="1">
        <f>B99</f>
        <v>25000000</v>
      </c>
      <c r="E105" s="1">
        <f>B99</f>
        <v>25000000</v>
      </c>
      <c r="F105" s="1">
        <f>B99</f>
        <v>25000000</v>
      </c>
      <c r="G105" s="1">
        <f>B99</f>
        <v>25000000</v>
      </c>
      <c r="H105" s="1">
        <f>B99</f>
        <v>25000000</v>
      </c>
      <c r="I105" s="1">
        <f>B99</f>
        <v>25000000</v>
      </c>
      <c r="J105" s="1">
        <f>B99</f>
        <v>25000000</v>
      </c>
      <c r="K105" s="1">
        <f>B99</f>
        <v>25000000</v>
      </c>
      <c r="L105" s="1">
        <f>B99</f>
        <v>25000000</v>
      </c>
      <c r="M105" s="1">
        <f>B99</f>
        <v>25000000</v>
      </c>
      <c r="N105" s="1">
        <f>B99</f>
        <v>25000000</v>
      </c>
    </row>
    <row r="106" spans="1:14">
      <c r="A106" s="10" t="s">
        <v>28</v>
      </c>
      <c r="B106" s="1">
        <v>0</v>
      </c>
      <c r="C106" s="1">
        <f>C104+C105</f>
        <v>42100000</v>
      </c>
      <c r="D106" s="1">
        <f>D104+D105</f>
        <v>40675000</v>
      </c>
      <c r="E106" s="1">
        <f t="shared" ref="E106" si="55">E104+E105</f>
        <v>39250000</v>
      </c>
      <c r="F106" s="1">
        <f t="shared" ref="F106" si="56">F104+F105</f>
        <v>37825000</v>
      </c>
      <c r="G106" s="1">
        <f t="shared" ref="G106" si="57">G104+G105</f>
        <v>36400000</v>
      </c>
      <c r="H106" s="1">
        <f t="shared" ref="H106" si="58">H104+H105</f>
        <v>34975000</v>
      </c>
      <c r="I106" s="1">
        <f t="shared" ref="I106" si="59">I104+I105</f>
        <v>33550000</v>
      </c>
      <c r="J106" s="1">
        <f t="shared" ref="J106" si="60">J104+J105</f>
        <v>32125000</v>
      </c>
      <c r="K106" s="1">
        <f t="shared" ref="K106" si="61">K104+K105</f>
        <v>30700000</v>
      </c>
      <c r="L106" s="1">
        <f t="shared" ref="L106" si="62">L104+L105</f>
        <v>29275000</v>
      </c>
      <c r="M106" s="1">
        <f t="shared" ref="M106" si="63">M104+M105</f>
        <v>27850000</v>
      </c>
      <c r="N106" s="1">
        <f t="shared" ref="N106" si="64">N104+N105</f>
        <v>26425000</v>
      </c>
    </row>
    <row r="107" spans="1:14">
      <c r="A107" s="10" t="s">
        <v>34</v>
      </c>
      <c r="B107" s="1">
        <f>B103</f>
        <v>300000000</v>
      </c>
      <c r="C107" s="1">
        <f t="shared" ref="C107:N107" si="65">C102-C105</f>
        <v>275000000</v>
      </c>
      <c r="D107" s="1">
        <f t="shared" si="65"/>
        <v>250000000</v>
      </c>
      <c r="E107" s="1">
        <f t="shared" si="65"/>
        <v>225000000</v>
      </c>
      <c r="F107" s="1">
        <f t="shared" si="65"/>
        <v>200000000</v>
      </c>
      <c r="G107" s="1">
        <f t="shared" si="65"/>
        <v>175000000</v>
      </c>
      <c r="H107" s="1">
        <f t="shared" si="65"/>
        <v>150000000</v>
      </c>
      <c r="I107" s="1">
        <f t="shared" si="65"/>
        <v>125000000</v>
      </c>
      <c r="J107" s="1">
        <f t="shared" si="65"/>
        <v>100000000</v>
      </c>
      <c r="K107" s="1">
        <f t="shared" si="65"/>
        <v>75000000</v>
      </c>
      <c r="L107" s="1">
        <f t="shared" si="65"/>
        <v>50000000</v>
      </c>
      <c r="M107" s="1">
        <f t="shared" si="65"/>
        <v>25000000</v>
      </c>
      <c r="N107" s="1">
        <f t="shared" si="65"/>
        <v>0</v>
      </c>
    </row>
    <row r="108" spans="1:14">
      <c r="A108" s="10" t="s">
        <v>35</v>
      </c>
      <c r="B108" s="1">
        <f>B103-B106</f>
        <v>300000000</v>
      </c>
      <c r="C108" s="1">
        <f t="shared" ref="C108:N108" si="66">C103-C106</f>
        <v>-42100000</v>
      </c>
      <c r="D108" s="1">
        <f t="shared" si="66"/>
        <v>-40675000</v>
      </c>
      <c r="E108" s="1">
        <f t="shared" si="66"/>
        <v>-39250000</v>
      </c>
      <c r="F108" s="1">
        <f t="shared" si="66"/>
        <v>-37825000</v>
      </c>
      <c r="G108" s="1">
        <f t="shared" si="66"/>
        <v>-36400000</v>
      </c>
      <c r="H108" s="1">
        <f t="shared" si="66"/>
        <v>-34975000</v>
      </c>
      <c r="I108" s="1">
        <f t="shared" si="66"/>
        <v>-33550000</v>
      </c>
      <c r="J108" s="1">
        <f t="shared" si="66"/>
        <v>-32125000</v>
      </c>
      <c r="K108" s="1">
        <f t="shared" si="66"/>
        <v>-30700000</v>
      </c>
      <c r="L108" s="1">
        <f t="shared" si="66"/>
        <v>-29275000</v>
      </c>
      <c r="M108" s="1">
        <f t="shared" si="66"/>
        <v>-27850000</v>
      </c>
      <c r="N108" s="1">
        <f t="shared" si="66"/>
        <v>-26425000</v>
      </c>
    </row>
    <row r="109" spans="1:14">
      <c r="A109" s="10" t="s">
        <v>36</v>
      </c>
      <c r="B109" s="1">
        <f>0</f>
        <v>0</v>
      </c>
      <c r="C109" s="1">
        <v>0</v>
      </c>
      <c r="D109" s="1">
        <f>(C104+D104)*0.33</f>
        <v>10815750</v>
      </c>
      <c r="E109" s="1">
        <v>0</v>
      </c>
      <c r="F109" s="1">
        <f t="shared" ref="F109" si="67">(E104+F104)*0.33</f>
        <v>8934750</v>
      </c>
      <c r="G109" s="1">
        <v>0</v>
      </c>
      <c r="H109" s="1">
        <f t="shared" ref="H109" si="68">(G104+H104)*0.33</f>
        <v>7053750</v>
      </c>
      <c r="I109" s="5">
        <v>0</v>
      </c>
      <c r="J109" s="1">
        <f t="shared" ref="J109" si="69">(I104+J104)*0.33</f>
        <v>5172750</v>
      </c>
      <c r="K109" s="5">
        <v>0</v>
      </c>
      <c r="L109" s="1">
        <f t="shared" ref="L109" si="70">(K104+L104)*0.33</f>
        <v>3291750</v>
      </c>
      <c r="M109" s="5">
        <v>0</v>
      </c>
      <c r="N109" s="1">
        <f t="shared" ref="N109" si="71">(M104+N104)*0.33</f>
        <v>1410750</v>
      </c>
    </row>
    <row r="110" spans="1:14">
      <c r="A110" s="10" t="s">
        <v>37</v>
      </c>
      <c r="B110" s="5">
        <f>B108-B109</f>
        <v>300000000</v>
      </c>
      <c r="C110" s="5">
        <f>C108+C109</f>
        <v>-42100000</v>
      </c>
      <c r="D110" s="5">
        <f t="shared" ref="D110" si="72">D108+D109</f>
        <v>-29859250</v>
      </c>
      <c r="E110" s="5">
        <f t="shared" ref="E110" si="73">E108+E109</f>
        <v>-39250000</v>
      </c>
      <c r="F110" s="5">
        <f t="shared" ref="F110" si="74">F108+F109</f>
        <v>-28890250</v>
      </c>
      <c r="G110" s="5">
        <f t="shared" ref="G110" si="75">G108+G109</f>
        <v>-36400000</v>
      </c>
      <c r="H110" s="5">
        <f t="shared" ref="H110" si="76">H108+H109</f>
        <v>-27921250</v>
      </c>
      <c r="I110" s="5">
        <f t="shared" ref="I110" si="77">I108+I109</f>
        <v>-33550000</v>
      </c>
      <c r="J110" s="5">
        <f t="shared" ref="J110" si="78">J108+J109</f>
        <v>-26952250</v>
      </c>
      <c r="K110" s="5">
        <f t="shared" ref="K110" si="79">K108+K109</f>
        <v>-30700000</v>
      </c>
      <c r="L110" s="5">
        <f t="shared" ref="L110" si="80">L108+L109</f>
        <v>-25983250</v>
      </c>
      <c r="M110" s="5">
        <f t="shared" ref="M110" si="81">M108+M109</f>
        <v>-27850000</v>
      </c>
      <c r="N110" s="5">
        <f t="shared" ref="N110" si="82">N108+N109</f>
        <v>-25014250</v>
      </c>
    </row>
    <row r="112" spans="1:14">
      <c r="A112" s="10" t="s">
        <v>40</v>
      </c>
      <c r="B112" s="12">
        <f>IRR(B110:N110)</f>
        <v>3.8571018435482607E-2</v>
      </c>
    </row>
    <row r="113" spans="1:14">
      <c r="D113" s="17" t="s">
        <v>45</v>
      </c>
      <c r="E113" s="3">
        <f>5.8%</f>
        <v>5.7999999999999996E-2</v>
      </c>
    </row>
    <row r="114" spans="1:14">
      <c r="D114" s="17" t="s">
        <v>48</v>
      </c>
      <c r="E114" s="2">
        <v>3.6600000000000001E-2</v>
      </c>
    </row>
    <row r="115" spans="1:14">
      <c r="D115" s="17" t="s">
        <v>46</v>
      </c>
      <c r="E115" s="3">
        <v>4</v>
      </c>
    </row>
    <row r="116" spans="1:14">
      <c r="A116" s="17" t="s">
        <v>41</v>
      </c>
      <c r="B116" s="17" t="s">
        <v>26</v>
      </c>
      <c r="D116" s="17" t="s">
        <v>47</v>
      </c>
      <c r="E116" s="1">
        <f>B117/E115</f>
        <v>125000000</v>
      </c>
    </row>
    <row r="117" spans="1:14">
      <c r="A117" s="7" t="s">
        <v>25</v>
      </c>
      <c r="B117" s="1">
        <f>C8</f>
        <v>500000000</v>
      </c>
      <c r="D117" s="17" t="s">
        <v>49</v>
      </c>
      <c r="E117" s="3">
        <f>((1+E114)^(1/2)) - 1</f>
        <v>1.8135550896834163E-2</v>
      </c>
    </row>
    <row r="118" spans="1:14">
      <c r="A118" s="3" t="s">
        <v>38</v>
      </c>
      <c r="B118" s="3">
        <f>C9/2</f>
        <v>5.7000000000000002E-2</v>
      </c>
      <c r="D118" s="17" t="s">
        <v>43</v>
      </c>
      <c r="E118" s="1">
        <f>E116*E117</f>
        <v>2266943.8621042701</v>
      </c>
    </row>
    <row r="119" spans="1:14">
      <c r="A119" s="3" t="s">
        <v>27</v>
      </c>
      <c r="B119" s="3">
        <v>12</v>
      </c>
    </row>
    <row r="123" spans="1:14">
      <c r="A123" s="17" t="s">
        <v>29</v>
      </c>
      <c r="B123" s="18">
        <v>0</v>
      </c>
      <c r="C123" s="18">
        <v>1</v>
      </c>
      <c r="D123" s="18">
        <v>2</v>
      </c>
      <c r="E123" s="18">
        <v>3</v>
      </c>
      <c r="F123" s="18">
        <v>4</v>
      </c>
      <c r="G123" s="18">
        <v>5</v>
      </c>
      <c r="H123" s="18">
        <v>6</v>
      </c>
      <c r="I123" s="18">
        <v>7</v>
      </c>
      <c r="J123" s="18">
        <v>8</v>
      </c>
      <c r="K123" s="18">
        <v>9</v>
      </c>
      <c r="L123" s="18">
        <v>10</v>
      </c>
      <c r="M123" s="18">
        <v>11</v>
      </c>
      <c r="N123" s="18">
        <v>12</v>
      </c>
    </row>
    <row r="124" spans="1:14">
      <c r="A124" s="17" t="s">
        <v>30</v>
      </c>
      <c r="B124" s="5">
        <f>0</f>
        <v>0</v>
      </c>
      <c r="C124" s="1">
        <f>B129</f>
        <v>500000000</v>
      </c>
      <c r="D124" s="1">
        <f>B129</f>
        <v>500000000</v>
      </c>
      <c r="E124" s="1">
        <f>B129</f>
        <v>500000000</v>
      </c>
      <c r="F124" s="1">
        <f>B129</f>
        <v>500000000</v>
      </c>
      <c r="G124" s="1">
        <f>B129</f>
        <v>500000000</v>
      </c>
      <c r="H124" s="1">
        <f>B129</f>
        <v>500000000</v>
      </c>
      <c r="I124" s="1">
        <f>B129</f>
        <v>500000000</v>
      </c>
      <c r="J124" s="1">
        <f>B129</f>
        <v>500000000</v>
      </c>
      <c r="K124" s="1">
        <f>B129</f>
        <v>500000000</v>
      </c>
      <c r="L124" s="1">
        <f>B129</f>
        <v>500000000</v>
      </c>
      <c r="M124" s="1">
        <f>B129</f>
        <v>500000000</v>
      </c>
      <c r="N124" s="1">
        <f>B129</f>
        <v>500000000</v>
      </c>
    </row>
    <row r="125" spans="1:14">
      <c r="A125" s="17" t="s">
        <v>31</v>
      </c>
      <c r="B125" s="1">
        <f>B117</f>
        <v>500000000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</row>
    <row r="126" spans="1:14">
      <c r="A126" s="17" t="s">
        <v>32</v>
      </c>
      <c r="B126" s="1">
        <v>0</v>
      </c>
      <c r="C126" s="1">
        <f>B118*C124</f>
        <v>28500000</v>
      </c>
      <c r="D126" s="1">
        <f>B118*D124</f>
        <v>28500000</v>
      </c>
      <c r="E126" s="1">
        <f>B118*E124</f>
        <v>28500000</v>
      </c>
      <c r="F126" s="1">
        <f>B118*F124</f>
        <v>28500000</v>
      </c>
      <c r="G126" s="1">
        <f>B118*G124</f>
        <v>28500000</v>
      </c>
      <c r="H126" s="1">
        <f>B118*H124</f>
        <v>28500000</v>
      </c>
      <c r="I126" s="1">
        <f>B118*I124</f>
        <v>28500000</v>
      </c>
      <c r="J126" s="1">
        <f>B118*J124</f>
        <v>28500000</v>
      </c>
      <c r="K126" s="1">
        <f>B118*K124</f>
        <v>28500000</v>
      </c>
      <c r="L126" s="1">
        <f>B118*L124</f>
        <v>28500000</v>
      </c>
      <c r="M126" s="1">
        <f>B118*M124</f>
        <v>28500000</v>
      </c>
      <c r="N126" s="1">
        <f>B118*N124</f>
        <v>28500000</v>
      </c>
    </row>
    <row r="127" spans="1:14">
      <c r="A127" s="17" t="s">
        <v>33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f>N124</f>
        <v>500000000</v>
      </c>
    </row>
    <row r="128" spans="1:14">
      <c r="A128" s="17" t="s">
        <v>28</v>
      </c>
      <c r="B128" s="1">
        <v>0</v>
      </c>
      <c r="C128" s="1">
        <f>C126+C127</f>
        <v>28500000</v>
      </c>
      <c r="D128" s="1">
        <f>D126+D127</f>
        <v>28500000</v>
      </c>
      <c r="E128" s="1">
        <f t="shared" ref="E128" si="83">E126+E127</f>
        <v>28500000</v>
      </c>
      <c r="F128" s="1">
        <f t="shared" ref="F128" si="84">F126+F127</f>
        <v>28500000</v>
      </c>
      <c r="G128" s="1">
        <f t="shared" ref="G128" si="85">G126+G127</f>
        <v>28500000</v>
      </c>
      <c r="H128" s="1">
        <f t="shared" ref="H128" si="86">H126+H127</f>
        <v>28500000</v>
      </c>
      <c r="I128" s="1">
        <f t="shared" ref="I128" si="87">I126+I127</f>
        <v>28500000</v>
      </c>
      <c r="J128" s="1">
        <f t="shared" ref="J128" si="88">J126+J127</f>
        <v>28500000</v>
      </c>
      <c r="K128" s="1">
        <f t="shared" ref="K128" si="89">K126+K127</f>
        <v>28500000</v>
      </c>
      <c r="L128" s="1">
        <f t="shared" ref="L128" si="90">L126+L127</f>
        <v>28500000</v>
      </c>
      <c r="M128" s="1">
        <f t="shared" ref="M128" si="91">M126+M127</f>
        <v>28500000</v>
      </c>
      <c r="N128" s="1">
        <f t="shared" ref="N128" si="92">N126+N127</f>
        <v>528500000</v>
      </c>
    </row>
    <row r="129" spans="1:14">
      <c r="A129" s="17" t="s">
        <v>34</v>
      </c>
      <c r="B129" s="1">
        <f>B125-B127</f>
        <v>500000000</v>
      </c>
      <c r="C129" s="1">
        <f t="shared" ref="C129:N129" si="93">C124-C127</f>
        <v>500000000</v>
      </c>
      <c r="D129" s="1">
        <f t="shared" si="93"/>
        <v>500000000</v>
      </c>
      <c r="E129" s="1">
        <f t="shared" si="93"/>
        <v>500000000</v>
      </c>
      <c r="F129" s="1">
        <f t="shared" si="93"/>
        <v>500000000</v>
      </c>
      <c r="G129" s="1">
        <f t="shared" si="93"/>
        <v>500000000</v>
      </c>
      <c r="H129" s="1">
        <f t="shared" si="93"/>
        <v>500000000</v>
      </c>
      <c r="I129" s="1">
        <f t="shared" si="93"/>
        <v>500000000</v>
      </c>
      <c r="J129" s="1">
        <f t="shared" si="93"/>
        <v>500000000</v>
      </c>
      <c r="K129" s="1">
        <f t="shared" si="93"/>
        <v>500000000</v>
      </c>
      <c r="L129" s="1">
        <f t="shared" si="93"/>
        <v>500000000</v>
      </c>
      <c r="M129" s="1">
        <f t="shared" si="93"/>
        <v>500000000</v>
      </c>
      <c r="N129" s="1">
        <f t="shared" si="93"/>
        <v>0</v>
      </c>
    </row>
    <row r="130" spans="1:14">
      <c r="A130" s="17" t="s">
        <v>43</v>
      </c>
      <c r="B130" s="1">
        <f>E118</f>
        <v>2266943.8621042701</v>
      </c>
      <c r="C130" s="1">
        <f>0</f>
        <v>0</v>
      </c>
      <c r="D130" s="1">
        <f>0</f>
        <v>0</v>
      </c>
      <c r="E130" s="1">
        <f>0</f>
        <v>0</v>
      </c>
      <c r="F130" s="1">
        <f>0</f>
        <v>0</v>
      </c>
      <c r="G130" s="1">
        <f>0</f>
        <v>0</v>
      </c>
      <c r="H130" s="1">
        <f>0</f>
        <v>0</v>
      </c>
      <c r="I130" s="1">
        <f>0</f>
        <v>0</v>
      </c>
      <c r="J130" s="1">
        <f>0</f>
        <v>0</v>
      </c>
      <c r="K130" s="1">
        <f>0</f>
        <v>0</v>
      </c>
      <c r="L130" s="1">
        <f>0</f>
        <v>0</v>
      </c>
      <c r="M130" s="1">
        <f>0</f>
        <v>0</v>
      </c>
      <c r="N130" s="1">
        <f>0</f>
        <v>0</v>
      </c>
    </row>
    <row r="131" spans="1:14">
      <c r="A131" s="17" t="s">
        <v>44</v>
      </c>
      <c r="B131" s="1">
        <f>B125*E113</f>
        <v>28999999.999999996</v>
      </c>
      <c r="C131" s="1">
        <f>0</f>
        <v>0</v>
      </c>
      <c r="D131" s="1">
        <f>0</f>
        <v>0</v>
      </c>
      <c r="E131" s="1">
        <f>0</f>
        <v>0</v>
      </c>
      <c r="F131" s="1">
        <f>0</f>
        <v>0</v>
      </c>
      <c r="G131" s="1">
        <f>0</f>
        <v>0</v>
      </c>
      <c r="H131" s="1">
        <f>0</f>
        <v>0</v>
      </c>
      <c r="I131" s="1">
        <f>0</f>
        <v>0</v>
      </c>
      <c r="J131" s="1">
        <f>0</f>
        <v>0</v>
      </c>
      <c r="K131" s="1">
        <f>0</f>
        <v>0</v>
      </c>
      <c r="L131" s="1">
        <f>0</f>
        <v>0</v>
      </c>
      <c r="M131" s="1">
        <f>0</f>
        <v>0</v>
      </c>
      <c r="N131" s="1">
        <f>0</f>
        <v>0</v>
      </c>
    </row>
    <row r="132" spans="1:14">
      <c r="A132" s="19" t="s">
        <v>35</v>
      </c>
      <c r="B132" s="20">
        <f>B129-B130-B131</f>
        <v>468733056.1378957</v>
      </c>
      <c r="C132" s="20">
        <f>C125-C128</f>
        <v>-28500000</v>
      </c>
      <c r="D132" s="20">
        <f t="shared" ref="D132:N132" si="94">D125-D128</f>
        <v>-28500000</v>
      </c>
      <c r="E132" s="20">
        <f t="shared" si="94"/>
        <v>-28500000</v>
      </c>
      <c r="F132" s="20">
        <f t="shared" si="94"/>
        <v>-28500000</v>
      </c>
      <c r="G132" s="20">
        <f t="shared" si="94"/>
        <v>-28500000</v>
      </c>
      <c r="H132" s="20">
        <f t="shared" si="94"/>
        <v>-28500000</v>
      </c>
      <c r="I132" s="20">
        <f t="shared" si="94"/>
        <v>-28500000</v>
      </c>
      <c r="J132" s="20">
        <f t="shared" si="94"/>
        <v>-28500000</v>
      </c>
      <c r="K132" s="20">
        <f t="shared" si="94"/>
        <v>-28500000</v>
      </c>
      <c r="L132" s="20">
        <f t="shared" si="94"/>
        <v>-28500000</v>
      </c>
      <c r="M132" s="20">
        <f t="shared" si="94"/>
        <v>-28500000</v>
      </c>
      <c r="N132" s="20">
        <f t="shared" si="94"/>
        <v>-528500000</v>
      </c>
    </row>
    <row r="133" spans="1:14">
      <c r="A133" s="21" t="s">
        <v>36</v>
      </c>
      <c r="B133" s="26">
        <v>0</v>
      </c>
      <c r="C133" s="23">
        <v>0</v>
      </c>
      <c r="D133" s="23">
        <f>(C126+D126+B131)*0.33</f>
        <v>28380000</v>
      </c>
      <c r="E133" s="23">
        <v>0</v>
      </c>
      <c r="F133" s="23">
        <f t="shared" ref="F133" si="95">(E126+F126)*0.33</f>
        <v>18810000</v>
      </c>
      <c r="G133" s="23">
        <v>0</v>
      </c>
      <c r="H133" s="23">
        <f t="shared" ref="H133" si="96">(G126+H126)*0.33</f>
        <v>18810000</v>
      </c>
      <c r="I133" s="23">
        <v>0</v>
      </c>
      <c r="J133" s="23">
        <f t="shared" ref="J133" si="97">(I126+J126)*0.33</f>
        <v>18810000</v>
      </c>
      <c r="K133" s="23">
        <v>0</v>
      </c>
      <c r="L133" s="23">
        <f t="shared" ref="L133" si="98">(K126+L126)*0.33</f>
        <v>18810000</v>
      </c>
      <c r="M133" s="23">
        <v>0</v>
      </c>
      <c r="N133" s="23">
        <f t="shared" ref="N133" si="99">(M126+N126)*0.33</f>
        <v>18810000</v>
      </c>
    </row>
    <row r="134" spans="1:14">
      <c r="A134" s="21" t="s">
        <v>37</v>
      </c>
      <c r="B134" s="26">
        <f>B132</f>
        <v>468733056.1378957</v>
      </c>
      <c r="C134" s="23">
        <f>C132+C133</f>
        <v>-28500000</v>
      </c>
      <c r="D134" s="23">
        <f t="shared" ref="D134:N134" si="100">D132+D133</f>
        <v>-120000</v>
      </c>
      <c r="E134" s="23">
        <f t="shared" si="100"/>
        <v>-28500000</v>
      </c>
      <c r="F134" s="23">
        <f t="shared" si="100"/>
        <v>-9690000</v>
      </c>
      <c r="G134" s="23">
        <f t="shared" si="100"/>
        <v>-28500000</v>
      </c>
      <c r="H134" s="23">
        <f t="shared" si="100"/>
        <v>-9690000</v>
      </c>
      <c r="I134" s="23">
        <f t="shared" si="100"/>
        <v>-28500000</v>
      </c>
      <c r="J134" s="23">
        <f t="shared" si="100"/>
        <v>-9690000</v>
      </c>
      <c r="K134" s="23">
        <f t="shared" si="100"/>
        <v>-28500000</v>
      </c>
      <c r="L134" s="23">
        <f t="shared" si="100"/>
        <v>-9690000</v>
      </c>
      <c r="M134" s="23">
        <f t="shared" si="100"/>
        <v>-28500000</v>
      </c>
      <c r="N134" s="23">
        <f t="shared" si="100"/>
        <v>-509690000</v>
      </c>
    </row>
    <row r="137" spans="1:14">
      <c r="A137" s="17" t="s">
        <v>40</v>
      </c>
      <c r="B137" s="12">
        <f>IRR(B134:N134)</f>
        <v>4.3477473596092331E-2</v>
      </c>
    </row>
    <row r="140" spans="1:14">
      <c r="A140" s="36" t="s">
        <v>50</v>
      </c>
      <c r="B140" s="25"/>
    </row>
    <row r="141" spans="1:14">
      <c r="A141" s="24" t="s">
        <v>51</v>
      </c>
      <c r="B141" s="24" t="s">
        <v>52</v>
      </c>
      <c r="C141" s="24" t="s">
        <v>55</v>
      </c>
    </row>
    <row r="142" spans="1:14">
      <c r="A142" s="3" t="s">
        <v>10</v>
      </c>
      <c r="B142" s="12">
        <f>B46</f>
        <v>3.8567697357282826E-2</v>
      </c>
      <c r="C142" s="3">
        <v>3</v>
      </c>
      <c r="D142" s="40"/>
    </row>
    <row r="143" spans="1:14">
      <c r="A143" s="3" t="s">
        <v>11</v>
      </c>
      <c r="B143" s="12">
        <f>B68</f>
        <v>3.854566728440556E-2</v>
      </c>
      <c r="C143" s="3">
        <v>1</v>
      </c>
    </row>
    <row r="144" spans="1:14">
      <c r="A144" s="3" t="s">
        <v>53</v>
      </c>
      <c r="B144" s="12">
        <f>B90</f>
        <v>3.8566873491407971E-2</v>
      </c>
      <c r="C144" s="3">
        <v>2</v>
      </c>
    </row>
    <row r="145" spans="1:5">
      <c r="A145" s="3" t="s">
        <v>13</v>
      </c>
      <c r="B145" s="12">
        <f>B112</f>
        <v>3.8571018435482607E-2</v>
      </c>
      <c r="C145" s="3">
        <v>4</v>
      </c>
      <c r="D145" s="40"/>
    </row>
    <row r="147" spans="1:5">
      <c r="A147" s="27" t="s">
        <v>51</v>
      </c>
      <c r="B147" s="27" t="s">
        <v>52</v>
      </c>
      <c r="C147" s="27" t="s">
        <v>55</v>
      </c>
    </row>
    <row r="148" spans="1:5">
      <c r="A148" s="3" t="s">
        <v>10</v>
      </c>
      <c r="B148" s="12">
        <f>B142</f>
        <v>3.8567697357282826E-2</v>
      </c>
      <c r="C148" s="3">
        <v>2</v>
      </c>
      <c r="D148" s="40"/>
    </row>
    <row r="149" spans="1:5">
      <c r="A149" s="3" t="s">
        <v>11</v>
      </c>
      <c r="B149" s="12">
        <f>B137</f>
        <v>4.3477473596092331E-2</v>
      </c>
      <c r="C149" s="3">
        <v>4</v>
      </c>
      <c r="D149" s="40"/>
    </row>
    <row r="150" spans="1:5">
      <c r="A150" s="3" t="s">
        <v>53</v>
      </c>
      <c r="B150" s="12">
        <f>B144</f>
        <v>3.8566873491407971E-2</v>
      </c>
      <c r="C150" s="3">
        <v>1</v>
      </c>
      <c r="D150" s="40"/>
    </row>
    <row r="151" spans="1:5">
      <c r="A151" s="3" t="s">
        <v>13</v>
      </c>
      <c r="B151" s="12">
        <f>B145</f>
        <v>3.8571018435482607E-2</v>
      </c>
      <c r="C151" s="3">
        <v>3</v>
      </c>
      <c r="D151" s="40"/>
    </row>
    <row r="154" spans="1:5">
      <c r="A154" s="18" t="s">
        <v>51</v>
      </c>
      <c r="B154" s="29" t="str">
        <f>A150</f>
        <v>Banco Profuturo</v>
      </c>
      <c r="C154" s="18" t="str">
        <f>A148</f>
        <v>Banco capital</v>
      </c>
      <c r="D154" s="18" t="str">
        <f>A151</f>
        <v>Banco VVBA</v>
      </c>
      <c r="E154" s="18" t="str">
        <f>A149</f>
        <v>Banco de Boyacá</v>
      </c>
    </row>
    <row r="155" spans="1:5">
      <c r="A155" s="18" t="s">
        <v>25</v>
      </c>
      <c r="B155" s="1">
        <f>B5</f>
        <v>1245000000</v>
      </c>
      <c r="C155" s="1">
        <f>B157</f>
        <v>1045000000</v>
      </c>
      <c r="D155" s="1">
        <f>C157</f>
        <v>645000000</v>
      </c>
      <c r="E155" s="1">
        <f>D157</f>
        <v>345000000</v>
      </c>
    </row>
    <row r="156" spans="1:5">
      <c r="A156" s="18" t="s">
        <v>56</v>
      </c>
      <c r="B156" s="1">
        <f>D8</f>
        <v>200000000</v>
      </c>
      <c r="C156" s="1">
        <f>B8</f>
        <v>400000000</v>
      </c>
      <c r="D156" s="1">
        <f>E8</f>
        <v>300000000</v>
      </c>
      <c r="E156" s="1">
        <f>E155</f>
        <v>345000000</v>
      </c>
    </row>
    <row r="157" spans="1:5">
      <c r="A157" s="18" t="s">
        <v>57</v>
      </c>
      <c r="B157" s="1">
        <f>B155 - B156</f>
        <v>1045000000</v>
      </c>
      <c r="C157" s="1">
        <f>C155 - C156</f>
        <v>645000000</v>
      </c>
      <c r="D157" s="1">
        <f>D155 - D156</f>
        <v>345000000</v>
      </c>
      <c r="E157" s="1">
        <f>E155 - E156</f>
        <v>0</v>
      </c>
    </row>
    <row r="158" spans="1:5">
      <c r="A158" s="18" t="s">
        <v>58</v>
      </c>
      <c r="B158" s="28">
        <f>(B156*1)/B5</f>
        <v>0.1606425702811245</v>
      </c>
      <c r="C158" s="28">
        <f>(C156*1)/B5</f>
        <v>0.32128514056224899</v>
      </c>
      <c r="D158" s="28">
        <f>(D156*1)/B5</f>
        <v>0.24096385542168675</v>
      </c>
      <c r="E158" s="28">
        <f>(E156*1)/B5</f>
        <v>0.27710843373493976</v>
      </c>
    </row>
    <row r="162" spans="1:2">
      <c r="A162" s="18" t="s">
        <v>59</v>
      </c>
      <c r="B162" s="12">
        <f>B158*B150+C158*B148+D158*B151+E158*B149</f>
        <v>3.9928905672683826E-2</v>
      </c>
    </row>
  </sheetData>
  <sortState ref="A148:B151">
    <sortCondition ref="A1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abSelected="1" topLeftCell="A115" workbookViewId="0">
      <selection activeCell="C133" sqref="C133"/>
    </sheetView>
  </sheetViews>
  <sheetFormatPr baseColWidth="10" defaultColWidth="21" defaultRowHeight="15" x14ac:dyDescent="0"/>
  <cols>
    <col min="1" max="16384" width="21" style="47"/>
  </cols>
  <sheetData>
    <row r="1" spans="1:17">
      <c r="A1" s="41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>
      <c r="A2" s="41" t="s">
        <v>61</v>
      </c>
      <c r="B2" s="45">
        <v>2015</v>
      </c>
      <c r="C2" s="45">
        <v>2016</v>
      </c>
      <c r="D2" s="45">
        <v>2017</v>
      </c>
      <c r="E2" s="45">
        <v>2018</v>
      </c>
      <c r="F2" s="45">
        <v>2019</v>
      </c>
      <c r="G2" s="45">
        <v>2020</v>
      </c>
      <c r="H2" s="45">
        <v>2021</v>
      </c>
      <c r="I2" s="45">
        <v>2022</v>
      </c>
      <c r="J2" s="45">
        <v>2023</v>
      </c>
      <c r="K2" s="45">
        <v>2024</v>
      </c>
      <c r="L2" s="45">
        <v>2025</v>
      </c>
      <c r="M2" s="45">
        <v>2026</v>
      </c>
      <c r="N2" s="45">
        <v>2027</v>
      </c>
      <c r="O2" s="45">
        <v>2028</v>
      </c>
      <c r="P2" s="45">
        <v>2029</v>
      </c>
      <c r="Q2" s="45">
        <v>2030</v>
      </c>
    </row>
    <row r="3" spans="1:17">
      <c r="A3" s="41" t="s">
        <v>29</v>
      </c>
      <c r="B3" s="45">
        <v>0</v>
      </c>
      <c r="C3" s="45">
        <v>1</v>
      </c>
      <c r="D3" s="45">
        <v>2</v>
      </c>
      <c r="E3" s="45">
        <v>3</v>
      </c>
      <c r="F3" s="45">
        <v>4</v>
      </c>
      <c r="G3" s="45">
        <v>5</v>
      </c>
      <c r="H3" s="45">
        <v>6</v>
      </c>
      <c r="I3" s="45">
        <v>7</v>
      </c>
      <c r="J3" s="45">
        <v>8</v>
      </c>
      <c r="K3" s="45">
        <v>9</v>
      </c>
      <c r="L3" s="45">
        <v>10</v>
      </c>
      <c r="M3" s="45">
        <v>11</v>
      </c>
      <c r="N3" s="45">
        <v>12</v>
      </c>
      <c r="O3" s="45">
        <v>13</v>
      </c>
      <c r="P3" s="45">
        <v>14</v>
      </c>
      <c r="Q3" s="45">
        <v>15</v>
      </c>
    </row>
    <row r="4" spans="1:17">
      <c r="A4" s="41" t="s">
        <v>62</v>
      </c>
      <c r="B4" s="43">
        <v>1800</v>
      </c>
      <c r="C4" s="43">
        <v>75</v>
      </c>
      <c r="D4" s="43">
        <v>150</v>
      </c>
      <c r="E4" s="43">
        <v>225</v>
      </c>
      <c r="F4" s="43">
        <v>300</v>
      </c>
      <c r="G4" s="43">
        <v>375</v>
      </c>
      <c r="H4" s="43">
        <v>450</v>
      </c>
      <c r="I4" s="43">
        <v>525</v>
      </c>
      <c r="J4" s="43">
        <v>600</v>
      </c>
      <c r="K4" s="43">
        <v>675</v>
      </c>
      <c r="L4" s="43">
        <v>750</v>
      </c>
      <c r="M4" s="43">
        <v>825</v>
      </c>
      <c r="N4" s="43">
        <v>900</v>
      </c>
      <c r="O4" s="43">
        <v>975</v>
      </c>
      <c r="P4" s="43">
        <v>1050</v>
      </c>
      <c r="Q4" s="43">
        <v>1125</v>
      </c>
    </row>
    <row r="7" spans="1:17">
      <c r="A7" s="41" t="s">
        <v>63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17">
      <c r="A8" s="41" t="s">
        <v>61</v>
      </c>
      <c r="B8" s="45">
        <v>2015</v>
      </c>
      <c r="C8" s="45">
        <v>2016</v>
      </c>
      <c r="D8" s="45">
        <v>2017</v>
      </c>
      <c r="E8" s="45">
        <v>2018</v>
      </c>
      <c r="F8" s="45">
        <v>2019</v>
      </c>
      <c r="G8" s="45">
        <v>2020</v>
      </c>
      <c r="H8" s="45">
        <v>2021</v>
      </c>
      <c r="I8" s="45">
        <v>2022</v>
      </c>
      <c r="J8" s="45">
        <v>2023</v>
      </c>
      <c r="K8" s="45">
        <v>2024</v>
      </c>
      <c r="L8" s="45">
        <v>2025</v>
      </c>
      <c r="M8" s="45">
        <v>2026</v>
      </c>
      <c r="N8" s="45">
        <v>2027</v>
      </c>
      <c r="O8" s="45">
        <v>2028</v>
      </c>
      <c r="P8" s="45">
        <v>2029</v>
      </c>
      <c r="Q8" s="45">
        <v>2030</v>
      </c>
    </row>
    <row r="9" spans="1:17">
      <c r="A9" s="41" t="s">
        <v>29</v>
      </c>
      <c r="B9" s="45">
        <v>0</v>
      </c>
      <c r="C9" s="45">
        <v>1</v>
      </c>
      <c r="D9" s="45">
        <v>2</v>
      </c>
      <c r="E9" s="45">
        <v>3</v>
      </c>
      <c r="F9" s="45">
        <v>4</v>
      </c>
      <c r="G9" s="45">
        <v>5</v>
      </c>
      <c r="H9" s="45">
        <v>6</v>
      </c>
      <c r="I9" s="45">
        <v>7</v>
      </c>
      <c r="J9" s="45">
        <v>8</v>
      </c>
      <c r="K9" s="45">
        <v>9</v>
      </c>
      <c r="L9" s="45">
        <v>10</v>
      </c>
      <c r="M9" s="45">
        <v>11</v>
      </c>
      <c r="N9" s="45">
        <v>12</v>
      </c>
      <c r="O9" s="45">
        <v>13</v>
      </c>
      <c r="P9" s="45">
        <v>14</v>
      </c>
      <c r="Q9" s="45">
        <v>15</v>
      </c>
    </row>
    <row r="10" spans="1:17">
      <c r="A10" s="41" t="s">
        <v>62</v>
      </c>
      <c r="B10" s="43">
        <v>1800</v>
      </c>
      <c r="C10" s="43">
        <v>150</v>
      </c>
      <c r="D10" s="43">
        <v>187.5</v>
      </c>
      <c r="E10" s="43">
        <v>234.38</v>
      </c>
      <c r="F10" s="43">
        <v>292.97000000000003</v>
      </c>
      <c r="G10" s="43">
        <v>366.21</v>
      </c>
      <c r="H10" s="43">
        <v>457.76</v>
      </c>
      <c r="I10" s="43">
        <v>572.20000000000005</v>
      </c>
      <c r="J10" s="43">
        <v>715.26</v>
      </c>
      <c r="K10" s="43">
        <v>536.44000000000005</v>
      </c>
      <c r="L10" s="43">
        <v>402.33</v>
      </c>
      <c r="M10" s="43">
        <v>301.75</v>
      </c>
      <c r="N10" s="43">
        <v>226.31</v>
      </c>
      <c r="O10" s="43">
        <v>169.73</v>
      </c>
      <c r="P10" s="43">
        <v>127.3</v>
      </c>
      <c r="Q10" s="43">
        <v>95.48</v>
      </c>
    </row>
    <row r="13" spans="1:17">
      <c r="A13" s="41" t="s">
        <v>64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>
      <c r="A14" s="41" t="s">
        <v>61</v>
      </c>
      <c r="B14" s="45">
        <v>2015</v>
      </c>
      <c r="C14" s="45">
        <v>2016</v>
      </c>
      <c r="D14" s="45">
        <v>2017</v>
      </c>
      <c r="E14" s="45">
        <v>2018</v>
      </c>
      <c r="F14" s="45">
        <v>2019</v>
      </c>
      <c r="G14" s="45">
        <v>2020</v>
      </c>
      <c r="H14" s="45">
        <v>2021</v>
      </c>
      <c r="I14" s="45">
        <v>2022</v>
      </c>
      <c r="J14" s="45">
        <v>2023</v>
      </c>
      <c r="K14" s="45">
        <v>2024</v>
      </c>
      <c r="L14" s="45">
        <v>2025</v>
      </c>
      <c r="M14" s="45">
        <v>2026</v>
      </c>
      <c r="N14" s="45">
        <v>2027</v>
      </c>
      <c r="O14" s="45">
        <v>2028</v>
      </c>
      <c r="P14" s="45">
        <v>2029</v>
      </c>
      <c r="Q14" s="45">
        <v>2030</v>
      </c>
    </row>
    <row r="15" spans="1:17">
      <c r="A15" s="41" t="s">
        <v>29</v>
      </c>
      <c r="B15" s="45">
        <v>0</v>
      </c>
      <c r="C15" s="45">
        <v>1</v>
      </c>
      <c r="D15" s="45">
        <v>2</v>
      </c>
      <c r="E15" s="45">
        <v>3</v>
      </c>
      <c r="F15" s="45">
        <v>4</v>
      </c>
      <c r="G15" s="45">
        <v>5</v>
      </c>
      <c r="H15" s="45">
        <v>6</v>
      </c>
      <c r="I15" s="45">
        <v>7</v>
      </c>
      <c r="J15" s="45">
        <v>8</v>
      </c>
      <c r="K15" s="45">
        <v>9</v>
      </c>
      <c r="L15" s="45">
        <v>10</v>
      </c>
      <c r="M15" s="45">
        <v>11</v>
      </c>
      <c r="N15" s="45">
        <v>12</v>
      </c>
      <c r="O15" s="45">
        <v>13</v>
      </c>
      <c r="P15" s="45">
        <v>14</v>
      </c>
      <c r="Q15" s="45">
        <v>15</v>
      </c>
    </row>
    <row r="16" spans="1:17">
      <c r="A16" s="41" t="s">
        <v>62</v>
      </c>
      <c r="B16" s="43">
        <v>1800</v>
      </c>
      <c r="C16" s="43">
        <v>25</v>
      </c>
      <c r="D16" s="43">
        <v>118.75</v>
      </c>
      <c r="E16" s="43">
        <v>212.5</v>
      </c>
      <c r="F16" s="43">
        <v>306.25</v>
      </c>
      <c r="G16" s="43">
        <v>400</v>
      </c>
      <c r="H16" s="43">
        <v>493.75</v>
      </c>
      <c r="I16" s="43">
        <v>587.5</v>
      </c>
      <c r="J16" s="43">
        <v>681.25</v>
      </c>
      <c r="K16" s="43">
        <v>775</v>
      </c>
      <c r="L16" s="43">
        <v>868.75</v>
      </c>
      <c r="M16" s="43">
        <v>962.5</v>
      </c>
      <c r="N16" s="43">
        <v>1056.25</v>
      </c>
      <c r="O16" s="43">
        <v>1150</v>
      </c>
      <c r="P16" s="43">
        <v>1243.75</v>
      </c>
      <c r="Q16" s="43">
        <v>1337.5</v>
      </c>
    </row>
    <row r="23" spans="1:4">
      <c r="A23" s="41" t="s">
        <v>77</v>
      </c>
      <c r="B23" s="42"/>
      <c r="C23" s="42"/>
      <c r="D23" s="42"/>
    </row>
    <row r="24" spans="1:4">
      <c r="A24" s="41" t="s">
        <v>65</v>
      </c>
      <c r="B24" s="42"/>
      <c r="C24" s="41" t="s">
        <v>71</v>
      </c>
      <c r="D24" s="42"/>
    </row>
    <row r="25" spans="1:4">
      <c r="A25" s="41" t="s">
        <v>66</v>
      </c>
      <c r="B25" s="43">
        <v>5.5</v>
      </c>
      <c r="C25" s="41" t="s">
        <v>7</v>
      </c>
      <c r="D25" s="43">
        <v>200</v>
      </c>
    </row>
    <row r="26" spans="1:4">
      <c r="A26" s="41" t="s">
        <v>67</v>
      </c>
      <c r="B26" s="43">
        <v>0.65</v>
      </c>
      <c r="C26" s="41" t="s">
        <v>73</v>
      </c>
      <c r="D26" s="44">
        <v>0.11</v>
      </c>
    </row>
    <row r="27" spans="1:4">
      <c r="A27" s="41" t="s">
        <v>68</v>
      </c>
      <c r="B27" s="44">
        <v>0.01</v>
      </c>
      <c r="C27" s="41" t="s">
        <v>39</v>
      </c>
      <c r="D27" s="45">
        <v>5</v>
      </c>
    </row>
    <row r="28" spans="1:4">
      <c r="A28" s="41" t="s">
        <v>69</v>
      </c>
      <c r="B28" s="46">
        <v>2.5</v>
      </c>
      <c r="C28" s="41" t="s">
        <v>72</v>
      </c>
      <c r="D28" s="45" t="s">
        <v>78</v>
      </c>
    </row>
    <row r="29" spans="1:4">
      <c r="A29" s="41" t="s">
        <v>70</v>
      </c>
      <c r="B29" s="44">
        <v>0.3</v>
      </c>
      <c r="C29" s="41"/>
      <c r="D29" s="45"/>
    </row>
    <row r="30" spans="1:4">
      <c r="A30" s="41" t="s">
        <v>74</v>
      </c>
      <c r="B30" s="42"/>
      <c r="C30" s="41" t="s">
        <v>76</v>
      </c>
      <c r="D30" s="42"/>
    </row>
    <row r="31" spans="1:4">
      <c r="A31" s="41" t="s">
        <v>7</v>
      </c>
      <c r="B31" s="43">
        <v>300</v>
      </c>
      <c r="C31" s="41" t="s">
        <v>7</v>
      </c>
      <c r="D31" s="43">
        <v>760</v>
      </c>
    </row>
    <row r="32" spans="1:4">
      <c r="A32" s="41" t="s">
        <v>75</v>
      </c>
      <c r="B32" s="44">
        <v>0.15</v>
      </c>
      <c r="C32" s="41" t="s">
        <v>14</v>
      </c>
      <c r="D32" s="58">
        <v>0.18</v>
      </c>
    </row>
    <row r="33" spans="1:11">
      <c r="A33" s="41" t="s">
        <v>39</v>
      </c>
      <c r="B33" s="45">
        <v>10</v>
      </c>
      <c r="C33" s="41" t="s">
        <v>39</v>
      </c>
      <c r="D33" s="45">
        <v>8</v>
      </c>
    </row>
    <row r="34" spans="1:11">
      <c r="A34" s="41" t="s">
        <v>72</v>
      </c>
      <c r="B34" s="45" t="s">
        <v>79</v>
      </c>
      <c r="C34" s="41" t="s">
        <v>72</v>
      </c>
      <c r="D34" s="45" t="s">
        <v>80</v>
      </c>
    </row>
    <row r="35" spans="1:11" ht="18">
      <c r="A35" s="41" t="s">
        <v>45</v>
      </c>
      <c r="B35" s="44">
        <v>0.01</v>
      </c>
      <c r="C35" s="41" t="s">
        <v>45</v>
      </c>
      <c r="D35" s="44">
        <v>0.02</v>
      </c>
      <c r="F35" s="59"/>
    </row>
    <row r="38" spans="1:11">
      <c r="A38" s="41" t="s">
        <v>22</v>
      </c>
      <c r="B38" s="44">
        <v>0.33</v>
      </c>
    </row>
    <row r="40" spans="1:11">
      <c r="A40" s="41" t="s">
        <v>81</v>
      </c>
      <c r="B40" s="43">
        <f>B25-B28*(1-B38)</f>
        <v>3.8250000000000002</v>
      </c>
    </row>
    <row r="41" spans="1:11">
      <c r="A41" s="61" t="s">
        <v>82</v>
      </c>
      <c r="B41" s="49">
        <f>B27 + (B26*(1+B27))/B40</f>
        <v>0.18163398692810459</v>
      </c>
    </row>
    <row r="43" spans="1:11">
      <c r="A43" s="41" t="s">
        <v>83</v>
      </c>
      <c r="B43" s="60"/>
    </row>
    <row r="44" spans="1:11">
      <c r="A44" s="61" t="s">
        <v>101</v>
      </c>
      <c r="B44" s="49">
        <f>D26*(1-B38)</f>
        <v>7.3699999999999988E-2</v>
      </c>
    </row>
    <row r="46" spans="1:11">
      <c r="A46" s="41" t="s">
        <v>84</v>
      </c>
      <c r="B46" s="42"/>
      <c r="C46" s="41" t="s">
        <v>88</v>
      </c>
      <c r="D46" s="43">
        <f>B31/B33</f>
        <v>30</v>
      </c>
    </row>
    <row r="47" spans="1:11">
      <c r="A47" s="48" t="s">
        <v>87</v>
      </c>
      <c r="B47" s="49">
        <f>B32/4</f>
        <v>3.7499999999999999E-2</v>
      </c>
      <c r="C47" s="41" t="s">
        <v>89</v>
      </c>
      <c r="D47" s="43">
        <f>D46/4</f>
        <v>7.5</v>
      </c>
    </row>
    <row r="48" spans="1:11">
      <c r="A48" s="41" t="s">
        <v>29</v>
      </c>
      <c r="B48" s="41" t="s">
        <v>30</v>
      </c>
      <c r="C48" s="41" t="s">
        <v>85</v>
      </c>
      <c r="D48" s="41" t="s">
        <v>32</v>
      </c>
      <c r="E48" s="41" t="s">
        <v>33</v>
      </c>
      <c r="F48" s="41" t="s">
        <v>28</v>
      </c>
      <c r="G48" s="41" t="s">
        <v>34</v>
      </c>
      <c r="H48" s="41" t="s">
        <v>45</v>
      </c>
      <c r="I48" s="41" t="s">
        <v>90</v>
      </c>
      <c r="J48" s="41" t="s">
        <v>91</v>
      </c>
      <c r="K48" s="41" t="s">
        <v>86</v>
      </c>
    </row>
    <row r="49" spans="1:11">
      <c r="A49" s="45">
        <v>0</v>
      </c>
      <c r="B49" s="43">
        <v>0</v>
      </c>
      <c r="C49" s="43">
        <f>B31</f>
        <v>300</v>
      </c>
      <c r="D49" s="43">
        <f>B47*C49</f>
        <v>11.25</v>
      </c>
      <c r="E49" s="43">
        <v>0</v>
      </c>
      <c r="F49" s="43">
        <f>E49+D49</f>
        <v>11.25</v>
      </c>
      <c r="G49" s="43">
        <f>C49</f>
        <v>300</v>
      </c>
      <c r="H49" s="43">
        <f>1%*C49</f>
        <v>3</v>
      </c>
      <c r="I49" s="43">
        <f>C49-F49</f>
        <v>288.75</v>
      </c>
      <c r="J49" s="43">
        <v>0</v>
      </c>
      <c r="K49" s="43">
        <f>I49+J49</f>
        <v>288.75</v>
      </c>
    </row>
    <row r="50" spans="1:11">
      <c r="A50" s="45">
        <v>1</v>
      </c>
      <c r="B50" s="43">
        <f>G49</f>
        <v>300</v>
      </c>
      <c r="C50" s="43">
        <v>0</v>
      </c>
      <c r="D50" s="43">
        <f>B47*B50</f>
        <v>11.25</v>
      </c>
      <c r="E50" s="43">
        <f>$D$47</f>
        <v>7.5</v>
      </c>
      <c r="F50" s="43">
        <f>E50+D50</f>
        <v>18.75</v>
      </c>
      <c r="G50" s="43">
        <f>B50-E50</f>
        <v>292.5</v>
      </c>
      <c r="H50" s="43">
        <f ca="1">$H$60</f>
        <v>0</v>
      </c>
      <c r="I50" s="43">
        <f>C50-F50</f>
        <v>-18.75</v>
      </c>
      <c r="J50" s="43">
        <v>0</v>
      </c>
      <c r="K50" s="43">
        <f>I50+J50</f>
        <v>-18.75</v>
      </c>
    </row>
    <row r="51" spans="1:11">
      <c r="A51" s="45">
        <v>2</v>
      </c>
      <c r="B51" s="43">
        <f>G50</f>
        <v>292.5</v>
      </c>
      <c r="C51" s="43">
        <v>0</v>
      </c>
      <c r="D51" s="43">
        <f>B47*B51</f>
        <v>10.96875</v>
      </c>
      <c r="E51" s="43">
        <f>$D$47</f>
        <v>7.5</v>
      </c>
      <c r="F51" s="43">
        <f>E51+D51</f>
        <v>18.46875</v>
      </c>
      <c r="G51" s="43">
        <f>B51-E51</f>
        <v>285</v>
      </c>
      <c r="H51" s="43">
        <f ca="1">$H$60</f>
        <v>0</v>
      </c>
      <c r="I51" s="43">
        <f t="shared" ref="I51:I61" si="0">C51-F51</f>
        <v>-18.46875</v>
      </c>
      <c r="J51" s="43">
        <v>0</v>
      </c>
      <c r="K51" s="43">
        <f>I51+J51</f>
        <v>-18.46875</v>
      </c>
    </row>
    <row r="52" spans="1:11">
      <c r="A52" s="45">
        <v>3</v>
      </c>
      <c r="B52" s="43">
        <f>G51</f>
        <v>285</v>
      </c>
      <c r="C52" s="43">
        <v>0</v>
      </c>
      <c r="D52" s="43">
        <f>B47*B52</f>
        <v>10.6875</v>
      </c>
      <c r="E52" s="43">
        <f>$D$47</f>
        <v>7.5</v>
      </c>
      <c r="F52" s="43">
        <f>E52+D52</f>
        <v>18.1875</v>
      </c>
      <c r="G52" s="43">
        <f>B52-E52</f>
        <v>277.5</v>
      </c>
      <c r="H52" s="43">
        <f ca="1">$H$60</f>
        <v>0</v>
      </c>
      <c r="I52" s="43">
        <f t="shared" si="0"/>
        <v>-18.1875</v>
      </c>
      <c r="J52" s="43">
        <v>0</v>
      </c>
      <c r="K52" s="43">
        <f>I52+J52</f>
        <v>-18.1875</v>
      </c>
    </row>
    <row r="53" spans="1:11">
      <c r="A53" s="50">
        <v>4</v>
      </c>
      <c r="B53" s="51">
        <f>G52</f>
        <v>277.5</v>
      </c>
      <c r="C53" s="51">
        <v>0</v>
      </c>
      <c r="D53" s="51">
        <f>B47*B53</f>
        <v>10.40625</v>
      </c>
      <c r="E53" s="51">
        <f>$D$47</f>
        <v>7.5</v>
      </c>
      <c r="F53" s="51">
        <f>E53+D53</f>
        <v>17.90625</v>
      </c>
      <c r="G53" s="51">
        <f>B53-E53</f>
        <v>270</v>
      </c>
      <c r="H53" s="51">
        <f ca="1">$H$60</f>
        <v>0</v>
      </c>
      <c r="I53" s="51">
        <f t="shared" si="0"/>
        <v>-17.90625</v>
      </c>
      <c r="J53" s="51">
        <f>(H49 + SUM(D49:D52))*$B$38</f>
        <v>15.561562500000001</v>
      </c>
      <c r="K53" s="51">
        <f>I53+J53</f>
        <v>-2.3446874999999991</v>
      </c>
    </row>
    <row r="54" spans="1:11">
      <c r="A54" s="52">
        <v>5</v>
      </c>
      <c r="B54" s="53">
        <f>G53</f>
        <v>270</v>
      </c>
      <c r="C54" s="53">
        <v>0</v>
      </c>
      <c r="D54" s="53">
        <f>B47*B54</f>
        <v>10.125</v>
      </c>
      <c r="E54" s="53">
        <f>$D$47</f>
        <v>7.5</v>
      </c>
      <c r="F54" s="53">
        <f>E54+D54</f>
        <v>17.625</v>
      </c>
      <c r="G54" s="53">
        <f>B54-E54</f>
        <v>262.5</v>
      </c>
      <c r="H54" s="53">
        <f ca="1">$H$60</f>
        <v>0</v>
      </c>
      <c r="I54" s="43">
        <f t="shared" si="0"/>
        <v>-17.625</v>
      </c>
      <c r="J54" s="53">
        <v>0</v>
      </c>
      <c r="K54" s="53">
        <f>I54+J54</f>
        <v>-17.625</v>
      </c>
    </row>
    <row r="55" spans="1:11">
      <c r="A55" s="52">
        <v>6</v>
      </c>
      <c r="B55" s="53">
        <f>G54</f>
        <v>262.5</v>
      </c>
      <c r="C55" s="53">
        <v>0</v>
      </c>
      <c r="D55" s="53">
        <f>B47*B55</f>
        <v>9.84375</v>
      </c>
      <c r="E55" s="53">
        <f>$D$47</f>
        <v>7.5</v>
      </c>
      <c r="F55" s="53">
        <f>E55+D55</f>
        <v>17.34375</v>
      </c>
      <c r="G55" s="53">
        <f>B55-E55</f>
        <v>255</v>
      </c>
      <c r="H55" s="53">
        <f ca="1">$H$60</f>
        <v>0</v>
      </c>
      <c r="I55" s="43">
        <f t="shared" si="0"/>
        <v>-17.34375</v>
      </c>
      <c r="J55" s="53">
        <v>0</v>
      </c>
      <c r="K55" s="53">
        <f>I55+J55</f>
        <v>-17.34375</v>
      </c>
    </row>
    <row r="56" spans="1:11">
      <c r="A56" s="52">
        <v>7</v>
      </c>
      <c r="B56" s="53">
        <f>G55</f>
        <v>255</v>
      </c>
      <c r="C56" s="53">
        <v>0</v>
      </c>
      <c r="D56" s="53">
        <f>$B47*B56</f>
        <v>9.5625</v>
      </c>
      <c r="E56" s="53">
        <f>$D$47</f>
        <v>7.5</v>
      </c>
      <c r="F56" s="53">
        <f>E56+D56</f>
        <v>17.0625</v>
      </c>
      <c r="G56" s="53">
        <f>B56-E56</f>
        <v>247.5</v>
      </c>
      <c r="H56" s="53">
        <f ca="1">$H$60</f>
        <v>0</v>
      </c>
      <c r="I56" s="43">
        <f t="shared" si="0"/>
        <v>-17.0625</v>
      </c>
      <c r="J56" s="53">
        <v>0</v>
      </c>
      <c r="K56" s="53">
        <f>I56+J56</f>
        <v>-17.0625</v>
      </c>
    </row>
    <row r="57" spans="1:11">
      <c r="A57" s="50">
        <v>8</v>
      </c>
      <c r="B57" s="54">
        <f>G56</f>
        <v>247.5</v>
      </c>
      <c r="C57" s="54">
        <v>0</v>
      </c>
      <c r="D57" s="54">
        <f>$B$47*B57</f>
        <v>9.28125</v>
      </c>
      <c r="E57" s="54">
        <f>$D$47</f>
        <v>7.5</v>
      </c>
      <c r="F57" s="54">
        <f>E57+D57</f>
        <v>16.78125</v>
      </c>
      <c r="G57" s="54">
        <f>B57-E57</f>
        <v>240</v>
      </c>
      <c r="H57" s="54">
        <f ca="1">$H$60</f>
        <v>0</v>
      </c>
      <c r="I57" s="51">
        <f t="shared" si="0"/>
        <v>-16.78125</v>
      </c>
      <c r="J57" s="54">
        <f>SUM(D53:D56)*$B$38</f>
        <v>13.179375</v>
      </c>
      <c r="K57" s="54">
        <f>I57+J57</f>
        <v>-3.6018749999999997</v>
      </c>
    </row>
    <row r="58" spans="1:11">
      <c r="A58" s="45">
        <v>9</v>
      </c>
      <c r="B58" s="53">
        <f>G57</f>
        <v>240</v>
      </c>
      <c r="C58" s="53">
        <v>0</v>
      </c>
      <c r="D58" s="53">
        <f>$B$47*B58</f>
        <v>9</v>
      </c>
      <c r="E58" s="53">
        <f>$D$47</f>
        <v>7.5</v>
      </c>
      <c r="F58" s="53">
        <f>E58+D58</f>
        <v>16.5</v>
      </c>
      <c r="G58" s="53">
        <f>B58-E58</f>
        <v>232.5</v>
      </c>
      <c r="H58" s="53">
        <f ca="1">$H$60</f>
        <v>0</v>
      </c>
      <c r="I58" s="43">
        <f t="shared" si="0"/>
        <v>-16.5</v>
      </c>
      <c r="J58" s="53">
        <v>0</v>
      </c>
      <c r="K58" s="53">
        <f>I58+J58</f>
        <v>-16.5</v>
      </c>
    </row>
    <row r="59" spans="1:11">
      <c r="A59" s="45">
        <v>10</v>
      </c>
      <c r="B59" s="53">
        <f>G58</f>
        <v>232.5</v>
      </c>
      <c r="C59" s="53">
        <v>0</v>
      </c>
      <c r="D59" s="53">
        <f>B$47*B59</f>
        <v>8.71875</v>
      </c>
      <c r="E59" s="53">
        <f>$D$47</f>
        <v>7.5</v>
      </c>
      <c r="F59" s="53">
        <f>E59+D59</f>
        <v>16.21875</v>
      </c>
      <c r="G59" s="53">
        <f>B59-E59</f>
        <v>225</v>
      </c>
      <c r="H59" s="53">
        <f ca="1">$H$60</f>
        <v>0</v>
      </c>
      <c r="I59" s="43">
        <f t="shared" si="0"/>
        <v>-16.21875</v>
      </c>
      <c r="J59" s="53">
        <v>0</v>
      </c>
      <c r="K59" s="53">
        <f>I59+J59</f>
        <v>-16.21875</v>
      </c>
    </row>
    <row r="60" spans="1:11">
      <c r="A60" s="45">
        <v>11</v>
      </c>
      <c r="B60" s="53">
        <f>G59</f>
        <v>225</v>
      </c>
      <c r="C60" s="53">
        <v>0</v>
      </c>
      <c r="D60" s="53">
        <f>$B$47*B60</f>
        <v>8.4375</v>
      </c>
      <c r="E60" s="53">
        <f>$D$47</f>
        <v>7.5</v>
      </c>
      <c r="F60" s="53">
        <f>E60+D60</f>
        <v>15.9375</v>
      </c>
      <c r="G60" s="53">
        <f>B60-E60</f>
        <v>217.5</v>
      </c>
      <c r="H60" s="53">
        <f ca="1">$H$60</f>
        <v>0</v>
      </c>
      <c r="I60" s="43">
        <f t="shared" si="0"/>
        <v>-15.9375</v>
      </c>
      <c r="J60" s="53">
        <v>0</v>
      </c>
      <c r="K60" s="53">
        <f>I60+J60</f>
        <v>-15.9375</v>
      </c>
    </row>
    <row r="61" spans="1:11">
      <c r="A61" s="50">
        <v>12</v>
      </c>
      <c r="B61" s="54">
        <f>G60</f>
        <v>217.5</v>
      </c>
      <c r="C61" s="54">
        <v>0</v>
      </c>
      <c r="D61" s="54">
        <f>$B$47*B61</f>
        <v>8.15625</v>
      </c>
      <c r="E61" s="54">
        <f>$D$47</f>
        <v>7.5</v>
      </c>
      <c r="F61" s="54">
        <f>E61+D61</f>
        <v>15.65625</v>
      </c>
      <c r="G61" s="54">
        <f>B61-E61</f>
        <v>210</v>
      </c>
      <c r="H61" s="54">
        <f ca="1">$H$60</f>
        <v>0</v>
      </c>
      <c r="I61" s="51">
        <f t="shared" si="0"/>
        <v>-15.65625</v>
      </c>
      <c r="J61" s="54">
        <f>SUM(D57:D60)*B38</f>
        <v>11.694375000000001</v>
      </c>
      <c r="K61" s="54">
        <f>I61+J61</f>
        <v>-3.9618749999999991</v>
      </c>
    </row>
    <row r="62" spans="1:11">
      <c r="A62" s="45">
        <v>13</v>
      </c>
      <c r="B62" s="53">
        <f>G61</f>
        <v>210</v>
      </c>
      <c r="C62" s="53">
        <v>0</v>
      </c>
      <c r="D62" s="53">
        <f>$B$47*B62</f>
        <v>7.875</v>
      </c>
      <c r="E62" s="53">
        <f>$D$47</f>
        <v>7.5</v>
      </c>
      <c r="F62" s="53">
        <f>E62+D62</f>
        <v>15.375</v>
      </c>
      <c r="G62" s="53">
        <f>B62-E62</f>
        <v>202.5</v>
      </c>
      <c r="H62" s="53">
        <f ca="1">$H$60</f>
        <v>0</v>
      </c>
      <c r="I62" s="43">
        <f t="shared" ref="I62:I66" si="1">C62-F62</f>
        <v>-15.375</v>
      </c>
      <c r="J62" s="53">
        <v>0</v>
      </c>
      <c r="K62" s="53">
        <f>I62+J62</f>
        <v>-15.375</v>
      </c>
    </row>
    <row r="63" spans="1:11">
      <c r="A63" s="45">
        <v>14</v>
      </c>
      <c r="B63" s="53">
        <f>G62</f>
        <v>202.5</v>
      </c>
      <c r="C63" s="53">
        <v>0</v>
      </c>
      <c r="D63" s="53">
        <f>B$47*B63</f>
        <v>7.59375</v>
      </c>
      <c r="E63" s="53">
        <f>$D$47</f>
        <v>7.5</v>
      </c>
      <c r="F63" s="53">
        <f>E63+D63</f>
        <v>15.09375</v>
      </c>
      <c r="G63" s="53">
        <f>B63-E63</f>
        <v>195</v>
      </c>
      <c r="H63" s="53">
        <f ca="1">$H$60</f>
        <v>0</v>
      </c>
      <c r="I63" s="43">
        <f t="shared" si="1"/>
        <v>-15.09375</v>
      </c>
      <c r="J63" s="53">
        <v>0</v>
      </c>
      <c r="K63" s="53">
        <f>I63+J63</f>
        <v>-15.09375</v>
      </c>
    </row>
    <row r="64" spans="1:11">
      <c r="A64" s="45">
        <v>15</v>
      </c>
      <c r="B64" s="53">
        <f>G63</f>
        <v>195</v>
      </c>
      <c r="C64" s="53">
        <v>0</v>
      </c>
      <c r="D64" s="53">
        <f>$B$47*B64</f>
        <v>7.3125</v>
      </c>
      <c r="E64" s="53">
        <f>$D$47</f>
        <v>7.5</v>
      </c>
      <c r="F64" s="53">
        <f>E64+D64</f>
        <v>14.8125</v>
      </c>
      <c r="G64" s="53">
        <f>B64-E64</f>
        <v>187.5</v>
      </c>
      <c r="H64" s="53">
        <f ca="1">$H$60</f>
        <v>0</v>
      </c>
      <c r="I64" s="43">
        <f t="shared" si="1"/>
        <v>-14.8125</v>
      </c>
      <c r="J64" s="53">
        <v>0</v>
      </c>
      <c r="K64" s="53">
        <f>I64+J64</f>
        <v>-14.8125</v>
      </c>
    </row>
    <row r="65" spans="1:11">
      <c r="A65" s="50">
        <v>16</v>
      </c>
      <c r="B65" s="54">
        <f>G64</f>
        <v>187.5</v>
      </c>
      <c r="C65" s="54">
        <v>0</v>
      </c>
      <c r="D65" s="54">
        <f>$B$47*B65</f>
        <v>7.03125</v>
      </c>
      <c r="E65" s="54">
        <f>$D$47</f>
        <v>7.5</v>
      </c>
      <c r="F65" s="54">
        <f>E65+D65</f>
        <v>14.53125</v>
      </c>
      <c r="G65" s="54">
        <f>B65-E65</f>
        <v>180</v>
      </c>
      <c r="H65" s="54">
        <f ca="1">$H$60</f>
        <v>0</v>
      </c>
      <c r="I65" s="51">
        <f t="shared" si="1"/>
        <v>-14.53125</v>
      </c>
      <c r="J65" s="54">
        <f>SUM(D61:D64)*$B$38</f>
        <v>10.209375</v>
      </c>
      <c r="K65" s="54">
        <f>I65+J65</f>
        <v>-4.3218750000000004</v>
      </c>
    </row>
    <row r="66" spans="1:11">
      <c r="A66" s="45">
        <v>17</v>
      </c>
      <c r="B66" s="55">
        <f t="shared" ref="B66:B89" si="2">G65</f>
        <v>180</v>
      </c>
      <c r="C66" s="55">
        <v>0</v>
      </c>
      <c r="D66" s="55">
        <f t="shared" ref="D66:D67" si="3">$B$47*B66</f>
        <v>6.75</v>
      </c>
      <c r="E66" s="55">
        <f t="shared" ref="E66:E89" si="4">$D$47</f>
        <v>7.5</v>
      </c>
      <c r="F66" s="55">
        <f t="shared" ref="F66:F89" si="5">E66+D66</f>
        <v>14.25</v>
      </c>
      <c r="G66" s="55">
        <f t="shared" ref="G66:G89" si="6">B66-E66</f>
        <v>172.5</v>
      </c>
      <c r="H66" s="55">
        <f t="shared" ref="H66:H89" ca="1" si="7">$H$60</f>
        <v>0</v>
      </c>
      <c r="I66" s="53">
        <f t="shared" si="1"/>
        <v>-14.25</v>
      </c>
      <c r="J66" s="53">
        <v>0</v>
      </c>
      <c r="K66" s="55">
        <f t="shared" ref="K66:K89" si="8">I66+J66</f>
        <v>-14.25</v>
      </c>
    </row>
    <row r="67" spans="1:11">
      <c r="A67" s="45">
        <v>18</v>
      </c>
      <c r="B67" s="53">
        <f t="shared" si="2"/>
        <v>172.5</v>
      </c>
      <c r="C67" s="53">
        <v>0</v>
      </c>
      <c r="D67" s="53">
        <f t="shared" si="3"/>
        <v>6.46875</v>
      </c>
      <c r="E67" s="53">
        <f t="shared" si="4"/>
        <v>7.5</v>
      </c>
      <c r="F67" s="53">
        <f t="shared" si="5"/>
        <v>13.96875</v>
      </c>
      <c r="G67" s="53">
        <f t="shared" si="6"/>
        <v>165</v>
      </c>
      <c r="H67" s="53">
        <f t="shared" ca="1" si="7"/>
        <v>0</v>
      </c>
      <c r="I67" s="43">
        <f t="shared" ref="I67:I89" si="9">C67-F67</f>
        <v>-13.96875</v>
      </c>
      <c r="J67" s="53">
        <v>0</v>
      </c>
      <c r="K67" s="53">
        <f t="shared" si="8"/>
        <v>-13.96875</v>
      </c>
    </row>
    <row r="68" spans="1:11">
      <c r="A68" s="45">
        <v>19</v>
      </c>
      <c r="B68" s="53">
        <f t="shared" si="2"/>
        <v>165</v>
      </c>
      <c r="C68" s="53">
        <v>0</v>
      </c>
      <c r="D68" s="53">
        <f t="shared" ref="D68" si="10">B$47*B68</f>
        <v>6.1875</v>
      </c>
      <c r="E68" s="53">
        <f t="shared" si="4"/>
        <v>7.5</v>
      </c>
      <c r="F68" s="53">
        <f t="shared" si="5"/>
        <v>13.6875</v>
      </c>
      <c r="G68" s="53">
        <f t="shared" si="6"/>
        <v>157.5</v>
      </c>
      <c r="H68" s="53">
        <f t="shared" ca="1" si="7"/>
        <v>0</v>
      </c>
      <c r="I68" s="43">
        <f t="shared" si="9"/>
        <v>-13.6875</v>
      </c>
      <c r="J68" s="53">
        <v>0</v>
      </c>
      <c r="K68" s="53">
        <f t="shared" si="8"/>
        <v>-13.6875</v>
      </c>
    </row>
    <row r="69" spans="1:11">
      <c r="A69" s="50">
        <v>20</v>
      </c>
      <c r="B69" s="51">
        <f t="shared" si="2"/>
        <v>157.5</v>
      </c>
      <c r="C69" s="51">
        <v>0</v>
      </c>
      <c r="D69" s="51">
        <f t="shared" ref="D69:D72" si="11">$B$47*B69</f>
        <v>5.90625</v>
      </c>
      <c r="E69" s="51">
        <f t="shared" si="4"/>
        <v>7.5</v>
      </c>
      <c r="F69" s="51">
        <f t="shared" si="5"/>
        <v>13.40625</v>
      </c>
      <c r="G69" s="51">
        <f t="shared" si="6"/>
        <v>150</v>
      </c>
      <c r="H69" s="51">
        <f t="shared" ca="1" si="7"/>
        <v>0</v>
      </c>
      <c r="I69" s="51">
        <f t="shared" si="9"/>
        <v>-13.40625</v>
      </c>
      <c r="J69" s="54">
        <f t="shared" ref="J69" si="12">SUM(D65:D68)*$B$38</f>
        <v>8.7243750000000002</v>
      </c>
      <c r="K69" s="51">
        <f t="shared" si="8"/>
        <v>-4.6818749999999998</v>
      </c>
    </row>
    <row r="70" spans="1:11">
      <c r="A70" s="45">
        <v>21</v>
      </c>
      <c r="B70" s="55">
        <f t="shared" si="2"/>
        <v>150</v>
      </c>
      <c r="C70" s="55">
        <v>0</v>
      </c>
      <c r="D70" s="55">
        <f t="shared" si="11"/>
        <v>5.625</v>
      </c>
      <c r="E70" s="55">
        <f t="shared" si="4"/>
        <v>7.5</v>
      </c>
      <c r="F70" s="55">
        <f t="shared" si="5"/>
        <v>13.125</v>
      </c>
      <c r="G70" s="55">
        <f t="shared" si="6"/>
        <v>142.5</v>
      </c>
      <c r="H70" s="55">
        <f t="shared" ca="1" si="7"/>
        <v>0</v>
      </c>
      <c r="I70" s="53">
        <f t="shared" si="9"/>
        <v>-13.125</v>
      </c>
      <c r="J70" s="53">
        <v>0</v>
      </c>
      <c r="K70" s="55">
        <f t="shared" si="8"/>
        <v>-13.125</v>
      </c>
    </row>
    <row r="71" spans="1:11">
      <c r="A71" s="45">
        <v>22</v>
      </c>
      <c r="B71" s="55">
        <f t="shared" si="2"/>
        <v>142.5</v>
      </c>
      <c r="C71" s="55">
        <v>0</v>
      </c>
      <c r="D71" s="55">
        <f t="shared" si="11"/>
        <v>5.34375</v>
      </c>
      <c r="E71" s="55">
        <f t="shared" si="4"/>
        <v>7.5</v>
      </c>
      <c r="F71" s="55">
        <f t="shared" si="5"/>
        <v>12.84375</v>
      </c>
      <c r="G71" s="55">
        <f t="shared" si="6"/>
        <v>135</v>
      </c>
      <c r="H71" s="55">
        <f t="shared" ca="1" si="7"/>
        <v>0</v>
      </c>
      <c r="I71" s="53">
        <f t="shared" si="9"/>
        <v>-12.84375</v>
      </c>
      <c r="J71" s="53">
        <v>0</v>
      </c>
      <c r="K71" s="55">
        <f t="shared" si="8"/>
        <v>-12.84375</v>
      </c>
    </row>
    <row r="72" spans="1:11">
      <c r="A72" s="45">
        <v>23</v>
      </c>
      <c r="B72" s="53">
        <f t="shared" si="2"/>
        <v>135</v>
      </c>
      <c r="C72" s="53">
        <v>0</v>
      </c>
      <c r="D72" s="53">
        <f t="shared" si="11"/>
        <v>5.0625</v>
      </c>
      <c r="E72" s="53">
        <f t="shared" si="4"/>
        <v>7.5</v>
      </c>
      <c r="F72" s="53">
        <f t="shared" si="5"/>
        <v>12.5625</v>
      </c>
      <c r="G72" s="53">
        <f t="shared" si="6"/>
        <v>127.5</v>
      </c>
      <c r="H72" s="53">
        <f t="shared" ca="1" si="7"/>
        <v>0</v>
      </c>
      <c r="I72" s="53">
        <f t="shared" si="9"/>
        <v>-12.5625</v>
      </c>
      <c r="J72" s="53">
        <v>0</v>
      </c>
      <c r="K72" s="53">
        <f t="shared" si="8"/>
        <v>-12.5625</v>
      </c>
    </row>
    <row r="73" spans="1:11">
      <c r="A73" s="50">
        <v>24</v>
      </c>
      <c r="B73" s="51">
        <f t="shared" si="2"/>
        <v>127.5</v>
      </c>
      <c r="C73" s="51">
        <v>0</v>
      </c>
      <c r="D73" s="51">
        <f t="shared" ref="D73" si="13">B$47*B73</f>
        <v>4.78125</v>
      </c>
      <c r="E73" s="51">
        <f t="shared" si="4"/>
        <v>7.5</v>
      </c>
      <c r="F73" s="51">
        <f t="shared" si="5"/>
        <v>12.28125</v>
      </c>
      <c r="G73" s="51">
        <f t="shared" si="6"/>
        <v>120</v>
      </c>
      <c r="H73" s="51">
        <f t="shared" ca="1" si="7"/>
        <v>0</v>
      </c>
      <c r="I73" s="51">
        <f t="shared" si="9"/>
        <v>-12.28125</v>
      </c>
      <c r="J73" s="54">
        <f t="shared" ref="J73" si="14">SUM(D69:D72)*$B$38</f>
        <v>7.2393750000000008</v>
      </c>
      <c r="K73" s="51">
        <f t="shared" si="8"/>
        <v>-5.0418749999999992</v>
      </c>
    </row>
    <row r="74" spans="1:11">
      <c r="A74" s="45">
        <v>25</v>
      </c>
      <c r="B74" s="53">
        <f t="shared" si="2"/>
        <v>120</v>
      </c>
      <c r="C74" s="53">
        <v>0</v>
      </c>
      <c r="D74" s="53">
        <f t="shared" ref="D74:D77" si="15">$B$47*B74</f>
        <v>4.5</v>
      </c>
      <c r="E74" s="53">
        <f t="shared" si="4"/>
        <v>7.5</v>
      </c>
      <c r="F74" s="53">
        <f t="shared" si="5"/>
        <v>12</v>
      </c>
      <c r="G74" s="53">
        <f t="shared" si="6"/>
        <v>112.5</v>
      </c>
      <c r="H74" s="53">
        <f t="shared" ca="1" si="7"/>
        <v>0</v>
      </c>
      <c r="I74" s="53">
        <f t="shared" si="9"/>
        <v>-12</v>
      </c>
      <c r="J74" s="53">
        <v>0</v>
      </c>
      <c r="K74" s="53">
        <f t="shared" si="8"/>
        <v>-12</v>
      </c>
    </row>
    <row r="75" spans="1:11">
      <c r="A75" s="45">
        <v>26</v>
      </c>
      <c r="B75" s="55">
        <f t="shared" si="2"/>
        <v>112.5</v>
      </c>
      <c r="C75" s="55">
        <v>0</v>
      </c>
      <c r="D75" s="55">
        <f t="shared" si="15"/>
        <v>4.21875</v>
      </c>
      <c r="E75" s="55">
        <f t="shared" si="4"/>
        <v>7.5</v>
      </c>
      <c r="F75" s="55">
        <f t="shared" si="5"/>
        <v>11.71875</v>
      </c>
      <c r="G75" s="55">
        <f t="shared" si="6"/>
        <v>105</v>
      </c>
      <c r="H75" s="55">
        <f t="shared" ca="1" si="7"/>
        <v>0</v>
      </c>
      <c r="I75" s="53">
        <f t="shared" si="9"/>
        <v>-11.71875</v>
      </c>
      <c r="J75" s="53">
        <v>0</v>
      </c>
      <c r="K75" s="55">
        <f t="shared" si="8"/>
        <v>-11.71875</v>
      </c>
    </row>
    <row r="76" spans="1:11">
      <c r="A76" s="45">
        <v>27</v>
      </c>
      <c r="B76" s="55">
        <f t="shared" si="2"/>
        <v>105</v>
      </c>
      <c r="C76" s="55">
        <v>0</v>
      </c>
      <c r="D76" s="55">
        <f t="shared" si="15"/>
        <v>3.9375</v>
      </c>
      <c r="E76" s="55">
        <f t="shared" si="4"/>
        <v>7.5</v>
      </c>
      <c r="F76" s="55">
        <f t="shared" si="5"/>
        <v>11.4375</v>
      </c>
      <c r="G76" s="55">
        <f t="shared" si="6"/>
        <v>97.5</v>
      </c>
      <c r="H76" s="55">
        <f t="shared" ca="1" si="7"/>
        <v>0</v>
      </c>
      <c r="I76" s="53">
        <f t="shared" si="9"/>
        <v>-11.4375</v>
      </c>
      <c r="J76" s="53">
        <v>0</v>
      </c>
      <c r="K76" s="55">
        <f t="shared" si="8"/>
        <v>-11.4375</v>
      </c>
    </row>
    <row r="77" spans="1:11">
      <c r="A77" s="50">
        <v>28</v>
      </c>
      <c r="B77" s="51">
        <f t="shared" si="2"/>
        <v>97.5</v>
      </c>
      <c r="C77" s="51">
        <v>0</v>
      </c>
      <c r="D77" s="51">
        <f t="shared" si="15"/>
        <v>3.65625</v>
      </c>
      <c r="E77" s="51">
        <f t="shared" si="4"/>
        <v>7.5</v>
      </c>
      <c r="F77" s="51">
        <f t="shared" si="5"/>
        <v>11.15625</v>
      </c>
      <c r="G77" s="51">
        <f t="shared" si="6"/>
        <v>90</v>
      </c>
      <c r="H77" s="51">
        <f t="shared" ca="1" si="7"/>
        <v>0</v>
      </c>
      <c r="I77" s="51">
        <f t="shared" si="9"/>
        <v>-11.15625</v>
      </c>
      <c r="J77" s="54">
        <f t="shared" ref="J77" si="16">SUM(D73:D76)*$B$38</f>
        <v>5.7543750000000005</v>
      </c>
      <c r="K77" s="51">
        <f t="shared" si="8"/>
        <v>-5.4018749999999995</v>
      </c>
    </row>
    <row r="78" spans="1:11">
      <c r="A78" s="45">
        <v>29</v>
      </c>
      <c r="B78" s="53">
        <f t="shared" si="2"/>
        <v>90</v>
      </c>
      <c r="C78" s="53">
        <v>0</v>
      </c>
      <c r="D78" s="53">
        <f t="shared" ref="D78" si="17">B$47*B78</f>
        <v>3.375</v>
      </c>
      <c r="E78" s="53">
        <f t="shared" si="4"/>
        <v>7.5</v>
      </c>
      <c r="F78" s="53">
        <f t="shared" si="5"/>
        <v>10.875</v>
      </c>
      <c r="G78" s="53">
        <f t="shared" si="6"/>
        <v>82.5</v>
      </c>
      <c r="H78" s="53">
        <f t="shared" ca="1" si="7"/>
        <v>0</v>
      </c>
      <c r="I78" s="53">
        <f t="shared" si="9"/>
        <v>-10.875</v>
      </c>
      <c r="J78" s="53">
        <v>0</v>
      </c>
      <c r="K78" s="53">
        <f t="shared" si="8"/>
        <v>-10.875</v>
      </c>
    </row>
    <row r="79" spans="1:11">
      <c r="A79" s="45">
        <v>30</v>
      </c>
      <c r="B79" s="53">
        <f t="shared" si="2"/>
        <v>82.5</v>
      </c>
      <c r="C79" s="53">
        <v>0</v>
      </c>
      <c r="D79" s="53">
        <f t="shared" ref="D79:D82" si="18">$B$47*B79</f>
        <v>3.09375</v>
      </c>
      <c r="E79" s="53">
        <f t="shared" si="4"/>
        <v>7.5</v>
      </c>
      <c r="F79" s="53">
        <f t="shared" si="5"/>
        <v>10.59375</v>
      </c>
      <c r="G79" s="53">
        <f t="shared" si="6"/>
        <v>75</v>
      </c>
      <c r="H79" s="53">
        <f t="shared" ca="1" si="7"/>
        <v>0</v>
      </c>
      <c r="I79" s="53">
        <f t="shared" si="9"/>
        <v>-10.59375</v>
      </c>
      <c r="J79" s="53">
        <v>0</v>
      </c>
      <c r="K79" s="53">
        <f t="shared" si="8"/>
        <v>-10.59375</v>
      </c>
    </row>
    <row r="80" spans="1:11">
      <c r="A80" s="45">
        <v>31</v>
      </c>
      <c r="B80" s="55">
        <f t="shared" si="2"/>
        <v>75</v>
      </c>
      <c r="C80" s="55">
        <v>0</v>
      </c>
      <c r="D80" s="55">
        <f t="shared" si="18"/>
        <v>2.8125</v>
      </c>
      <c r="E80" s="55">
        <f t="shared" si="4"/>
        <v>7.5</v>
      </c>
      <c r="F80" s="55">
        <f t="shared" si="5"/>
        <v>10.3125</v>
      </c>
      <c r="G80" s="55">
        <f t="shared" si="6"/>
        <v>67.5</v>
      </c>
      <c r="H80" s="55">
        <f t="shared" ca="1" si="7"/>
        <v>0</v>
      </c>
      <c r="I80" s="53">
        <f t="shared" si="9"/>
        <v>-10.3125</v>
      </c>
      <c r="J80" s="53">
        <v>0</v>
      </c>
      <c r="K80" s="55">
        <f t="shared" si="8"/>
        <v>-10.3125</v>
      </c>
    </row>
    <row r="81" spans="1:11">
      <c r="A81" s="50">
        <v>32</v>
      </c>
      <c r="B81" s="54">
        <f t="shared" si="2"/>
        <v>67.5</v>
      </c>
      <c r="C81" s="54">
        <v>0</v>
      </c>
      <c r="D81" s="54">
        <f t="shared" si="18"/>
        <v>2.53125</v>
      </c>
      <c r="E81" s="54">
        <f t="shared" si="4"/>
        <v>7.5</v>
      </c>
      <c r="F81" s="54">
        <f t="shared" si="5"/>
        <v>10.03125</v>
      </c>
      <c r="G81" s="54">
        <f t="shared" si="6"/>
        <v>60</v>
      </c>
      <c r="H81" s="54">
        <f t="shared" ca="1" si="7"/>
        <v>0</v>
      </c>
      <c r="I81" s="51">
        <f t="shared" si="9"/>
        <v>-10.03125</v>
      </c>
      <c r="J81" s="54">
        <f t="shared" ref="J81" si="19">SUM(D77:D80)*$B$38</f>
        <v>4.2693750000000001</v>
      </c>
      <c r="K81" s="54">
        <f t="shared" si="8"/>
        <v>-5.7618749999999999</v>
      </c>
    </row>
    <row r="82" spans="1:11">
      <c r="A82" s="45">
        <v>33</v>
      </c>
      <c r="B82" s="53">
        <f t="shared" si="2"/>
        <v>60</v>
      </c>
      <c r="C82" s="53">
        <v>0</v>
      </c>
      <c r="D82" s="53">
        <f t="shared" si="18"/>
        <v>2.25</v>
      </c>
      <c r="E82" s="53">
        <f t="shared" si="4"/>
        <v>7.5</v>
      </c>
      <c r="F82" s="53">
        <f t="shared" si="5"/>
        <v>9.75</v>
      </c>
      <c r="G82" s="53">
        <f t="shared" si="6"/>
        <v>52.5</v>
      </c>
      <c r="H82" s="53">
        <f t="shared" ca="1" si="7"/>
        <v>0</v>
      </c>
      <c r="I82" s="53">
        <f t="shared" si="9"/>
        <v>-9.75</v>
      </c>
      <c r="J82" s="53">
        <v>0</v>
      </c>
      <c r="K82" s="53">
        <f t="shared" si="8"/>
        <v>-9.75</v>
      </c>
    </row>
    <row r="83" spans="1:11">
      <c r="A83" s="45">
        <v>34</v>
      </c>
      <c r="B83" s="53">
        <f t="shared" si="2"/>
        <v>52.5</v>
      </c>
      <c r="C83" s="53">
        <v>0</v>
      </c>
      <c r="D83" s="53">
        <f t="shared" ref="D83" si="20">B$47*B83</f>
        <v>1.96875</v>
      </c>
      <c r="E83" s="53">
        <f t="shared" si="4"/>
        <v>7.5</v>
      </c>
      <c r="F83" s="53">
        <f t="shared" si="5"/>
        <v>9.46875</v>
      </c>
      <c r="G83" s="53">
        <f t="shared" si="6"/>
        <v>45</v>
      </c>
      <c r="H83" s="53">
        <f t="shared" ca="1" si="7"/>
        <v>0</v>
      </c>
      <c r="I83" s="53">
        <f t="shared" si="9"/>
        <v>-9.46875</v>
      </c>
      <c r="J83" s="53">
        <v>0</v>
      </c>
      <c r="K83" s="53">
        <f t="shared" si="8"/>
        <v>-9.46875</v>
      </c>
    </row>
    <row r="84" spans="1:11">
      <c r="A84" s="45">
        <v>35</v>
      </c>
      <c r="B84" s="53">
        <f t="shared" si="2"/>
        <v>45</v>
      </c>
      <c r="C84" s="53">
        <v>0</v>
      </c>
      <c r="D84" s="53">
        <f t="shared" ref="D84:D87" si="21">$B$47*B84</f>
        <v>1.6875</v>
      </c>
      <c r="E84" s="53">
        <f t="shared" si="4"/>
        <v>7.5</v>
      </c>
      <c r="F84" s="53">
        <f t="shared" si="5"/>
        <v>9.1875</v>
      </c>
      <c r="G84" s="53">
        <f t="shared" si="6"/>
        <v>37.5</v>
      </c>
      <c r="H84" s="53">
        <f t="shared" ca="1" si="7"/>
        <v>0</v>
      </c>
      <c r="I84" s="53">
        <f t="shared" si="9"/>
        <v>-9.1875</v>
      </c>
      <c r="J84" s="53">
        <v>0</v>
      </c>
      <c r="K84" s="53">
        <f t="shared" si="8"/>
        <v>-9.1875</v>
      </c>
    </row>
    <row r="85" spans="1:11">
      <c r="A85" s="50">
        <v>36</v>
      </c>
      <c r="B85" s="54">
        <f t="shared" si="2"/>
        <v>37.5</v>
      </c>
      <c r="C85" s="54">
        <v>0</v>
      </c>
      <c r="D85" s="54">
        <f t="shared" si="21"/>
        <v>1.40625</v>
      </c>
      <c r="E85" s="54">
        <f t="shared" si="4"/>
        <v>7.5</v>
      </c>
      <c r="F85" s="54">
        <f t="shared" si="5"/>
        <v>8.90625</v>
      </c>
      <c r="G85" s="54">
        <f t="shared" si="6"/>
        <v>30</v>
      </c>
      <c r="H85" s="54">
        <f t="shared" ca="1" si="7"/>
        <v>0</v>
      </c>
      <c r="I85" s="51">
        <f t="shared" si="9"/>
        <v>-8.90625</v>
      </c>
      <c r="J85" s="54">
        <f t="shared" ref="J85" si="22">SUM(D81:D84)*$B$38</f>
        <v>2.7843750000000003</v>
      </c>
      <c r="K85" s="54">
        <f t="shared" si="8"/>
        <v>-6.1218749999999993</v>
      </c>
    </row>
    <row r="86" spans="1:11">
      <c r="A86" s="45">
        <v>37</v>
      </c>
      <c r="B86" s="55">
        <f t="shared" si="2"/>
        <v>30</v>
      </c>
      <c r="C86" s="55">
        <v>0</v>
      </c>
      <c r="D86" s="55">
        <f t="shared" si="21"/>
        <v>1.125</v>
      </c>
      <c r="E86" s="55">
        <f t="shared" si="4"/>
        <v>7.5</v>
      </c>
      <c r="F86" s="55">
        <f t="shared" si="5"/>
        <v>8.625</v>
      </c>
      <c r="G86" s="55">
        <f t="shared" si="6"/>
        <v>22.5</v>
      </c>
      <c r="H86" s="55">
        <f t="shared" ca="1" si="7"/>
        <v>0</v>
      </c>
      <c r="I86" s="53">
        <f t="shared" si="9"/>
        <v>-8.625</v>
      </c>
      <c r="J86" s="53">
        <v>0</v>
      </c>
      <c r="K86" s="55">
        <f t="shared" si="8"/>
        <v>-8.625</v>
      </c>
    </row>
    <row r="87" spans="1:11">
      <c r="A87" s="45">
        <v>38</v>
      </c>
      <c r="B87" s="53">
        <f t="shared" si="2"/>
        <v>22.5</v>
      </c>
      <c r="C87" s="53">
        <v>0</v>
      </c>
      <c r="D87" s="53">
        <f t="shared" si="21"/>
        <v>0.84375</v>
      </c>
      <c r="E87" s="53">
        <f t="shared" si="4"/>
        <v>7.5</v>
      </c>
      <c r="F87" s="53">
        <f t="shared" si="5"/>
        <v>8.34375</v>
      </c>
      <c r="G87" s="53">
        <f t="shared" si="6"/>
        <v>15</v>
      </c>
      <c r="H87" s="53">
        <f t="shared" ca="1" si="7"/>
        <v>0</v>
      </c>
      <c r="I87" s="53">
        <f t="shared" si="9"/>
        <v>-8.34375</v>
      </c>
      <c r="J87" s="53">
        <v>0</v>
      </c>
      <c r="K87" s="53">
        <f t="shared" si="8"/>
        <v>-8.34375</v>
      </c>
    </row>
    <row r="88" spans="1:11">
      <c r="A88" s="45">
        <v>39</v>
      </c>
      <c r="B88" s="53">
        <f t="shared" si="2"/>
        <v>15</v>
      </c>
      <c r="C88" s="53">
        <v>0</v>
      </c>
      <c r="D88" s="53">
        <f t="shared" ref="D88" si="23">B$47*B88</f>
        <v>0.5625</v>
      </c>
      <c r="E88" s="53">
        <f t="shared" si="4"/>
        <v>7.5</v>
      </c>
      <c r="F88" s="53">
        <f t="shared" si="5"/>
        <v>8.0625</v>
      </c>
      <c r="G88" s="53">
        <f t="shared" si="6"/>
        <v>7.5</v>
      </c>
      <c r="H88" s="53">
        <f t="shared" ca="1" si="7"/>
        <v>0</v>
      </c>
      <c r="I88" s="53">
        <f t="shared" si="9"/>
        <v>-8.0625</v>
      </c>
      <c r="J88" s="53">
        <v>0</v>
      </c>
      <c r="K88" s="53">
        <f t="shared" si="8"/>
        <v>-8.0625</v>
      </c>
    </row>
    <row r="89" spans="1:11">
      <c r="A89" s="50">
        <v>40</v>
      </c>
      <c r="B89" s="51">
        <f t="shared" si="2"/>
        <v>7.5</v>
      </c>
      <c r="C89" s="51">
        <v>0</v>
      </c>
      <c r="D89" s="51">
        <v>0</v>
      </c>
      <c r="E89" s="51">
        <f t="shared" si="4"/>
        <v>7.5</v>
      </c>
      <c r="F89" s="51">
        <f t="shared" si="5"/>
        <v>7.5</v>
      </c>
      <c r="G89" s="51">
        <f t="shared" si="6"/>
        <v>0</v>
      </c>
      <c r="H89" s="51">
        <f t="shared" ca="1" si="7"/>
        <v>0</v>
      </c>
      <c r="I89" s="51">
        <f t="shared" si="9"/>
        <v>-7.5</v>
      </c>
      <c r="J89" s="54">
        <f t="shared" ref="J89" si="24">SUM(D85:D88)*$B$38</f>
        <v>1.2993750000000002</v>
      </c>
      <c r="K89" s="51">
        <f t="shared" si="8"/>
        <v>-6.2006249999999996</v>
      </c>
    </row>
    <row r="90" spans="1:11">
      <c r="J90" s="56" t="s">
        <v>102</v>
      </c>
      <c r="K90" s="57">
        <f>IRR(I49:I89)</f>
        <v>4.0468486520287117E-2</v>
      </c>
    </row>
    <row r="91" spans="1:11">
      <c r="J91" s="56" t="s">
        <v>103</v>
      </c>
      <c r="K91" s="57">
        <f>IRR(K49:K89)</f>
        <v>2.7531907833705072E-2</v>
      </c>
    </row>
    <row r="94" spans="1:11">
      <c r="A94" s="41" t="s">
        <v>92</v>
      </c>
      <c r="B94" s="42"/>
      <c r="C94" s="41" t="s">
        <v>88</v>
      </c>
      <c r="D94" s="43">
        <f>D31/D33</f>
        <v>95</v>
      </c>
      <c r="E94" s="62">
        <v>0</v>
      </c>
    </row>
    <row r="95" spans="1:11">
      <c r="A95" s="41" t="s">
        <v>87</v>
      </c>
      <c r="B95" s="49">
        <f>D32/6</f>
        <v>0.03</v>
      </c>
      <c r="C95" s="41" t="s">
        <v>89</v>
      </c>
      <c r="D95" s="43">
        <f>D94/2</f>
        <v>47.5</v>
      </c>
    </row>
    <row r="96" spans="1:11">
      <c r="A96" s="41" t="s">
        <v>29</v>
      </c>
      <c r="B96" s="41" t="s">
        <v>30</v>
      </c>
      <c r="C96" s="41" t="s">
        <v>85</v>
      </c>
      <c r="D96" s="41" t="s">
        <v>32</v>
      </c>
      <c r="E96" s="41" t="s">
        <v>33</v>
      </c>
      <c r="F96" s="41" t="s">
        <v>28</v>
      </c>
      <c r="G96" s="41" t="s">
        <v>34</v>
      </c>
      <c r="H96" s="41" t="s">
        <v>45</v>
      </c>
      <c r="I96" s="41" t="s">
        <v>90</v>
      </c>
      <c r="J96" s="41" t="s">
        <v>91</v>
      </c>
      <c r="K96" s="41" t="s">
        <v>86</v>
      </c>
    </row>
    <row r="97" spans="1:11">
      <c r="A97" s="45">
        <v>0</v>
      </c>
      <c r="B97" s="43">
        <v>0</v>
      </c>
      <c r="C97" s="43">
        <f>D31</f>
        <v>760</v>
      </c>
      <c r="D97" s="43">
        <v>0</v>
      </c>
      <c r="E97" s="43">
        <v>0</v>
      </c>
      <c r="F97" s="43">
        <v>0</v>
      </c>
      <c r="G97" s="43">
        <f>C97</f>
        <v>760</v>
      </c>
      <c r="H97" s="43">
        <f>D35*C97</f>
        <v>15.200000000000001</v>
      </c>
      <c r="I97" s="43">
        <f>G97-H97</f>
        <v>744.8</v>
      </c>
      <c r="J97" s="43">
        <v>0</v>
      </c>
      <c r="K97" s="43">
        <f>I97+J97</f>
        <v>744.8</v>
      </c>
    </row>
    <row r="98" spans="1:11">
      <c r="A98" s="45">
        <v>1</v>
      </c>
      <c r="B98" s="43">
        <f>G97</f>
        <v>760</v>
      </c>
      <c r="C98" s="43">
        <f>$E$94</f>
        <v>0</v>
      </c>
      <c r="D98" s="43">
        <f>$B$95*B98</f>
        <v>22.8</v>
      </c>
      <c r="E98" s="43">
        <f>$D$95</f>
        <v>47.5</v>
      </c>
      <c r="F98" s="43">
        <f>D98+E98</f>
        <v>70.3</v>
      </c>
      <c r="G98" s="43">
        <f>B98-E98</f>
        <v>712.5</v>
      </c>
      <c r="H98" s="43">
        <f>$E$94</f>
        <v>0</v>
      </c>
      <c r="I98" s="43">
        <f>C98-F98</f>
        <v>-70.3</v>
      </c>
      <c r="J98" s="43">
        <v>0</v>
      </c>
      <c r="K98" s="43">
        <f>I98+J98</f>
        <v>-70.3</v>
      </c>
    </row>
    <row r="99" spans="1:11">
      <c r="A99" s="45">
        <v>2</v>
      </c>
      <c r="B99" s="43">
        <f>G98</f>
        <v>712.5</v>
      </c>
      <c r="C99" s="43">
        <f>$E$94</f>
        <v>0</v>
      </c>
      <c r="D99" s="43">
        <f>$B$95*B99</f>
        <v>21.375</v>
      </c>
      <c r="E99" s="43">
        <f>$D$95</f>
        <v>47.5</v>
      </c>
      <c r="F99" s="43">
        <f>D99+E99</f>
        <v>68.875</v>
      </c>
      <c r="G99" s="43">
        <f>B99-E99</f>
        <v>665</v>
      </c>
      <c r="H99" s="43">
        <f>$E$94</f>
        <v>0</v>
      </c>
      <c r="I99" s="43">
        <f>C99-F99</f>
        <v>-68.875</v>
      </c>
      <c r="J99" s="43">
        <v>0</v>
      </c>
      <c r="K99" s="43">
        <f>I99+J99</f>
        <v>-68.875</v>
      </c>
    </row>
    <row r="100" spans="1:11">
      <c r="A100" s="45">
        <v>3</v>
      </c>
      <c r="B100" s="43">
        <f>G99</f>
        <v>665</v>
      </c>
      <c r="C100" s="43">
        <f>$E$94</f>
        <v>0</v>
      </c>
      <c r="D100" s="43">
        <f>$B$95*B100</f>
        <v>19.95</v>
      </c>
      <c r="E100" s="43">
        <f>$D$95</f>
        <v>47.5</v>
      </c>
      <c r="F100" s="43">
        <f>D100+E100</f>
        <v>67.45</v>
      </c>
      <c r="G100" s="43">
        <f>B100-E100</f>
        <v>617.5</v>
      </c>
      <c r="H100" s="43">
        <f>$E$94</f>
        <v>0</v>
      </c>
      <c r="I100" s="43">
        <f>C100-F100</f>
        <v>-67.45</v>
      </c>
      <c r="J100" s="43">
        <v>0</v>
      </c>
      <c r="K100" s="43">
        <f>I100+J100</f>
        <v>-67.45</v>
      </c>
    </row>
    <row r="101" spans="1:11">
      <c r="A101" s="50">
        <v>4</v>
      </c>
      <c r="B101" s="51">
        <f>G100</f>
        <v>617.5</v>
      </c>
      <c r="C101" s="51">
        <f>$E$94</f>
        <v>0</v>
      </c>
      <c r="D101" s="51">
        <f>$B$95*B101</f>
        <v>18.524999999999999</v>
      </c>
      <c r="E101" s="51">
        <f>$D$95</f>
        <v>47.5</v>
      </c>
      <c r="F101" s="51">
        <f>D101+E101</f>
        <v>66.025000000000006</v>
      </c>
      <c r="G101" s="51">
        <f>B101-E101</f>
        <v>570</v>
      </c>
      <c r="H101" s="51">
        <f>$E$94</f>
        <v>0</v>
      </c>
      <c r="I101" s="51">
        <f>C101-F101</f>
        <v>-66.025000000000006</v>
      </c>
      <c r="J101" s="51">
        <f>(H97+SUM(D97:D101))*$B$38</f>
        <v>32.290500000000002</v>
      </c>
      <c r="K101" s="51">
        <f>I101+J101</f>
        <v>-33.734500000000004</v>
      </c>
    </row>
    <row r="102" spans="1:11">
      <c r="A102" s="52">
        <v>5</v>
      </c>
      <c r="B102" s="43">
        <f t="shared" ref="B102:B113" si="25">G101</f>
        <v>570</v>
      </c>
      <c r="C102" s="43">
        <f t="shared" ref="C102:C113" si="26">$E$94</f>
        <v>0</v>
      </c>
      <c r="D102" s="43">
        <f t="shared" ref="D102:D113" si="27">$B$95*B102</f>
        <v>17.099999999999998</v>
      </c>
      <c r="E102" s="43">
        <f t="shared" ref="E102:E113" si="28">$D$95</f>
        <v>47.5</v>
      </c>
      <c r="F102" s="43">
        <f t="shared" ref="F102:F113" si="29">D102+E102</f>
        <v>64.599999999999994</v>
      </c>
      <c r="G102" s="43">
        <f t="shared" ref="G102:G113" si="30">B102-E102</f>
        <v>522.5</v>
      </c>
      <c r="H102" s="43">
        <f t="shared" ref="H102:H113" si="31">$E$94</f>
        <v>0</v>
      </c>
      <c r="I102" s="43">
        <f t="shared" ref="I102:I113" si="32">C102-F102</f>
        <v>-64.599999999999994</v>
      </c>
      <c r="J102" s="43">
        <v>0</v>
      </c>
      <c r="K102" s="43">
        <f t="shared" ref="K102:K113" si="33">I102+J102</f>
        <v>-64.599999999999994</v>
      </c>
    </row>
    <row r="103" spans="1:11">
      <c r="A103" s="52">
        <v>6</v>
      </c>
      <c r="B103" s="43">
        <f t="shared" si="25"/>
        <v>522.5</v>
      </c>
      <c r="C103" s="43">
        <f t="shared" si="26"/>
        <v>0</v>
      </c>
      <c r="D103" s="43">
        <f t="shared" si="27"/>
        <v>15.674999999999999</v>
      </c>
      <c r="E103" s="43">
        <f t="shared" si="28"/>
        <v>47.5</v>
      </c>
      <c r="F103" s="43">
        <f t="shared" si="29"/>
        <v>63.174999999999997</v>
      </c>
      <c r="G103" s="43">
        <f t="shared" si="30"/>
        <v>475</v>
      </c>
      <c r="H103" s="43">
        <f t="shared" si="31"/>
        <v>0</v>
      </c>
      <c r="I103" s="43">
        <f t="shared" si="32"/>
        <v>-63.174999999999997</v>
      </c>
      <c r="J103" s="43">
        <v>0</v>
      </c>
      <c r="K103" s="43">
        <f t="shared" si="33"/>
        <v>-63.174999999999997</v>
      </c>
    </row>
    <row r="104" spans="1:11">
      <c r="A104" s="52">
        <v>7</v>
      </c>
      <c r="B104" s="43">
        <f t="shared" si="25"/>
        <v>475</v>
      </c>
      <c r="C104" s="43">
        <f t="shared" si="26"/>
        <v>0</v>
      </c>
      <c r="D104" s="43">
        <f t="shared" si="27"/>
        <v>14.25</v>
      </c>
      <c r="E104" s="43">
        <f t="shared" si="28"/>
        <v>47.5</v>
      </c>
      <c r="F104" s="43">
        <f t="shared" si="29"/>
        <v>61.75</v>
      </c>
      <c r="G104" s="43">
        <f t="shared" si="30"/>
        <v>427.5</v>
      </c>
      <c r="H104" s="43">
        <f t="shared" si="31"/>
        <v>0</v>
      </c>
      <c r="I104" s="43">
        <f t="shared" si="32"/>
        <v>-61.75</v>
      </c>
      <c r="J104" s="43">
        <v>0</v>
      </c>
      <c r="K104" s="43">
        <f t="shared" si="33"/>
        <v>-61.75</v>
      </c>
    </row>
    <row r="105" spans="1:11">
      <c r="A105" s="50">
        <v>8</v>
      </c>
      <c r="B105" s="51">
        <f t="shared" si="25"/>
        <v>427.5</v>
      </c>
      <c r="C105" s="51">
        <f t="shared" si="26"/>
        <v>0</v>
      </c>
      <c r="D105" s="51">
        <f t="shared" si="27"/>
        <v>12.824999999999999</v>
      </c>
      <c r="E105" s="51">
        <f t="shared" si="28"/>
        <v>47.5</v>
      </c>
      <c r="F105" s="51">
        <f t="shared" si="29"/>
        <v>60.325000000000003</v>
      </c>
      <c r="G105" s="51">
        <f t="shared" si="30"/>
        <v>380</v>
      </c>
      <c r="H105" s="51">
        <f t="shared" si="31"/>
        <v>0</v>
      </c>
      <c r="I105" s="51">
        <f t="shared" si="32"/>
        <v>-60.325000000000003</v>
      </c>
      <c r="J105" s="51">
        <f t="shared" ref="J105" si="34">(H101+SUM(D101:D105))*$B$38</f>
        <v>25.86375</v>
      </c>
      <c r="K105" s="51">
        <f t="shared" si="33"/>
        <v>-34.461250000000007</v>
      </c>
    </row>
    <row r="106" spans="1:11">
      <c r="A106" s="45">
        <v>9</v>
      </c>
      <c r="B106" s="43">
        <f t="shared" si="25"/>
        <v>380</v>
      </c>
      <c r="C106" s="43">
        <f t="shared" si="26"/>
        <v>0</v>
      </c>
      <c r="D106" s="43">
        <f t="shared" si="27"/>
        <v>11.4</v>
      </c>
      <c r="E106" s="43">
        <f t="shared" si="28"/>
        <v>47.5</v>
      </c>
      <c r="F106" s="43">
        <f t="shared" si="29"/>
        <v>58.9</v>
      </c>
      <c r="G106" s="43">
        <f t="shared" si="30"/>
        <v>332.5</v>
      </c>
      <c r="H106" s="43">
        <f t="shared" si="31"/>
        <v>0</v>
      </c>
      <c r="I106" s="43">
        <f t="shared" si="32"/>
        <v>-58.9</v>
      </c>
      <c r="J106" s="43">
        <v>0</v>
      </c>
      <c r="K106" s="43">
        <f t="shared" si="33"/>
        <v>-58.9</v>
      </c>
    </row>
    <row r="107" spans="1:11">
      <c r="A107" s="45">
        <v>10</v>
      </c>
      <c r="B107" s="43">
        <f t="shared" si="25"/>
        <v>332.5</v>
      </c>
      <c r="C107" s="43">
        <f t="shared" si="26"/>
        <v>0</v>
      </c>
      <c r="D107" s="43">
        <f t="shared" si="27"/>
        <v>9.9749999999999996</v>
      </c>
      <c r="E107" s="43">
        <f t="shared" si="28"/>
        <v>47.5</v>
      </c>
      <c r="F107" s="43">
        <f t="shared" si="29"/>
        <v>57.475000000000001</v>
      </c>
      <c r="G107" s="43">
        <f t="shared" si="30"/>
        <v>285</v>
      </c>
      <c r="H107" s="43">
        <f t="shared" si="31"/>
        <v>0</v>
      </c>
      <c r="I107" s="43">
        <f t="shared" si="32"/>
        <v>-57.475000000000001</v>
      </c>
      <c r="J107" s="43">
        <v>0</v>
      </c>
      <c r="K107" s="43">
        <f t="shared" si="33"/>
        <v>-57.475000000000001</v>
      </c>
    </row>
    <row r="108" spans="1:11">
      <c r="A108" s="45">
        <v>11</v>
      </c>
      <c r="B108" s="43">
        <f t="shared" si="25"/>
        <v>285</v>
      </c>
      <c r="C108" s="43">
        <f t="shared" si="26"/>
        <v>0</v>
      </c>
      <c r="D108" s="43">
        <f t="shared" si="27"/>
        <v>8.5499999999999989</v>
      </c>
      <c r="E108" s="43">
        <f t="shared" si="28"/>
        <v>47.5</v>
      </c>
      <c r="F108" s="43">
        <f t="shared" si="29"/>
        <v>56.05</v>
      </c>
      <c r="G108" s="43">
        <f t="shared" si="30"/>
        <v>237.5</v>
      </c>
      <c r="H108" s="43">
        <f t="shared" si="31"/>
        <v>0</v>
      </c>
      <c r="I108" s="43">
        <f t="shared" si="32"/>
        <v>-56.05</v>
      </c>
      <c r="J108" s="43">
        <v>0</v>
      </c>
      <c r="K108" s="43">
        <f t="shared" si="33"/>
        <v>-56.05</v>
      </c>
    </row>
    <row r="109" spans="1:11">
      <c r="A109" s="50">
        <v>12</v>
      </c>
      <c r="B109" s="51">
        <f t="shared" si="25"/>
        <v>237.5</v>
      </c>
      <c r="C109" s="51">
        <f t="shared" si="26"/>
        <v>0</v>
      </c>
      <c r="D109" s="51">
        <f t="shared" si="27"/>
        <v>7.125</v>
      </c>
      <c r="E109" s="51">
        <f t="shared" si="28"/>
        <v>47.5</v>
      </c>
      <c r="F109" s="51">
        <f t="shared" si="29"/>
        <v>54.625</v>
      </c>
      <c r="G109" s="51">
        <f t="shared" si="30"/>
        <v>190</v>
      </c>
      <c r="H109" s="51">
        <f t="shared" si="31"/>
        <v>0</v>
      </c>
      <c r="I109" s="51">
        <f t="shared" si="32"/>
        <v>-54.625</v>
      </c>
      <c r="J109" s="51">
        <f t="shared" ref="J109" si="35">(H105+SUM(D105:D109))*$B$38</f>
        <v>16.458750000000002</v>
      </c>
      <c r="K109" s="51">
        <f t="shared" si="33"/>
        <v>-38.166249999999998</v>
      </c>
    </row>
    <row r="110" spans="1:11">
      <c r="A110" s="45">
        <v>13</v>
      </c>
      <c r="B110" s="43">
        <f t="shared" si="25"/>
        <v>190</v>
      </c>
      <c r="C110" s="43">
        <f t="shared" si="26"/>
        <v>0</v>
      </c>
      <c r="D110" s="43">
        <f t="shared" si="27"/>
        <v>5.7</v>
      </c>
      <c r="E110" s="43">
        <f t="shared" si="28"/>
        <v>47.5</v>
      </c>
      <c r="F110" s="43">
        <f t="shared" si="29"/>
        <v>53.2</v>
      </c>
      <c r="G110" s="43">
        <f t="shared" si="30"/>
        <v>142.5</v>
      </c>
      <c r="H110" s="43">
        <f t="shared" si="31"/>
        <v>0</v>
      </c>
      <c r="I110" s="43">
        <f t="shared" si="32"/>
        <v>-53.2</v>
      </c>
      <c r="J110" s="43">
        <v>0</v>
      </c>
      <c r="K110" s="43">
        <f t="shared" si="33"/>
        <v>-53.2</v>
      </c>
    </row>
    <row r="111" spans="1:11">
      <c r="A111" s="45">
        <v>14</v>
      </c>
      <c r="B111" s="43">
        <f t="shared" si="25"/>
        <v>142.5</v>
      </c>
      <c r="C111" s="43">
        <f t="shared" si="26"/>
        <v>0</v>
      </c>
      <c r="D111" s="43">
        <f t="shared" si="27"/>
        <v>4.2749999999999995</v>
      </c>
      <c r="E111" s="43">
        <f t="shared" si="28"/>
        <v>47.5</v>
      </c>
      <c r="F111" s="43">
        <f t="shared" si="29"/>
        <v>51.774999999999999</v>
      </c>
      <c r="G111" s="43">
        <f t="shared" si="30"/>
        <v>95</v>
      </c>
      <c r="H111" s="43">
        <f t="shared" si="31"/>
        <v>0</v>
      </c>
      <c r="I111" s="43">
        <f t="shared" si="32"/>
        <v>-51.774999999999999</v>
      </c>
      <c r="J111" s="43">
        <v>0</v>
      </c>
      <c r="K111" s="43">
        <f t="shared" si="33"/>
        <v>-51.774999999999999</v>
      </c>
    </row>
    <row r="112" spans="1:11">
      <c r="A112" s="45">
        <v>15</v>
      </c>
      <c r="B112" s="43">
        <f t="shared" si="25"/>
        <v>95</v>
      </c>
      <c r="C112" s="43">
        <f t="shared" si="26"/>
        <v>0</v>
      </c>
      <c r="D112" s="43">
        <f t="shared" si="27"/>
        <v>2.85</v>
      </c>
      <c r="E112" s="43">
        <f t="shared" si="28"/>
        <v>47.5</v>
      </c>
      <c r="F112" s="43">
        <f t="shared" si="29"/>
        <v>50.35</v>
      </c>
      <c r="G112" s="43">
        <f t="shared" si="30"/>
        <v>47.5</v>
      </c>
      <c r="H112" s="43">
        <f t="shared" si="31"/>
        <v>0</v>
      </c>
      <c r="I112" s="43">
        <f t="shared" si="32"/>
        <v>-50.35</v>
      </c>
      <c r="J112" s="43">
        <v>0</v>
      </c>
      <c r="K112" s="43">
        <f t="shared" si="33"/>
        <v>-50.35</v>
      </c>
    </row>
    <row r="113" spans="1:11">
      <c r="A113" s="50">
        <v>16</v>
      </c>
      <c r="B113" s="51">
        <f t="shared" si="25"/>
        <v>47.5</v>
      </c>
      <c r="C113" s="51">
        <f t="shared" si="26"/>
        <v>0</v>
      </c>
      <c r="D113" s="51">
        <f t="shared" si="27"/>
        <v>1.425</v>
      </c>
      <c r="E113" s="51">
        <f t="shared" si="28"/>
        <v>47.5</v>
      </c>
      <c r="F113" s="51">
        <f t="shared" si="29"/>
        <v>48.924999999999997</v>
      </c>
      <c r="G113" s="51">
        <f t="shared" si="30"/>
        <v>0</v>
      </c>
      <c r="H113" s="51">
        <f t="shared" si="31"/>
        <v>0</v>
      </c>
      <c r="I113" s="51">
        <f t="shared" si="32"/>
        <v>-48.924999999999997</v>
      </c>
      <c r="J113" s="51">
        <f t="shared" ref="J113" si="36">(H109+SUM(D109:D113))*$B$38</f>
        <v>7.05375</v>
      </c>
      <c r="K113" s="51">
        <f t="shared" si="33"/>
        <v>-41.871249999999996</v>
      </c>
    </row>
    <row r="114" spans="1:11">
      <c r="J114" s="56" t="s">
        <v>104</v>
      </c>
      <c r="K114" s="57">
        <f>IRR(I97:I113)</f>
        <v>3.2834515516398932E-2</v>
      </c>
    </row>
    <row r="115" spans="1:11">
      <c r="J115" s="56" t="s">
        <v>105</v>
      </c>
      <c r="K115" s="57">
        <f>IRR(K97:K113)</f>
        <v>2.0489053158649684E-2</v>
      </c>
    </row>
    <row r="119" spans="1:11">
      <c r="A119" s="42" t="s">
        <v>21</v>
      </c>
      <c r="B119" s="43">
        <f>B16</f>
        <v>1800</v>
      </c>
    </row>
    <row r="120" spans="1:11">
      <c r="A120" s="42" t="s">
        <v>93</v>
      </c>
      <c r="B120" s="43">
        <f>B29*B119</f>
        <v>540</v>
      </c>
    </row>
    <row r="121" spans="1:11">
      <c r="A121" s="42" t="s">
        <v>85</v>
      </c>
      <c r="B121" s="43">
        <f>B119-B120</f>
        <v>1260</v>
      </c>
    </row>
    <row r="123" spans="1:11">
      <c r="A123" s="42" t="s">
        <v>51</v>
      </c>
      <c r="B123" s="42" t="s">
        <v>101</v>
      </c>
      <c r="C123" s="42" t="s">
        <v>95</v>
      </c>
    </row>
    <row r="124" spans="1:11">
      <c r="A124" s="42" t="s">
        <v>94</v>
      </c>
      <c r="B124" s="63">
        <f>B44</f>
        <v>7.3699999999999988E-2</v>
      </c>
      <c r="C124" s="45">
        <v>2</v>
      </c>
    </row>
    <row r="125" spans="1:11">
      <c r="A125" s="42" t="s">
        <v>96</v>
      </c>
      <c r="B125" s="57">
        <f>((1+K91)^4)-1</f>
        <v>0.11475971900131765</v>
      </c>
      <c r="C125" s="45">
        <v>3</v>
      </c>
    </row>
    <row r="126" spans="1:11">
      <c r="A126" s="42" t="s">
        <v>97</v>
      </c>
      <c r="B126" s="57">
        <f>((1+K115)^2)-1</f>
        <v>4.1397907616637308E-2</v>
      </c>
      <c r="C126" s="45">
        <v>1</v>
      </c>
    </row>
    <row r="129" spans="1:4">
      <c r="A129" s="42" t="s">
        <v>51</v>
      </c>
      <c r="B129" s="42" t="s">
        <v>97</v>
      </c>
      <c r="C129" s="42" t="s">
        <v>94</v>
      </c>
      <c r="D129" s="42" t="s">
        <v>96</v>
      </c>
    </row>
    <row r="130" spans="1:4">
      <c r="A130" s="42" t="s">
        <v>99</v>
      </c>
      <c r="B130" s="43">
        <f>B121</f>
        <v>1260</v>
      </c>
      <c r="C130" s="43">
        <f>B133</f>
        <v>500</v>
      </c>
      <c r="D130" s="43">
        <f>C133</f>
        <v>300</v>
      </c>
    </row>
    <row r="131" spans="1:4">
      <c r="A131" s="42" t="s">
        <v>7</v>
      </c>
      <c r="B131" s="43">
        <f>D31</f>
        <v>760</v>
      </c>
      <c r="C131" s="43">
        <f>D25</f>
        <v>200</v>
      </c>
      <c r="D131" s="43">
        <f>B31</f>
        <v>300</v>
      </c>
    </row>
    <row r="132" spans="1:4">
      <c r="A132" s="42" t="s">
        <v>98</v>
      </c>
      <c r="B132" s="43">
        <f>B131</f>
        <v>760</v>
      </c>
      <c r="C132" s="43">
        <f>C131</f>
        <v>200</v>
      </c>
      <c r="D132" s="43">
        <f>D131</f>
        <v>300</v>
      </c>
    </row>
    <row r="133" spans="1:4">
      <c r="A133" s="42" t="s">
        <v>57</v>
      </c>
      <c r="B133" s="43">
        <f>B130-B132</f>
        <v>500</v>
      </c>
      <c r="C133" s="43">
        <f>C130-C132</f>
        <v>300</v>
      </c>
      <c r="D133" s="43">
        <f>D130-D132</f>
        <v>0</v>
      </c>
    </row>
    <row r="135" spans="1:4">
      <c r="A135" s="42" t="s">
        <v>6</v>
      </c>
      <c r="B135" s="42" t="s">
        <v>100</v>
      </c>
      <c r="C135" s="42" t="s">
        <v>25</v>
      </c>
    </row>
    <row r="136" spans="1:4">
      <c r="A136" s="42" t="s">
        <v>93</v>
      </c>
      <c r="B136" s="63">
        <f>B41</f>
        <v>0.18163398692810459</v>
      </c>
      <c r="C136" s="43">
        <f>B120</f>
        <v>540</v>
      </c>
    </row>
    <row r="137" spans="1:4">
      <c r="A137" s="42" t="s">
        <v>94</v>
      </c>
      <c r="B137" s="63">
        <f>B124</f>
        <v>7.3699999999999988E-2</v>
      </c>
      <c r="C137" s="43">
        <f>C132</f>
        <v>200</v>
      </c>
    </row>
    <row r="138" spans="1:4">
      <c r="A138" s="42" t="s">
        <v>96</v>
      </c>
      <c r="B138" s="57">
        <f>B125</f>
        <v>0.11475971900131765</v>
      </c>
      <c r="C138" s="43">
        <f>D132</f>
        <v>300</v>
      </c>
    </row>
    <row r="139" spans="1:4">
      <c r="A139" s="42" t="s">
        <v>97</v>
      </c>
      <c r="B139" s="57">
        <f>B126</f>
        <v>4.1397907616637308E-2</v>
      </c>
      <c r="C139" s="43">
        <f>B132</f>
        <v>760</v>
      </c>
    </row>
    <row r="140" spans="1:4">
      <c r="B140" s="56" t="s">
        <v>21</v>
      </c>
      <c r="C140" s="43">
        <f>SUM(C136:C139)</f>
        <v>1800</v>
      </c>
    </row>
    <row r="144" spans="1:4">
      <c r="A144" s="56" t="s">
        <v>59</v>
      </c>
      <c r="B144" s="63">
        <f>B136*(C136/C140)+B137*(C137/C140)+B138*(C138/C140)+B139*(C139/C140)</f>
        <v>9.9284821350120067E-2</v>
      </c>
    </row>
    <row r="146" spans="1:2">
      <c r="A146" s="42" t="s">
        <v>107</v>
      </c>
      <c r="B146" s="42" t="s">
        <v>106</v>
      </c>
    </row>
    <row r="147" spans="1:2">
      <c r="A147" s="45" t="str">
        <f>A1</f>
        <v>Flujo de caja P1 (Inclusión San Andrés)</v>
      </c>
      <c r="B147" s="43">
        <f>NPV(B144,B4:Q5)</f>
        <v>4914.8528059115406</v>
      </c>
    </row>
    <row r="148" spans="1:2">
      <c r="A148" s="45" t="str">
        <f>A7</f>
        <v>Flujo de caja P2 (Tren de Colombia)</v>
      </c>
      <c r="B148" s="43">
        <f>NPV(B144,B10:Q10)</f>
        <v>3872.738577215734</v>
      </c>
    </row>
    <row r="149" spans="1:2">
      <c r="A149" s="45" t="str">
        <f>A13</f>
        <v>Flujo de caja P1 (Colombia internacional)</v>
      </c>
      <c r="B149" s="43">
        <f>NPV(B144,B16:Q16)</f>
        <v>5256.5714757102924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P1</vt:lpstr>
      <vt:lpstr>P2</vt:lpstr>
      <vt:lpstr>P3</vt:lpstr>
      <vt:lpstr>P4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Valencia Calderón</dc:creator>
  <cp:lastModifiedBy>Sebastián Valencia Calderón</cp:lastModifiedBy>
  <dcterms:created xsi:type="dcterms:W3CDTF">2015-04-13T16:43:39Z</dcterms:created>
  <dcterms:modified xsi:type="dcterms:W3CDTF">2015-04-15T14:25:04Z</dcterms:modified>
</cp:coreProperties>
</file>