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40" windowWidth="28800" windowHeight="18040" tabRatio="500" activeTab="1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6" i="2" l="1"/>
  <c r="F20" i="2"/>
  <c r="F21" i="2"/>
  <c r="F22" i="2"/>
  <c r="F23" i="2"/>
  <c r="F24" i="2"/>
  <c r="F25" i="2"/>
  <c r="F26" i="2"/>
  <c r="F27" i="2"/>
  <c r="F28" i="2"/>
  <c r="F29" i="2"/>
  <c r="I13" i="2"/>
  <c r="I14" i="2"/>
  <c r="I15" i="2"/>
  <c r="I16" i="2"/>
  <c r="I17" i="2"/>
  <c r="I18" i="2"/>
  <c r="I19" i="2"/>
  <c r="I20" i="2"/>
  <c r="I21" i="2"/>
  <c r="H13" i="2"/>
  <c r="H14" i="2"/>
  <c r="H15" i="2"/>
  <c r="H16" i="2"/>
  <c r="H17" i="2"/>
  <c r="H18" i="2"/>
  <c r="H19" i="2"/>
  <c r="H20" i="2"/>
  <c r="H21" i="2"/>
  <c r="H9" i="2"/>
  <c r="M82" i="2"/>
  <c r="E71" i="2"/>
  <c r="E72" i="2"/>
  <c r="E85" i="2"/>
  <c r="F72" i="2"/>
  <c r="G72" i="2"/>
  <c r="E73" i="2"/>
  <c r="E86" i="2"/>
  <c r="F73" i="2"/>
  <c r="G73" i="2"/>
  <c r="E74" i="2"/>
  <c r="E87" i="2"/>
  <c r="F74" i="2"/>
  <c r="G74" i="2"/>
  <c r="E75" i="2"/>
  <c r="E88" i="2"/>
  <c r="F75" i="2"/>
  <c r="G75" i="2"/>
  <c r="E76" i="2"/>
  <c r="E89" i="2"/>
  <c r="F76" i="2"/>
  <c r="G76" i="2"/>
  <c r="E77" i="2"/>
  <c r="E90" i="2"/>
  <c r="F77" i="2"/>
  <c r="G77" i="2"/>
  <c r="E78" i="2"/>
  <c r="E91" i="2"/>
  <c r="F78" i="2"/>
  <c r="G78" i="2"/>
  <c r="E79" i="2"/>
  <c r="E92" i="2"/>
  <c r="F79" i="2"/>
  <c r="G79" i="2"/>
  <c r="E80" i="2"/>
  <c r="E93" i="2"/>
  <c r="F80" i="2"/>
  <c r="G80" i="2"/>
  <c r="E84" i="2"/>
  <c r="F71" i="2"/>
  <c r="G71" i="2"/>
  <c r="I71" i="2"/>
  <c r="K71" i="2"/>
  <c r="L71" i="2"/>
  <c r="I72" i="2"/>
  <c r="K72" i="2"/>
  <c r="L72" i="2"/>
  <c r="I73" i="2"/>
  <c r="K73" i="2"/>
  <c r="L73" i="2"/>
  <c r="I74" i="2"/>
  <c r="K74" i="2"/>
  <c r="L74" i="2"/>
  <c r="I75" i="2"/>
  <c r="K75" i="2"/>
  <c r="L75" i="2"/>
  <c r="I76" i="2"/>
  <c r="K76" i="2"/>
  <c r="L76" i="2"/>
  <c r="I77" i="2"/>
  <c r="K77" i="2"/>
  <c r="L77" i="2"/>
  <c r="I78" i="2"/>
  <c r="K78" i="2"/>
  <c r="L78" i="2"/>
  <c r="I79" i="2"/>
  <c r="K79" i="2"/>
  <c r="L79" i="2"/>
  <c r="I80" i="2"/>
  <c r="K80" i="2"/>
  <c r="L80" i="2"/>
  <c r="M81" i="2"/>
  <c r="K61" i="2"/>
  <c r="B20" i="2"/>
  <c r="K60" i="2"/>
  <c r="C51" i="2"/>
  <c r="C52" i="2"/>
  <c r="C53" i="2"/>
  <c r="C54" i="2"/>
  <c r="C55" i="2"/>
  <c r="C56" i="2"/>
  <c r="C57" i="2"/>
  <c r="C58" i="2"/>
  <c r="C59" i="2"/>
  <c r="C50" i="2"/>
  <c r="C22" i="2"/>
  <c r="C23" i="2"/>
  <c r="C24" i="2"/>
  <c r="C25" i="2"/>
  <c r="C26" i="2"/>
  <c r="C27" i="2"/>
  <c r="C28" i="2"/>
  <c r="C29" i="2"/>
  <c r="C21" i="2"/>
  <c r="D21" i="2"/>
  <c r="C20" i="2"/>
  <c r="C35" i="2"/>
  <c r="D35" i="2"/>
  <c r="E35" i="2"/>
  <c r="G35" i="2"/>
  <c r="I35" i="2"/>
  <c r="J35" i="2"/>
  <c r="B21" i="2"/>
  <c r="C36" i="2"/>
  <c r="D36" i="2"/>
  <c r="E36" i="2"/>
  <c r="G36" i="2"/>
  <c r="I36" i="2"/>
  <c r="J36" i="2"/>
  <c r="B22" i="2"/>
  <c r="C37" i="2"/>
  <c r="D37" i="2"/>
  <c r="E37" i="2"/>
  <c r="G37" i="2"/>
  <c r="I37" i="2"/>
  <c r="J37" i="2"/>
  <c r="B23" i="2"/>
  <c r="C38" i="2"/>
  <c r="D38" i="2"/>
  <c r="E38" i="2"/>
  <c r="G38" i="2"/>
  <c r="I38" i="2"/>
  <c r="J38" i="2"/>
  <c r="B24" i="2"/>
  <c r="C39" i="2"/>
  <c r="D39" i="2"/>
  <c r="E39" i="2"/>
  <c r="G39" i="2"/>
  <c r="I39" i="2"/>
  <c r="J39" i="2"/>
  <c r="B25" i="2"/>
  <c r="C40" i="2"/>
  <c r="D40" i="2"/>
  <c r="E40" i="2"/>
  <c r="G40" i="2"/>
  <c r="I40" i="2"/>
  <c r="J40" i="2"/>
  <c r="B26" i="2"/>
  <c r="C41" i="2"/>
  <c r="D41" i="2"/>
  <c r="E41" i="2"/>
  <c r="G41" i="2"/>
  <c r="I41" i="2"/>
  <c r="J41" i="2"/>
  <c r="B27" i="2"/>
  <c r="C42" i="2"/>
  <c r="D42" i="2"/>
  <c r="E42" i="2"/>
  <c r="G42" i="2"/>
  <c r="I42" i="2"/>
  <c r="J42" i="2"/>
  <c r="B28" i="2"/>
  <c r="C43" i="2"/>
  <c r="D43" i="2"/>
  <c r="E43" i="2"/>
  <c r="G43" i="2"/>
  <c r="I43" i="2"/>
  <c r="J43" i="2"/>
  <c r="B29" i="2"/>
  <c r="C44" i="2"/>
  <c r="D44" i="2"/>
  <c r="E44" i="2"/>
  <c r="G44" i="2"/>
  <c r="I44" i="2"/>
  <c r="J44" i="2"/>
  <c r="C34" i="2"/>
  <c r="E34" i="2"/>
  <c r="G34" i="2"/>
  <c r="I34" i="2"/>
  <c r="J34" i="2"/>
  <c r="K46" i="2"/>
  <c r="K45" i="2"/>
  <c r="B8" i="2"/>
  <c r="B9" i="2"/>
  <c r="B10" i="2"/>
  <c r="B11" i="2"/>
  <c r="B12" i="2"/>
  <c r="B13" i="2"/>
  <c r="B14" i="2"/>
  <c r="B15" i="2"/>
  <c r="B7" i="2"/>
  <c r="F11" i="2"/>
  <c r="D51" i="2"/>
  <c r="D52" i="2"/>
  <c r="D53" i="2"/>
  <c r="D54" i="2"/>
  <c r="D55" i="2"/>
  <c r="D56" i="2"/>
  <c r="D57" i="2"/>
  <c r="D58" i="2"/>
  <c r="D59" i="2"/>
  <c r="D50" i="2"/>
  <c r="B36" i="2"/>
  <c r="B37" i="2"/>
  <c r="B38" i="2"/>
  <c r="B39" i="2"/>
  <c r="B40" i="2"/>
  <c r="B41" i="2"/>
  <c r="B42" i="2"/>
  <c r="B43" i="2"/>
  <c r="B44" i="2"/>
  <c r="L68" i="1"/>
  <c r="L67" i="1"/>
  <c r="L65" i="1"/>
  <c r="L66" i="1"/>
  <c r="L64" i="1"/>
  <c r="K66" i="1"/>
  <c r="K65" i="1"/>
  <c r="K64" i="1"/>
  <c r="J66" i="1"/>
  <c r="J65" i="1"/>
  <c r="J64" i="1"/>
  <c r="I66" i="1"/>
  <c r="I65" i="1"/>
  <c r="I64" i="1"/>
  <c r="K47" i="1"/>
  <c r="J56" i="1"/>
  <c r="J58" i="1"/>
  <c r="J54" i="1"/>
  <c r="J52" i="1"/>
  <c r="J50" i="1"/>
  <c r="J48" i="1"/>
  <c r="B42" i="1"/>
  <c r="D72" i="2"/>
  <c r="D73" i="2"/>
  <c r="D74" i="2"/>
  <c r="D75" i="2"/>
  <c r="D76" i="2"/>
  <c r="D77" i="2"/>
  <c r="D78" i="2"/>
  <c r="D79" i="2"/>
  <c r="D80" i="2"/>
  <c r="B106" i="1"/>
  <c r="B91" i="1"/>
  <c r="L70" i="2"/>
  <c r="H72" i="2"/>
  <c r="H73" i="2"/>
  <c r="H74" i="2"/>
  <c r="H75" i="2"/>
  <c r="H76" i="2"/>
  <c r="H77" i="2"/>
  <c r="H78" i="2"/>
  <c r="H79" i="2"/>
  <c r="H80" i="2"/>
  <c r="H71" i="2"/>
  <c r="D71" i="2"/>
  <c r="D42" i="1"/>
  <c r="F47" i="1"/>
  <c r="I47" i="1"/>
  <c r="F48" i="1"/>
  <c r="I48" i="1"/>
  <c r="K48" i="1"/>
  <c r="F49" i="1"/>
  <c r="I49" i="1"/>
  <c r="K49" i="1"/>
  <c r="F50" i="1"/>
  <c r="I50" i="1"/>
  <c r="D47" i="1"/>
  <c r="E47" i="1"/>
  <c r="G47" i="1"/>
  <c r="B48" i="1"/>
  <c r="D48" i="1"/>
  <c r="E48" i="1"/>
  <c r="G48" i="1"/>
  <c r="B49" i="1"/>
  <c r="D49" i="1"/>
  <c r="E49" i="1"/>
  <c r="G49" i="1"/>
  <c r="B50" i="1"/>
  <c r="D50" i="1"/>
  <c r="E50" i="1"/>
  <c r="G50" i="1"/>
  <c r="B51" i="1"/>
  <c r="D51" i="1"/>
  <c r="K50" i="1"/>
  <c r="F51" i="1"/>
  <c r="I51" i="1"/>
  <c r="K51" i="1"/>
  <c r="F52" i="1"/>
  <c r="I52" i="1"/>
  <c r="K52" i="1"/>
  <c r="F53" i="1"/>
  <c r="I53" i="1"/>
  <c r="K53" i="1"/>
  <c r="F54" i="1"/>
  <c r="I54" i="1"/>
  <c r="E51" i="1"/>
  <c r="G51" i="1"/>
  <c r="B52" i="1"/>
  <c r="D52" i="1"/>
  <c r="E52" i="1"/>
  <c r="G52" i="1"/>
  <c r="B53" i="1"/>
  <c r="D53" i="1"/>
  <c r="E53" i="1"/>
  <c r="G53" i="1"/>
  <c r="B54" i="1"/>
  <c r="D54" i="1"/>
  <c r="E54" i="1"/>
  <c r="G54" i="1"/>
  <c r="B55" i="1"/>
  <c r="D55" i="1"/>
  <c r="K54" i="1"/>
  <c r="F55" i="1"/>
  <c r="I55" i="1"/>
  <c r="K55" i="1"/>
  <c r="F56" i="1"/>
  <c r="I56" i="1"/>
  <c r="K56" i="1"/>
  <c r="F57" i="1"/>
  <c r="I57" i="1"/>
  <c r="K57" i="1"/>
  <c r="F58" i="1"/>
  <c r="I58" i="1"/>
  <c r="E55" i="1"/>
  <c r="G55" i="1"/>
  <c r="B56" i="1"/>
  <c r="D56" i="1"/>
  <c r="E56" i="1"/>
  <c r="G56" i="1"/>
  <c r="B57" i="1"/>
  <c r="D57" i="1"/>
  <c r="K58" i="1"/>
  <c r="B60" i="1"/>
  <c r="C72" i="2"/>
  <c r="C73" i="2"/>
  <c r="C74" i="2"/>
  <c r="C75" i="2"/>
  <c r="C76" i="2"/>
  <c r="C77" i="2"/>
  <c r="C78" i="2"/>
  <c r="C79" i="2"/>
  <c r="C80" i="2"/>
  <c r="C71" i="2"/>
  <c r="E50" i="2"/>
  <c r="G50" i="2"/>
  <c r="I50" i="2"/>
  <c r="J50" i="2"/>
  <c r="B51" i="2"/>
  <c r="E51" i="2"/>
  <c r="G51" i="2"/>
  <c r="I51" i="2"/>
  <c r="J51" i="2"/>
  <c r="B52" i="2"/>
  <c r="E52" i="2"/>
  <c r="G52" i="2"/>
  <c r="I52" i="2"/>
  <c r="J52" i="2"/>
  <c r="B53" i="2"/>
  <c r="E53" i="2"/>
  <c r="G53" i="2"/>
  <c r="I53" i="2"/>
  <c r="J53" i="2"/>
  <c r="B54" i="2"/>
  <c r="E54" i="2"/>
  <c r="G54" i="2"/>
  <c r="I54" i="2"/>
  <c r="J54" i="2"/>
  <c r="B55" i="2"/>
  <c r="E55" i="2"/>
  <c r="G55" i="2"/>
  <c r="I55" i="2"/>
  <c r="J55" i="2"/>
  <c r="B56" i="2"/>
  <c r="E56" i="2"/>
  <c r="G56" i="2"/>
  <c r="I56" i="2"/>
  <c r="J56" i="2"/>
  <c r="B57" i="2"/>
  <c r="E57" i="2"/>
  <c r="G57" i="2"/>
  <c r="I57" i="2"/>
  <c r="J57" i="2"/>
  <c r="B58" i="2"/>
  <c r="E58" i="2"/>
  <c r="G58" i="2"/>
  <c r="I58" i="2"/>
  <c r="J58" i="2"/>
  <c r="B59" i="2"/>
  <c r="E59" i="2"/>
  <c r="G59" i="2"/>
  <c r="I59" i="2"/>
  <c r="J59" i="2"/>
  <c r="B74" i="1"/>
  <c r="F59" i="2"/>
  <c r="F52" i="2"/>
  <c r="F53" i="2"/>
  <c r="F54" i="2"/>
  <c r="F55" i="2"/>
  <c r="F56" i="2"/>
  <c r="F57" i="2"/>
  <c r="F58" i="2"/>
  <c r="F51" i="2"/>
  <c r="B50" i="2"/>
  <c r="J49" i="2"/>
  <c r="I49" i="2"/>
  <c r="H49" i="2"/>
  <c r="B49" i="2"/>
  <c r="B48" i="2"/>
  <c r="C48" i="2"/>
  <c r="D48" i="2"/>
  <c r="E48" i="2"/>
  <c r="F48" i="2"/>
  <c r="G48" i="2"/>
  <c r="H48" i="2"/>
  <c r="I48" i="2"/>
  <c r="J48" i="2"/>
  <c r="A48" i="2"/>
  <c r="F37" i="2"/>
  <c r="F38" i="2"/>
  <c r="F39" i="2"/>
  <c r="F40" i="2"/>
  <c r="F41" i="2"/>
  <c r="F42" i="2"/>
  <c r="F43" i="2"/>
  <c r="F44" i="2"/>
  <c r="F36" i="2"/>
  <c r="B35" i="2"/>
  <c r="F35" i="2"/>
  <c r="D34" i="2"/>
  <c r="B34" i="2"/>
  <c r="B17" i="2"/>
  <c r="H15" i="1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D7" i="2"/>
  <c r="C7" i="2"/>
  <c r="B3" i="2"/>
  <c r="C6" i="2"/>
  <c r="H16" i="1"/>
  <c r="D81" i="1"/>
  <c r="H17" i="1"/>
  <c r="E81" i="1"/>
  <c r="H18" i="1"/>
  <c r="F81" i="1"/>
  <c r="H19" i="1"/>
  <c r="G81" i="1"/>
  <c r="H20" i="1"/>
  <c r="H81" i="1"/>
  <c r="H21" i="1"/>
  <c r="I81" i="1"/>
  <c r="H22" i="1"/>
  <c r="J81" i="1"/>
  <c r="H23" i="1"/>
  <c r="K81" i="1"/>
  <c r="H24" i="1"/>
  <c r="L81" i="1"/>
  <c r="C81" i="1"/>
  <c r="C82" i="1"/>
  <c r="D82" i="1"/>
  <c r="E82" i="1"/>
  <c r="F82" i="1"/>
  <c r="G82" i="1"/>
  <c r="H82" i="1"/>
  <c r="I82" i="1"/>
  <c r="J82" i="1"/>
  <c r="K82" i="1"/>
  <c r="L82" i="1"/>
  <c r="C97" i="1"/>
  <c r="D85" i="1"/>
  <c r="E85" i="1"/>
  <c r="F85" i="1"/>
  <c r="G85" i="1"/>
  <c r="H85" i="1"/>
  <c r="I85" i="1"/>
  <c r="J85" i="1"/>
  <c r="K85" i="1"/>
  <c r="L85" i="1"/>
  <c r="C85" i="1"/>
  <c r="D109" i="1"/>
  <c r="E109" i="1"/>
  <c r="F109" i="1"/>
  <c r="G109" i="1"/>
  <c r="H109" i="1"/>
  <c r="I109" i="1"/>
  <c r="J109" i="1"/>
  <c r="K109" i="1"/>
  <c r="L109" i="1"/>
  <c r="C109" i="1"/>
  <c r="D108" i="1"/>
  <c r="E108" i="1"/>
  <c r="F108" i="1"/>
  <c r="G108" i="1"/>
  <c r="H108" i="1"/>
  <c r="I108" i="1"/>
  <c r="J108" i="1"/>
  <c r="K108" i="1"/>
  <c r="L108" i="1"/>
  <c r="C108" i="1"/>
  <c r="B116" i="1"/>
  <c r="B117" i="1"/>
  <c r="B118" i="1"/>
  <c r="B115" i="1"/>
  <c r="B114" i="1"/>
  <c r="L97" i="1"/>
  <c r="K97" i="1"/>
  <c r="J97" i="1"/>
  <c r="I97" i="1"/>
  <c r="H97" i="1"/>
  <c r="G97" i="1"/>
  <c r="F97" i="1"/>
  <c r="E97" i="1"/>
  <c r="D97" i="1"/>
  <c r="L96" i="1"/>
  <c r="K96" i="1"/>
  <c r="J96" i="1"/>
  <c r="I96" i="1"/>
  <c r="H96" i="1"/>
  <c r="G96" i="1"/>
  <c r="F96" i="1"/>
  <c r="E96" i="1"/>
  <c r="D96" i="1"/>
  <c r="C96" i="1"/>
  <c r="B105" i="1"/>
  <c r="C98" i="1"/>
  <c r="C99" i="1"/>
  <c r="C100" i="1"/>
  <c r="C101" i="1"/>
  <c r="C104" i="1"/>
  <c r="C105" i="1"/>
  <c r="D98" i="1"/>
  <c r="D99" i="1"/>
  <c r="D100" i="1"/>
  <c r="D101" i="1"/>
  <c r="D104" i="1"/>
  <c r="D105" i="1"/>
  <c r="E98" i="1"/>
  <c r="E99" i="1"/>
  <c r="E100" i="1"/>
  <c r="E101" i="1"/>
  <c r="E104" i="1"/>
  <c r="E105" i="1"/>
  <c r="F98" i="1"/>
  <c r="F99" i="1"/>
  <c r="F100" i="1"/>
  <c r="F101" i="1"/>
  <c r="F104" i="1"/>
  <c r="F105" i="1"/>
  <c r="G98" i="1"/>
  <c r="G99" i="1"/>
  <c r="G100" i="1"/>
  <c r="G101" i="1"/>
  <c r="G104" i="1"/>
  <c r="G105" i="1"/>
  <c r="H98" i="1"/>
  <c r="H99" i="1"/>
  <c r="H100" i="1"/>
  <c r="H101" i="1"/>
  <c r="H104" i="1"/>
  <c r="H105" i="1"/>
  <c r="I98" i="1"/>
  <c r="I99" i="1"/>
  <c r="I100" i="1"/>
  <c r="I101" i="1"/>
  <c r="I104" i="1"/>
  <c r="I105" i="1"/>
  <c r="J98" i="1"/>
  <c r="J99" i="1"/>
  <c r="J100" i="1"/>
  <c r="J101" i="1"/>
  <c r="J104" i="1"/>
  <c r="J105" i="1"/>
  <c r="K98" i="1"/>
  <c r="K99" i="1"/>
  <c r="K100" i="1"/>
  <c r="K101" i="1"/>
  <c r="K104" i="1"/>
  <c r="K105" i="1"/>
  <c r="L98" i="1"/>
  <c r="L99" i="1"/>
  <c r="L100" i="1"/>
  <c r="L101" i="1"/>
  <c r="L104" i="1"/>
  <c r="L105" i="1"/>
  <c r="L102" i="1"/>
  <c r="K102" i="1"/>
  <c r="J102" i="1"/>
  <c r="I102" i="1"/>
  <c r="H102" i="1"/>
  <c r="G102" i="1"/>
  <c r="F102" i="1"/>
  <c r="E102" i="1"/>
  <c r="D102" i="1"/>
  <c r="C102" i="1"/>
  <c r="B96" i="1"/>
  <c r="C83" i="1"/>
  <c r="C84" i="1"/>
  <c r="C15" i="1"/>
  <c r="C86" i="1"/>
  <c r="C89" i="1"/>
  <c r="C90" i="1"/>
  <c r="H12" i="1"/>
  <c r="G16" i="1"/>
  <c r="D83" i="1"/>
  <c r="D84" i="1"/>
  <c r="D86" i="1"/>
  <c r="D89" i="1"/>
  <c r="D90" i="1"/>
  <c r="G17" i="1"/>
  <c r="E83" i="1"/>
  <c r="E84" i="1"/>
  <c r="E86" i="1"/>
  <c r="E89" i="1"/>
  <c r="E90" i="1"/>
  <c r="G18" i="1"/>
  <c r="F83" i="1"/>
  <c r="F84" i="1"/>
  <c r="F86" i="1"/>
  <c r="F89" i="1"/>
  <c r="F90" i="1"/>
  <c r="G19" i="1"/>
  <c r="G83" i="1"/>
  <c r="G84" i="1"/>
  <c r="G86" i="1"/>
  <c r="G89" i="1"/>
  <c r="G90" i="1"/>
  <c r="G20" i="1"/>
  <c r="H83" i="1"/>
  <c r="H84" i="1"/>
  <c r="H86" i="1"/>
  <c r="H89" i="1"/>
  <c r="H90" i="1"/>
  <c r="G21" i="1"/>
  <c r="I83" i="1"/>
  <c r="I84" i="1"/>
  <c r="I86" i="1"/>
  <c r="I89" i="1"/>
  <c r="I90" i="1"/>
  <c r="G22" i="1"/>
  <c r="J83" i="1"/>
  <c r="J84" i="1"/>
  <c r="J86" i="1"/>
  <c r="J89" i="1"/>
  <c r="J90" i="1"/>
  <c r="G23" i="1"/>
  <c r="K83" i="1"/>
  <c r="K84" i="1"/>
  <c r="K86" i="1"/>
  <c r="K89" i="1"/>
  <c r="K90" i="1"/>
  <c r="G24" i="1"/>
  <c r="L83" i="1"/>
  <c r="L84" i="1"/>
  <c r="L86" i="1"/>
  <c r="L89" i="1"/>
  <c r="L90" i="1"/>
  <c r="B90" i="1"/>
  <c r="D87" i="1"/>
  <c r="E87" i="1"/>
  <c r="F87" i="1"/>
  <c r="G87" i="1"/>
  <c r="H87" i="1"/>
  <c r="I87" i="1"/>
  <c r="J87" i="1"/>
  <c r="K87" i="1"/>
  <c r="L87" i="1"/>
  <c r="C87" i="1"/>
  <c r="K16" i="1"/>
  <c r="K17" i="1"/>
  <c r="K18" i="1"/>
  <c r="K19" i="1"/>
  <c r="K20" i="1"/>
  <c r="K21" i="1"/>
  <c r="K22" i="1"/>
  <c r="K23" i="1"/>
  <c r="K24" i="1"/>
  <c r="B81" i="1"/>
  <c r="B66" i="1"/>
  <c r="C46" i="1"/>
  <c r="G46" i="1"/>
  <c r="B47" i="1"/>
  <c r="H55" i="1"/>
  <c r="I46" i="1"/>
  <c r="K46" i="1"/>
  <c r="H47" i="1"/>
  <c r="H51" i="1"/>
  <c r="B59" i="1"/>
  <c r="E57" i="1"/>
  <c r="G57" i="1"/>
  <c r="B58" i="1"/>
  <c r="D58" i="1"/>
  <c r="E58" i="1"/>
  <c r="G58" i="1"/>
  <c r="D46" i="1"/>
  <c r="I15" i="1"/>
  <c r="I16" i="1"/>
  <c r="I17" i="1"/>
  <c r="I18" i="1"/>
  <c r="I19" i="1"/>
  <c r="I20" i="1"/>
  <c r="I21" i="1"/>
  <c r="I22" i="1"/>
  <c r="I23" i="1"/>
  <c r="I24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E14" i="1"/>
  <c r="B15" i="1"/>
</calcChain>
</file>

<file path=xl/sharedStrings.xml><?xml version="1.0" encoding="utf-8"?>
<sst xmlns="http://schemas.openxmlformats.org/spreadsheetml/2006/main" count="137" uniqueCount="83">
  <si>
    <t>Equipos</t>
  </si>
  <si>
    <t>Tx</t>
  </si>
  <si>
    <t>Inflación anual</t>
  </si>
  <si>
    <t>Vida útil (años)</t>
  </si>
  <si>
    <t>Costo</t>
  </si>
  <si>
    <t>Salvamento</t>
  </si>
  <si>
    <t>Depreciación del activo (Equipos)</t>
  </si>
  <si>
    <t>Periodo</t>
  </si>
  <si>
    <t>Valor actual</t>
  </si>
  <si>
    <t>Depreciación</t>
  </si>
  <si>
    <t>Acumulada</t>
  </si>
  <si>
    <t>Valor final</t>
  </si>
  <si>
    <t>Ingresos</t>
  </si>
  <si>
    <t>Unidades</t>
  </si>
  <si>
    <t>Tasa corriente</t>
  </si>
  <si>
    <t>Tasa constante</t>
  </si>
  <si>
    <t>Precio cte (U)</t>
  </si>
  <si>
    <t>Precio corriente (U)</t>
  </si>
  <si>
    <t>Costo unitario</t>
  </si>
  <si>
    <t>FCD Kakaroto National Bank</t>
  </si>
  <si>
    <t>Tasa (NA/TV)</t>
  </si>
  <si>
    <t>Pago</t>
  </si>
  <si>
    <t>Constante</t>
  </si>
  <si>
    <t>Seguro</t>
  </si>
  <si>
    <t>Tasa (TV)</t>
  </si>
  <si>
    <t>Deuda</t>
  </si>
  <si>
    <t>Interés</t>
  </si>
  <si>
    <t>Amortización</t>
  </si>
  <si>
    <t>Cuota</t>
  </si>
  <si>
    <t>Costos</t>
  </si>
  <si>
    <t>FCD Pre</t>
  </si>
  <si>
    <t>Tax Shield</t>
  </si>
  <si>
    <t>FCD Post</t>
  </si>
  <si>
    <t>Monto</t>
  </si>
  <si>
    <t>Kd Pre</t>
  </si>
  <si>
    <t>Kd Post</t>
  </si>
  <si>
    <t>FCD Banco Mis Terpopo</t>
  </si>
  <si>
    <t>Kd</t>
  </si>
  <si>
    <t>Tasa (E.A)</t>
  </si>
  <si>
    <t>FCD Emisión de acciones</t>
  </si>
  <si>
    <t>Precio acción</t>
  </si>
  <si>
    <t>Dividendo actual</t>
  </si>
  <si>
    <t>Tasa crecimiento</t>
  </si>
  <si>
    <t>Costo emisión</t>
  </si>
  <si>
    <t>Inflación</t>
  </si>
  <si>
    <t>Gastos admin</t>
  </si>
  <si>
    <t>EBITDA</t>
  </si>
  <si>
    <t>EBIT</t>
  </si>
  <si>
    <t>CAPEX</t>
  </si>
  <si>
    <t>Tax</t>
  </si>
  <si>
    <t>FCL</t>
  </si>
  <si>
    <t>VP</t>
  </si>
  <si>
    <t>IPC</t>
  </si>
  <si>
    <t>Def 2016</t>
  </si>
  <si>
    <t>Flujo de caja libre (Pesos constantes 2015)</t>
  </si>
  <si>
    <t>Flujo de caja libre (Pesos corientes)</t>
  </si>
  <si>
    <t>Costo unitario (cte)</t>
  </si>
  <si>
    <t>Costo unitario (corriente)</t>
  </si>
  <si>
    <t>Crecimiento corriente</t>
  </si>
  <si>
    <t>Crecimiento cte</t>
  </si>
  <si>
    <t>Valor unitario (cte)</t>
  </si>
  <si>
    <t>Valor unitario (corriente)</t>
  </si>
  <si>
    <t>Valor unitario</t>
  </si>
  <si>
    <t>Costos admin</t>
  </si>
  <si>
    <t>WACC</t>
  </si>
  <si>
    <t>Ke</t>
  </si>
  <si>
    <t>Deflactor 2015</t>
  </si>
  <si>
    <t>Fuente</t>
  </si>
  <si>
    <t>Monto recibido</t>
  </si>
  <si>
    <t>Peso</t>
  </si>
  <si>
    <t>Banco 1</t>
  </si>
  <si>
    <t>Banco 2</t>
  </si>
  <si>
    <t>Equity</t>
  </si>
  <si>
    <t>Ponderación</t>
  </si>
  <si>
    <t>VPN</t>
  </si>
  <si>
    <t>TIR</t>
  </si>
  <si>
    <t>N</t>
  </si>
  <si>
    <t>Inicial</t>
  </si>
  <si>
    <t>Final</t>
  </si>
  <si>
    <t>WACC nominal</t>
  </si>
  <si>
    <t>WACC real</t>
  </si>
  <si>
    <t>Costos (UNITARIOS)</t>
  </si>
  <si>
    <t>VPN(WACC Real)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</si>
</sst>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COP&quot;* #,##0_);_(&quot;COP&quot;* \(#,##0\);_(&quot;COP&quot;* &quot;-&quot;_);_(@_)"/>
    <numFmt numFmtId="41" formatCode="_(* #,##0_);_(* \(#,##0\);_(* &quot;-&quot;_);_(@_)"/>
    <numFmt numFmtId="164" formatCode="_([$$-409]* #,##0.00_);_([$$-409]* \(#,##0.00\);_([$$-409]* &quot;-&quot;??_);_(@_)"/>
    <numFmt numFmtId="165" formatCode="0.000%"/>
    <numFmt numFmtId="166" formatCode="0.0000%"/>
    <numFmt numFmtId="167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0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3" fillId="2" borderId="1" xfId="0" applyFont="1" applyFill="1" applyBorder="1"/>
    <xf numFmtId="0" fontId="0" fillId="3" borderId="1" xfId="0" applyFill="1" applyBorder="1"/>
    <xf numFmtId="9" fontId="0" fillId="4" borderId="1" xfId="0" applyNumberFormat="1" applyFill="1" applyBorder="1"/>
    <xf numFmtId="0" fontId="0" fillId="4" borderId="1" xfId="0" applyFill="1" applyBorder="1"/>
    <xf numFmtId="0" fontId="3" fillId="2" borderId="0" xfId="0" applyFon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9" fontId="0" fillId="0" borderId="0" xfId="1" applyFont="1"/>
    <xf numFmtId="10" fontId="0" fillId="0" borderId="0" xfId="0" applyNumberFormat="1"/>
    <xf numFmtId="166" fontId="0" fillId="0" borderId="1" xfId="0" applyNumberFormat="1" applyBorder="1"/>
    <xf numFmtId="166" fontId="0" fillId="0" borderId="2" xfId="1" applyNumberFormat="1" applyFont="1" applyBorder="1"/>
    <xf numFmtId="164" fontId="0" fillId="0" borderId="1" xfId="0" applyNumberFormat="1" applyFill="1" applyBorder="1"/>
    <xf numFmtId="0" fontId="3" fillId="2" borderId="2" xfId="0" applyFont="1" applyFill="1" applyBorder="1"/>
    <xf numFmtId="10" fontId="0" fillId="0" borderId="1" xfId="0" applyNumberFormat="1" applyBorder="1"/>
    <xf numFmtId="10" fontId="0" fillId="0" borderId="1" xfId="1" applyNumberFormat="1" applyFont="1" applyBorder="1"/>
    <xf numFmtId="9" fontId="0" fillId="0" borderId="1" xfId="0" applyNumberFormat="1" applyBorder="1" applyAlignment="1"/>
    <xf numFmtId="165" fontId="0" fillId="0" borderId="1" xfId="0" applyNumberFormat="1" applyBorder="1"/>
    <xf numFmtId="9" fontId="3" fillId="2" borderId="5" xfId="0" applyNumberFormat="1" applyFont="1" applyFill="1" applyBorder="1" applyAlignment="1"/>
    <xf numFmtId="9" fontId="3" fillId="2" borderId="6" xfId="0" applyNumberFormat="1" applyFont="1" applyFill="1" applyBorder="1" applyAlignment="1"/>
    <xf numFmtId="9" fontId="3" fillId="2" borderId="7" xfId="0" applyNumberFormat="1" applyFont="1" applyFill="1" applyBorder="1" applyAlignment="1"/>
    <xf numFmtId="0" fontId="3" fillId="3" borderId="1" xfId="0" applyFont="1" applyFill="1" applyBorder="1"/>
    <xf numFmtId="165" fontId="0" fillId="0" borderId="1" xfId="1" applyNumberFormat="1" applyFont="1" applyBorder="1"/>
    <xf numFmtId="0" fontId="3" fillId="2" borderId="4" xfId="0" applyFont="1" applyFill="1" applyBorder="1"/>
    <xf numFmtId="0" fontId="3" fillId="3" borderId="0" xfId="0" applyFont="1" applyFill="1" applyBorder="1"/>
    <xf numFmtId="167" fontId="0" fillId="0" borderId="0" xfId="0" applyNumberFormat="1"/>
    <xf numFmtId="167" fontId="0" fillId="0" borderId="0" xfId="1" applyNumberFormat="1" applyFont="1"/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67" fontId="0" fillId="0" borderId="1" xfId="1" applyNumberFormat="1" applyFont="1" applyBorder="1"/>
    <xf numFmtId="10" fontId="0" fillId="0" borderId="0" xfId="1" applyNumberFormat="1" applyFont="1"/>
    <xf numFmtId="0" fontId="0" fillId="0" borderId="1" xfId="44" applyNumberFormat="1" applyFont="1" applyBorder="1"/>
    <xf numFmtId="0" fontId="0" fillId="0" borderId="1" xfId="0" applyNumberFormat="1" applyBorder="1"/>
    <xf numFmtId="167" fontId="0" fillId="0" borderId="1" xfId="0" applyNumberFormat="1" applyBorder="1"/>
    <xf numFmtId="0" fontId="3" fillId="4" borderId="1" xfId="0" applyFont="1" applyFill="1" applyBorder="1"/>
    <xf numFmtId="164" fontId="0" fillId="0" borderId="1" xfId="45" applyNumberFormat="1" applyFont="1" applyBorder="1"/>
    <xf numFmtId="164" fontId="0" fillId="0" borderId="2" xfId="0" applyNumberFormat="1" applyBorder="1"/>
  </cellXfs>
  <cellStyles count="16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Millares [0]" xfId="44" builtinId="6"/>
    <cellStyle name="Moneda [0]" xfId="45" builtinId="7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opLeftCell="A61" workbookViewId="0">
      <selection activeCell="H63" sqref="H63:L66"/>
    </sheetView>
  </sheetViews>
  <sheetFormatPr baseColWidth="10" defaultColWidth="14" defaultRowHeight="15" x14ac:dyDescent="0"/>
  <cols>
    <col min="2" max="2" width="14.1640625" bestFit="1" customWidth="1"/>
    <col min="9" max="9" width="18" customWidth="1"/>
    <col min="11" max="11" width="14" customWidth="1"/>
  </cols>
  <sheetData>
    <row r="1" spans="1:11">
      <c r="A1" s="5" t="s">
        <v>1</v>
      </c>
      <c r="B1" s="7">
        <v>0.33</v>
      </c>
    </row>
    <row r="2" spans="1:11">
      <c r="A2" s="5" t="s">
        <v>2</v>
      </c>
      <c r="B2" s="7">
        <v>0.03</v>
      </c>
    </row>
    <row r="3" spans="1:11">
      <c r="A3" s="5" t="s">
        <v>3</v>
      </c>
      <c r="B3" s="8">
        <v>10</v>
      </c>
    </row>
    <row r="5" spans="1:11">
      <c r="A5" s="5" t="s">
        <v>0</v>
      </c>
      <c r="B5" s="8">
        <v>1</v>
      </c>
    </row>
    <row r="6" spans="1:11">
      <c r="A6" s="5" t="s">
        <v>4</v>
      </c>
      <c r="B6" s="11">
        <v>400000</v>
      </c>
    </row>
    <row r="7" spans="1:11">
      <c r="A7" s="5" t="s">
        <v>3</v>
      </c>
      <c r="B7" s="8">
        <v>20</v>
      </c>
    </row>
    <row r="8" spans="1:11">
      <c r="A8" s="5" t="s">
        <v>5</v>
      </c>
      <c r="B8" s="11">
        <v>0</v>
      </c>
    </row>
    <row r="11" spans="1:11">
      <c r="G11" s="5" t="s">
        <v>14</v>
      </c>
      <c r="H11" s="15">
        <v>0.05</v>
      </c>
    </row>
    <row r="12" spans="1:11">
      <c r="A12" s="33" t="s">
        <v>6</v>
      </c>
      <c r="B12" s="33"/>
      <c r="C12" s="33"/>
      <c r="D12" s="33"/>
      <c r="E12" s="33"/>
      <c r="G12" s="18" t="s">
        <v>15</v>
      </c>
      <c r="H12" s="16">
        <f>((1+H11)/(1+B2))-1</f>
        <v>1.9417475728155331E-2</v>
      </c>
    </row>
    <row r="13" spans="1:11">
      <c r="A13" s="5" t="s">
        <v>7</v>
      </c>
      <c r="B13" s="5" t="s">
        <v>8</v>
      </c>
      <c r="C13" s="5" t="s">
        <v>9</v>
      </c>
      <c r="D13" s="5" t="s">
        <v>10</v>
      </c>
      <c r="E13" s="5" t="s">
        <v>11</v>
      </c>
      <c r="G13" s="5" t="s">
        <v>13</v>
      </c>
      <c r="H13" s="5" t="s">
        <v>16</v>
      </c>
      <c r="I13" s="5" t="s">
        <v>17</v>
      </c>
      <c r="K13" s="5" t="s">
        <v>18</v>
      </c>
    </row>
    <row r="14" spans="1:11">
      <c r="A14" s="6">
        <v>0</v>
      </c>
      <c r="B14" s="10">
        <v>0</v>
      </c>
      <c r="C14" s="10">
        <v>0</v>
      </c>
      <c r="D14" s="10">
        <v>0</v>
      </c>
      <c r="E14" s="10">
        <f>B6</f>
        <v>400000</v>
      </c>
      <c r="G14" s="3">
        <v>0</v>
      </c>
      <c r="H14" s="17">
        <v>0</v>
      </c>
      <c r="I14" s="17">
        <v>0</v>
      </c>
      <c r="K14" s="10">
        <v>0</v>
      </c>
    </row>
    <row r="15" spans="1:11">
      <c r="A15" s="6">
        <v>1</v>
      </c>
      <c r="B15" s="10">
        <f>E14</f>
        <v>400000</v>
      </c>
      <c r="C15" s="10">
        <f>$B$6/$B$7</f>
        <v>20000</v>
      </c>
      <c r="D15" s="10">
        <f>D14+C15</f>
        <v>20000</v>
      </c>
      <c r="E15" s="10">
        <f>$B$6-D15</f>
        <v>380000</v>
      </c>
      <c r="G15" s="3">
        <v>700</v>
      </c>
      <c r="H15" s="10">
        <f>119/(1+3%)</f>
        <v>115.53398058252426</v>
      </c>
      <c r="I15" s="10">
        <f>119</f>
        <v>119</v>
      </c>
      <c r="K15" s="10">
        <v>4</v>
      </c>
    </row>
    <row r="16" spans="1:11">
      <c r="A16" s="6">
        <v>2</v>
      </c>
      <c r="B16" s="10">
        <f t="shared" ref="B16:B34" si="0">E15</f>
        <v>380000</v>
      </c>
      <c r="C16" s="10">
        <f t="shared" ref="C16:C34" si="1">$B$6/$B$7</f>
        <v>20000</v>
      </c>
      <c r="D16" s="10">
        <f t="shared" ref="D16:D34" si="2">D15+C16</f>
        <v>40000</v>
      </c>
      <c r="E16" s="10">
        <f t="shared" ref="E16:E34" si="3">$B$6-D16</f>
        <v>360000</v>
      </c>
      <c r="G16" s="3">
        <f t="shared" ref="G16:G24" si="4">_xlfn.CEILING.PRECISE(G15*(1+10%))</f>
        <v>770</v>
      </c>
      <c r="H16" s="10">
        <f t="shared" ref="H16:H24" si="5">H15*(1+$H$12)</f>
        <v>117.7773588462626</v>
      </c>
      <c r="I16" s="10">
        <f>I15*(1+$H$11)</f>
        <v>124.95</v>
      </c>
      <c r="K16" s="10">
        <f>K15*(1 + 0.003+$B$2)</f>
        <v>4.1319999999999997</v>
      </c>
    </row>
    <row r="17" spans="1:11">
      <c r="A17" s="6">
        <v>3</v>
      </c>
      <c r="B17" s="10">
        <f t="shared" si="0"/>
        <v>360000</v>
      </c>
      <c r="C17" s="10">
        <f t="shared" si="1"/>
        <v>20000</v>
      </c>
      <c r="D17" s="10">
        <f t="shared" si="2"/>
        <v>60000</v>
      </c>
      <c r="E17" s="10">
        <f t="shared" si="3"/>
        <v>340000</v>
      </c>
      <c r="G17" s="3">
        <f t="shared" si="4"/>
        <v>847</v>
      </c>
      <c r="H17" s="10">
        <f t="shared" si="5"/>
        <v>120.06429785298614</v>
      </c>
      <c r="I17" s="10">
        <f t="shared" ref="I17:I24" si="6">I16*(1+$H$11)</f>
        <v>131.19750000000002</v>
      </c>
      <c r="K17" s="10">
        <f t="shared" ref="K17:K24" si="7">K16*(1 + 0.003+$B$2)</f>
        <v>4.2683559999999989</v>
      </c>
    </row>
    <row r="18" spans="1:11">
      <c r="A18" s="6">
        <v>4</v>
      </c>
      <c r="B18" s="10">
        <f t="shared" si="0"/>
        <v>340000</v>
      </c>
      <c r="C18" s="10">
        <f t="shared" si="1"/>
        <v>20000</v>
      </c>
      <c r="D18" s="10">
        <f t="shared" si="2"/>
        <v>80000</v>
      </c>
      <c r="E18" s="10">
        <f t="shared" si="3"/>
        <v>320000</v>
      </c>
      <c r="G18" s="3">
        <f t="shared" si="4"/>
        <v>932</v>
      </c>
      <c r="H18" s="10">
        <f t="shared" si="5"/>
        <v>122.39564344236452</v>
      </c>
      <c r="I18" s="10">
        <f t="shared" si="6"/>
        <v>137.75737500000002</v>
      </c>
      <c r="K18" s="10">
        <f t="shared" si="7"/>
        <v>4.4092117479999988</v>
      </c>
    </row>
    <row r="19" spans="1:11">
      <c r="A19" s="6">
        <v>5</v>
      </c>
      <c r="B19" s="10">
        <f t="shared" si="0"/>
        <v>320000</v>
      </c>
      <c r="C19" s="10">
        <f t="shared" si="1"/>
        <v>20000</v>
      </c>
      <c r="D19" s="10">
        <f t="shared" si="2"/>
        <v>100000</v>
      </c>
      <c r="E19" s="10">
        <f t="shared" si="3"/>
        <v>300000</v>
      </c>
      <c r="G19" s="3">
        <f t="shared" si="4"/>
        <v>1026</v>
      </c>
      <c r="H19" s="10">
        <f t="shared" si="5"/>
        <v>124.77225787813859</v>
      </c>
      <c r="I19" s="10">
        <f t="shared" si="6"/>
        <v>144.64524375000002</v>
      </c>
      <c r="K19" s="10">
        <f t="shared" si="7"/>
        <v>4.554715735683998</v>
      </c>
    </row>
    <row r="20" spans="1:11">
      <c r="A20" s="6">
        <v>6</v>
      </c>
      <c r="B20" s="10">
        <f t="shared" si="0"/>
        <v>300000</v>
      </c>
      <c r="C20" s="10">
        <f t="shared" si="1"/>
        <v>20000</v>
      </c>
      <c r="D20" s="10">
        <f t="shared" si="2"/>
        <v>120000</v>
      </c>
      <c r="E20" s="10">
        <f t="shared" si="3"/>
        <v>280000</v>
      </c>
      <c r="G20" s="3">
        <f t="shared" si="4"/>
        <v>1129</v>
      </c>
      <c r="H20" s="10">
        <f t="shared" si="5"/>
        <v>127.19502016703449</v>
      </c>
      <c r="I20" s="10">
        <f t="shared" si="6"/>
        <v>151.87750593750002</v>
      </c>
      <c r="K20" s="10">
        <f t="shared" si="7"/>
        <v>4.7050213549615698</v>
      </c>
    </row>
    <row r="21" spans="1:11">
      <c r="A21" s="6">
        <v>7</v>
      </c>
      <c r="B21" s="10">
        <f t="shared" si="0"/>
        <v>280000</v>
      </c>
      <c r="C21" s="10">
        <f t="shared" si="1"/>
        <v>20000</v>
      </c>
      <c r="D21" s="10">
        <f t="shared" si="2"/>
        <v>140000</v>
      </c>
      <c r="E21" s="10">
        <f t="shared" si="3"/>
        <v>260000</v>
      </c>
      <c r="G21" s="3">
        <f t="shared" si="4"/>
        <v>1242</v>
      </c>
      <c r="H21" s="10">
        <f t="shared" si="5"/>
        <v>129.66482638387009</v>
      </c>
      <c r="I21" s="10">
        <f t="shared" si="6"/>
        <v>159.47138123437503</v>
      </c>
      <c r="K21" s="10">
        <f t="shared" si="7"/>
        <v>4.8602870596753016</v>
      </c>
    </row>
    <row r="22" spans="1:11">
      <c r="A22" s="6">
        <v>8</v>
      </c>
      <c r="B22" s="10">
        <f t="shared" si="0"/>
        <v>260000</v>
      </c>
      <c r="C22" s="10">
        <f t="shared" si="1"/>
        <v>20000</v>
      </c>
      <c r="D22" s="10">
        <f t="shared" si="2"/>
        <v>160000</v>
      </c>
      <c r="E22" s="10">
        <f t="shared" si="3"/>
        <v>240000</v>
      </c>
      <c r="G22" s="3">
        <f t="shared" si="4"/>
        <v>1367</v>
      </c>
      <c r="H22" s="10">
        <f t="shared" si="5"/>
        <v>132.18259000297437</v>
      </c>
      <c r="I22" s="10">
        <f t="shared" si="6"/>
        <v>167.44495029609379</v>
      </c>
      <c r="K22" s="10">
        <f t="shared" si="7"/>
        <v>5.0206765326445861</v>
      </c>
    </row>
    <row r="23" spans="1:11">
      <c r="A23" s="6">
        <v>9</v>
      </c>
      <c r="B23" s="10">
        <f t="shared" si="0"/>
        <v>240000</v>
      </c>
      <c r="C23" s="10">
        <f t="shared" si="1"/>
        <v>20000</v>
      </c>
      <c r="D23" s="10">
        <f t="shared" si="2"/>
        <v>180000</v>
      </c>
      <c r="E23" s="10">
        <f t="shared" si="3"/>
        <v>220000</v>
      </c>
      <c r="G23" s="3">
        <f t="shared" si="4"/>
        <v>1504</v>
      </c>
      <c r="H23" s="10">
        <f t="shared" si="5"/>
        <v>134.74924223604182</v>
      </c>
      <c r="I23" s="10">
        <f t="shared" si="6"/>
        <v>175.81719781089848</v>
      </c>
      <c r="K23" s="10">
        <f t="shared" si="7"/>
        <v>5.1863588582218574</v>
      </c>
    </row>
    <row r="24" spans="1:11">
      <c r="A24" s="6">
        <v>10</v>
      </c>
      <c r="B24" s="12">
        <f>E23</f>
        <v>220000</v>
      </c>
      <c r="C24" s="12">
        <f t="shared" si="1"/>
        <v>20000</v>
      </c>
      <c r="D24" s="12">
        <f>D23+C24</f>
        <v>200000</v>
      </c>
      <c r="E24" s="12">
        <f>$B$6-D24</f>
        <v>200000</v>
      </c>
      <c r="G24" s="3">
        <f t="shared" si="4"/>
        <v>1655</v>
      </c>
      <c r="H24" s="10">
        <f t="shared" si="5"/>
        <v>137.3657323765475</v>
      </c>
      <c r="I24" s="10">
        <f t="shared" si="6"/>
        <v>184.60805770144341</v>
      </c>
      <c r="K24" s="10">
        <f t="shared" si="7"/>
        <v>5.3575087005431783</v>
      </c>
    </row>
    <row r="25" spans="1:11">
      <c r="A25" s="6">
        <v>11</v>
      </c>
      <c r="B25" s="10">
        <f>E24</f>
        <v>200000</v>
      </c>
      <c r="C25" s="10">
        <f t="shared" si="1"/>
        <v>20000</v>
      </c>
      <c r="D25" s="10">
        <f>D24+C25</f>
        <v>220000</v>
      </c>
      <c r="E25" s="10">
        <f t="shared" si="3"/>
        <v>180000</v>
      </c>
      <c r="I25" s="1"/>
    </row>
    <row r="26" spans="1:11">
      <c r="A26" s="6">
        <v>12</v>
      </c>
      <c r="B26" s="10">
        <f t="shared" si="0"/>
        <v>180000</v>
      </c>
      <c r="C26" s="10">
        <f t="shared" si="1"/>
        <v>20000</v>
      </c>
      <c r="D26" s="10">
        <f t="shared" si="2"/>
        <v>240000</v>
      </c>
      <c r="E26" s="10">
        <f t="shared" si="3"/>
        <v>160000</v>
      </c>
    </row>
    <row r="27" spans="1:11">
      <c r="A27" s="6">
        <v>13</v>
      </c>
      <c r="B27" s="10">
        <f t="shared" si="0"/>
        <v>160000</v>
      </c>
      <c r="C27" s="10">
        <f t="shared" si="1"/>
        <v>20000</v>
      </c>
      <c r="D27" s="10">
        <f t="shared" si="2"/>
        <v>260000</v>
      </c>
      <c r="E27" s="10">
        <f t="shared" si="3"/>
        <v>140000</v>
      </c>
    </row>
    <row r="28" spans="1:11">
      <c r="A28" s="6">
        <v>14</v>
      </c>
      <c r="B28" s="10">
        <f t="shared" si="0"/>
        <v>140000</v>
      </c>
      <c r="C28" s="10">
        <f t="shared" si="1"/>
        <v>20000</v>
      </c>
      <c r="D28" s="10">
        <f t="shared" si="2"/>
        <v>280000</v>
      </c>
      <c r="E28" s="10">
        <f t="shared" si="3"/>
        <v>120000</v>
      </c>
    </row>
    <row r="29" spans="1:11">
      <c r="A29" s="6">
        <v>15</v>
      </c>
      <c r="B29" s="10">
        <f t="shared" si="0"/>
        <v>120000</v>
      </c>
      <c r="C29" s="10">
        <f t="shared" si="1"/>
        <v>20000</v>
      </c>
      <c r="D29" s="10">
        <f t="shared" si="2"/>
        <v>300000</v>
      </c>
      <c r="E29" s="10">
        <f t="shared" si="3"/>
        <v>100000</v>
      </c>
    </row>
    <row r="30" spans="1:11">
      <c r="A30" s="6">
        <v>16</v>
      </c>
      <c r="B30" s="10">
        <f t="shared" si="0"/>
        <v>100000</v>
      </c>
      <c r="C30" s="10">
        <f t="shared" si="1"/>
        <v>20000</v>
      </c>
      <c r="D30" s="10">
        <f t="shared" si="2"/>
        <v>320000</v>
      </c>
      <c r="E30" s="10">
        <f t="shared" si="3"/>
        <v>80000</v>
      </c>
    </row>
    <row r="31" spans="1:11">
      <c r="A31" s="6">
        <v>17</v>
      </c>
      <c r="B31" s="10">
        <f t="shared" si="0"/>
        <v>80000</v>
      </c>
      <c r="C31" s="10">
        <f t="shared" si="1"/>
        <v>20000</v>
      </c>
      <c r="D31" s="10">
        <f t="shared" si="2"/>
        <v>340000</v>
      </c>
      <c r="E31" s="10">
        <f t="shared" si="3"/>
        <v>60000</v>
      </c>
    </row>
    <row r="32" spans="1:11">
      <c r="A32" s="6">
        <v>18</v>
      </c>
      <c r="B32" s="10">
        <f t="shared" si="0"/>
        <v>60000</v>
      </c>
      <c r="C32" s="10">
        <f t="shared" si="1"/>
        <v>20000</v>
      </c>
      <c r="D32" s="10">
        <f t="shared" si="2"/>
        <v>360000</v>
      </c>
      <c r="E32" s="10">
        <f t="shared" si="3"/>
        <v>40000</v>
      </c>
    </row>
    <row r="33" spans="1:11">
      <c r="A33" s="6">
        <v>19</v>
      </c>
      <c r="B33" s="10">
        <f t="shared" si="0"/>
        <v>40000</v>
      </c>
      <c r="C33" s="10">
        <f t="shared" si="1"/>
        <v>20000</v>
      </c>
      <c r="D33" s="10">
        <f t="shared" si="2"/>
        <v>380000</v>
      </c>
      <c r="E33" s="10">
        <f t="shared" si="3"/>
        <v>20000</v>
      </c>
    </row>
    <row r="34" spans="1:11">
      <c r="A34" s="6">
        <v>20</v>
      </c>
      <c r="B34" s="10">
        <f t="shared" si="0"/>
        <v>20000</v>
      </c>
      <c r="C34" s="10">
        <f t="shared" si="1"/>
        <v>20000</v>
      </c>
      <c r="D34" s="10">
        <f t="shared" si="2"/>
        <v>400000</v>
      </c>
      <c r="E34" s="10">
        <f t="shared" si="3"/>
        <v>0</v>
      </c>
    </row>
    <row r="40" spans="1:11">
      <c r="A40" s="5" t="s">
        <v>19</v>
      </c>
      <c r="B40" s="23"/>
      <c r="C40" s="24"/>
      <c r="D40" s="25"/>
    </row>
    <row r="41" spans="1:11">
      <c r="A41" s="26" t="s">
        <v>20</v>
      </c>
      <c r="B41" s="19">
        <v>0.06</v>
      </c>
      <c r="C41" s="26" t="s">
        <v>33</v>
      </c>
      <c r="D41" s="10">
        <v>200000</v>
      </c>
    </row>
    <row r="42" spans="1:11">
      <c r="A42" s="26" t="s">
        <v>24</v>
      </c>
      <c r="B42" s="20">
        <f>B41/2</f>
        <v>0.03</v>
      </c>
      <c r="C42" s="26" t="s">
        <v>28</v>
      </c>
      <c r="D42" s="10">
        <f>D41*(B42*(1+B42)^12)/((1+B42)^12 - 1)</f>
        <v>20092.417094592616</v>
      </c>
    </row>
    <row r="43" spans="1:11">
      <c r="A43" s="26" t="s">
        <v>21</v>
      </c>
      <c r="B43" s="3" t="s">
        <v>22</v>
      </c>
      <c r="C43" s="44"/>
      <c r="D43" s="45"/>
    </row>
    <row r="44" spans="1:11">
      <c r="A44" s="26" t="s">
        <v>23</v>
      </c>
      <c r="B44" s="21">
        <v>0.03</v>
      </c>
      <c r="C44" s="46"/>
      <c r="D44" s="47"/>
    </row>
    <row r="45" spans="1:11">
      <c r="A45" s="5" t="s">
        <v>76</v>
      </c>
      <c r="B45" s="5" t="s">
        <v>77</v>
      </c>
      <c r="C45" s="5" t="s">
        <v>25</v>
      </c>
      <c r="D45" s="5" t="s">
        <v>26</v>
      </c>
      <c r="E45" s="5" t="s">
        <v>27</v>
      </c>
      <c r="F45" s="5" t="s">
        <v>28</v>
      </c>
      <c r="G45" s="5" t="s">
        <v>78</v>
      </c>
      <c r="H45" s="5" t="s">
        <v>29</v>
      </c>
      <c r="I45" s="5" t="s">
        <v>30</v>
      </c>
      <c r="J45" s="5" t="s">
        <v>31</v>
      </c>
      <c r="K45" s="5" t="s">
        <v>32</v>
      </c>
    </row>
    <row r="46" spans="1:11">
      <c r="A46" s="3">
        <v>0</v>
      </c>
      <c r="B46" s="10">
        <v>0</v>
      </c>
      <c r="C46" s="10">
        <f>D41</f>
        <v>200000</v>
      </c>
      <c r="D46" s="10">
        <f>B46*$B$42</f>
        <v>0</v>
      </c>
      <c r="E46" s="10">
        <v>0</v>
      </c>
      <c r="F46" s="10">
        <v>0</v>
      </c>
      <c r="G46" s="10">
        <f>C46</f>
        <v>200000</v>
      </c>
      <c r="H46" s="10">
        <v>0</v>
      </c>
      <c r="I46" s="10">
        <f>G46</f>
        <v>200000</v>
      </c>
      <c r="J46" s="10">
        <v>0</v>
      </c>
      <c r="K46" s="10">
        <f>I46</f>
        <v>200000</v>
      </c>
    </row>
    <row r="47" spans="1:11">
      <c r="A47" s="3">
        <v>1</v>
      </c>
      <c r="B47" s="10">
        <f>G46</f>
        <v>200000</v>
      </c>
      <c r="C47" s="10">
        <v>0</v>
      </c>
      <c r="D47" s="10">
        <f>B47*$B$42</f>
        <v>6000</v>
      </c>
      <c r="E47" s="10">
        <f>F47-D47</f>
        <v>14092.417094592616</v>
      </c>
      <c r="F47" s="10">
        <f>$D$42</f>
        <v>20092.417094592616</v>
      </c>
      <c r="G47" s="10">
        <f>B47-E47</f>
        <v>185907.58290540738</v>
      </c>
      <c r="H47" s="10">
        <f>3%*C46</f>
        <v>6000</v>
      </c>
      <c r="I47" s="10">
        <f>C47-F47</f>
        <v>-20092.417094592616</v>
      </c>
      <c r="J47" s="10">
        <v>0</v>
      </c>
      <c r="K47" s="10">
        <f>I47+J47-H47</f>
        <v>-26092.417094592616</v>
      </c>
    </row>
    <row r="48" spans="1:11">
      <c r="A48" s="8">
        <v>2</v>
      </c>
      <c r="B48" s="11">
        <f>G47</f>
        <v>185907.58290540738</v>
      </c>
      <c r="C48" s="11">
        <v>0</v>
      </c>
      <c r="D48" s="11">
        <f>B48*$B$42</f>
        <v>5577.2274871622212</v>
      </c>
      <c r="E48" s="11">
        <f>F48-D48</f>
        <v>14515.189607430395</v>
      </c>
      <c r="F48" s="11">
        <f t="shared" ref="F48:F58" si="8">$D$42</f>
        <v>20092.417094592616</v>
      </c>
      <c r="G48" s="11">
        <f>B48-E48</f>
        <v>171392.39329797699</v>
      </c>
      <c r="H48" s="11">
        <v>0</v>
      </c>
      <c r="I48" s="11">
        <f>C48-F48</f>
        <v>-20092.417094592616</v>
      </c>
      <c r="J48" s="11">
        <f>(D47+D48+H47)*0.33</f>
        <v>5800.4850707635333</v>
      </c>
      <c r="K48" s="11">
        <f>I48+J48</f>
        <v>-14291.932023829082</v>
      </c>
    </row>
    <row r="49" spans="1:12">
      <c r="A49" s="3">
        <v>3</v>
      </c>
      <c r="B49" s="10">
        <f>G48</f>
        <v>171392.39329797699</v>
      </c>
      <c r="C49" s="10">
        <v>0</v>
      </c>
      <c r="D49" s="10">
        <f>B49*$B$42</f>
        <v>5141.7717989393095</v>
      </c>
      <c r="E49" s="10">
        <f>F49-D49</f>
        <v>14950.645295653307</v>
      </c>
      <c r="F49" s="10">
        <f t="shared" si="8"/>
        <v>20092.417094592616</v>
      </c>
      <c r="G49" s="10">
        <f>B49-E49</f>
        <v>156441.74800232367</v>
      </c>
      <c r="H49" s="10">
        <v>0</v>
      </c>
      <c r="I49" s="10">
        <f>C49-F49</f>
        <v>-20092.417094592616</v>
      </c>
      <c r="J49" s="10">
        <v>0</v>
      </c>
      <c r="K49" s="10">
        <f>I49+J49</f>
        <v>-20092.417094592616</v>
      </c>
    </row>
    <row r="50" spans="1:12">
      <c r="A50" s="8">
        <v>4</v>
      </c>
      <c r="B50" s="11">
        <f>G49</f>
        <v>156441.74800232367</v>
      </c>
      <c r="C50" s="11">
        <v>0</v>
      </c>
      <c r="D50" s="11">
        <f>B50*$B$42</f>
        <v>4693.2524400697102</v>
      </c>
      <c r="E50" s="11">
        <f>F50-D50</f>
        <v>15399.164654522905</v>
      </c>
      <c r="F50" s="11">
        <f t="shared" si="8"/>
        <v>20092.417094592616</v>
      </c>
      <c r="G50" s="11">
        <f>B50-E50</f>
        <v>141042.58334780077</v>
      </c>
      <c r="H50" s="11">
        <v>0</v>
      </c>
      <c r="I50" s="11">
        <f>C50-F50</f>
        <v>-20092.417094592616</v>
      </c>
      <c r="J50" s="11">
        <f>(D49+D50)*$B$1</f>
        <v>3245.5579988729769</v>
      </c>
      <c r="K50" s="11">
        <f>I50+J50</f>
        <v>-16846.859095719639</v>
      </c>
    </row>
    <row r="51" spans="1:12">
      <c r="A51" s="3">
        <v>5</v>
      </c>
      <c r="B51" s="10">
        <f t="shared" ref="B51:B58" si="9">G50</f>
        <v>141042.58334780077</v>
      </c>
      <c r="C51" s="10">
        <v>0</v>
      </c>
      <c r="D51" s="10">
        <f t="shared" ref="D51:D58" si="10">B51*$B$42</f>
        <v>4231.2775004340228</v>
      </c>
      <c r="E51" s="10">
        <f t="shared" ref="E51:E58" si="11">F51-D51</f>
        <v>15861.139594158594</v>
      </c>
      <c r="F51" s="10">
        <f t="shared" si="8"/>
        <v>20092.417094592616</v>
      </c>
      <c r="G51" s="10">
        <f t="shared" ref="G51:G58" si="12">B51-E51</f>
        <v>125181.44375364218</v>
      </c>
      <c r="H51" s="10">
        <f t="shared" ref="H51" si="13">3%*C50</f>
        <v>0</v>
      </c>
      <c r="I51" s="10">
        <f t="shared" ref="I51:I58" si="14">C51-F51</f>
        <v>-20092.417094592616</v>
      </c>
      <c r="J51" s="10">
        <v>0</v>
      </c>
      <c r="K51" s="10">
        <f t="shared" ref="K51:K58" si="15">I51+J51</f>
        <v>-20092.417094592616</v>
      </c>
    </row>
    <row r="52" spans="1:12">
      <c r="A52" s="8">
        <v>6</v>
      </c>
      <c r="B52" s="11">
        <f t="shared" si="9"/>
        <v>125181.44375364218</v>
      </c>
      <c r="C52" s="11">
        <v>0</v>
      </c>
      <c r="D52" s="11">
        <f t="shared" si="10"/>
        <v>3755.4433126092649</v>
      </c>
      <c r="E52" s="11">
        <f t="shared" si="11"/>
        <v>16336.973781983352</v>
      </c>
      <c r="F52" s="11">
        <f t="shared" si="8"/>
        <v>20092.417094592616</v>
      </c>
      <c r="G52" s="11">
        <f t="shared" si="12"/>
        <v>108844.46997165882</v>
      </c>
      <c r="H52" s="11">
        <v>0</v>
      </c>
      <c r="I52" s="11">
        <f t="shared" si="14"/>
        <v>-20092.417094592616</v>
      </c>
      <c r="J52" s="11">
        <f>(D51+D52)*$B$1</f>
        <v>2635.6178683042854</v>
      </c>
      <c r="K52" s="11">
        <f t="shared" si="15"/>
        <v>-17456.799226288331</v>
      </c>
    </row>
    <row r="53" spans="1:12">
      <c r="A53" s="3">
        <v>7</v>
      </c>
      <c r="B53" s="10">
        <f t="shared" si="9"/>
        <v>108844.46997165882</v>
      </c>
      <c r="C53" s="10">
        <v>0</v>
      </c>
      <c r="D53" s="10">
        <f t="shared" si="10"/>
        <v>3265.3340991497644</v>
      </c>
      <c r="E53" s="10">
        <f t="shared" si="11"/>
        <v>16827.082995442852</v>
      </c>
      <c r="F53" s="10">
        <f t="shared" si="8"/>
        <v>20092.417094592616</v>
      </c>
      <c r="G53" s="10">
        <f t="shared" si="12"/>
        <v>92017.386976215974</v>
      </c>
      <c r="H53" s="10">
        <v>0</v>
      </c>
      <c r="I53" s="10">
        <f t="shared" si="14"/>
        <v>-20092.417094592616</v>
      </c>
      <c r="J53" s="10">
        <v>0</v>
      </c>
      <c r="K53" s="10">
        <f t="shared" si="15"/>
        <v>-20092.417094592616</v>
      </c>
    </row>
    <row r="54" spans="1:12">
      <c r="A54" s="8">
        <v>8</v>
      </c>
      <c r="B54" s="11">
        <f t="shared" si="9"/>
        <v>92017.386976215974</v>
      </c>
      <c r="C54" s="11">
        <v>0</v>
      </c>
      <c r="D54" s="11">
        <f t="shared" si="10"/>
        <v>2760.5216092864789</v>
      </c>
      <c r="E54" s="11">
        <f t="shared" si="11"/>
        <v>17331.895485306137</v>
      </c>
      <c r="F54" s="11">
        <f t="shared" si="8"/>
        <v>20092.417094592616</v>
      </c>
      <c r="G54" s="11">
        <f t="shared" si="12"/>
        <v>74685.49149090983</v>
      </c>
      <c r="H54" s="11">
        <v>0</v>
      </c>
      <c r="I54" s="11">
        <f t="shared" si="14"/>
        <v>-20092.417094592616</v>
      </c>
      <c r="J54" s="11">
        <f>(D53+D54)*$B$1</f>
        <v>1988.5323837839605</v>
      </c>
      <c r="K54" s="11">
        <f t="shared" si="15"/>
        <v>-18103.884710808656</v>
      </c>
    </row>
    <row r="55" spans="1:12">
      <c r="A55" s="3">
        <v>9</v>
      </c>
      <c r="B55" s="10">
        <f t="shared" si="9"/>
        <v>74685.49149090983</v>
      </c>
      <c r="C55" s="10">
        <v>0</v>
      </c>
      <c r="D55" s="10">
        <f t="shared" si="10"/>
        <v>2240.564744727295</v>
      </c>
      <c r="E55" s="10">
        <f t="shared" si="11"/>
        <v>17851.852349865323</v>
      </c>
      <c r="F55" s="10">
        <f t="shared" si="8"/>
        <v>20092.417094592616</v>
      </c>
      <c r="G55" s="10">
        <f t="shared" si="12"/>
        <v>56833.639141044507</v>
      </c>
      <c r="H55" s="10">
        <f t="shared" ref="H55" si="16">3%*C54</f>
        <v>0</v>
      </c>
      <c r="I55" s="10">
        <f t="shared" si="14"/>
        <v>-20092.417094592616</v>
      </c>
      <c r="J55" s="10">
        <v>0</v>
      </c>
      <c r="K55" s="10">
        <f t="shared" si="15"/>
        <v>-20092.417094592616</v>
      </c>
    </row>
    <row r="56" spans="1:12">
      <c r="A56" s="8">
        <v>10</v>
      </c>
      <c r="B56" s="11">
        <f t="shared" si="9"/>
        <v>56833.639141044507</v>
      </c>
      <c r="C56" s="11">
        <v>0</v>
      </c>
      <c r="D56" s="11">
        <f t="shared" si="10"/>
        <v>1705.0091742313352</v>
      </c>
      <c r="E56" s="11">
        <f t="shared" si="11"/>
        <v>18387.407920361282</v>
      </c>
      <c r="F56" s="11">
        <f t="shared" si="8"/>
        <v>20092.417094592616</v>
      </c>
      <c r="G56" s="11">
        <f t="shared" si="12"/>
        <v>38446.231220683228</v>
      </c>
      <c r="H56" s="11">
        <v>0</v>
      </c>
      <c r="I56" s="11">
        <f t="shared" si="14"/>
        <v>-20092.417094592616</v>
      </c>
      <c r="J56" s="11">
        <f t="shared" ref="J56:J58" si="17">(D55+D56)*$B$1</f>
        <v>1302.0393932563479</v>
      </c>
      <c r="K56" s="11">
        <f t="shared" si="15"/>
        <v>-18790.377701336267</v>
      </c>
    </row>
    <row r="57" spans="1:12">
      <c r="A57" s="3">
        <v>11</v>
      </c>
      <c r="B57" s="10">
        <f t="shared" si="9"/>
        <v>38446.231220683228</v>
      </c>
      <c r="C57" s="10">
        <v>0</v>
      </c>
      <c r="D57" s="10">
        <f t="shared" si="10"/>
        <v>1153.3869366204967</v>
      </c>
      <c r="E57" s="10">
        <f t="shared" si="11"/>
        <v>18939.03015797212</v>
      </c>
      <c r="F57" s="10">
        <f t="shared" si="8"/>
        <v>20092.417094592616</v>
      </c>
      <c r="G57" s="10">
        <f t="shared" si="12"/>
        <v>19507.201062711109</v>
      </c>
      <c r="H57" s="10">
        <v>0</v>
      </c>
      <c r="I57" s="10">
        <f t="shared" si="14"/>
        <v>-20092.417094592616</v>
      </c>
      <c r="J57" s="10">
        <v>0</v>
      </c>
      <c r="K57" s="10">
        <f t="shared" si="15"/>
        <v>-20092.417094592616</v>
      </c>
    </row>
    <row r="58" spans="1:12">
      <c r="A58" s="8">
        <v>12</v>
      </c>
      <c r="B58" s="11">
        <f t="shared" si="9"/>
        <v>19507.201062711109</v>
      </c>
      <c r="C58" s="11">
        <v>0</v>
      </c>
      <c r="D58" s="11">
        <f t="shared" si="10"/>
        <v>585.21603188133327</v>
      </c>
      <c r="E58" s="11">
        <f t="shared" si="11"/>
        <v>19507.201062711283</v>
      </c>
      <c r="F58" s="11">
        <f t="shared" si="8"/>
        <v>20092.417094592616</v>
      </c>
      <c r="G58" s="11">
        <f t="shared" si="12"/>
        <v>-1.7462298274040222E-10</v>
      </c>
      <c r="H58" s="11">
        <v>0</v>
      </c>
      <c r="I58" s="11">
        <f t="shared" si="14"/>
        <v>-20092.417094592616</v>
      </c>
      <c r="J58" s="11">
        <f t="shared" ref="J58" si="18">(D57+D58)*$B$1</f>
        <v>573.73897960560396</v>
      </c>
      <c r="K58" s="11">
        <f t="shared" si="15"/>
        <v>-19518.678114987011</v>
      </c>
    </row>
    <row r="59" spans="1:12">
      <c r="A59" s="5" t="s">
        <v>34</v>
      </c>
      <c r="B59" s="22">
        <f>IRR(I46:I58)</f>
        <v>3.0000000000021565E-2</v>
      </c>
    </row>
    <row r="60" spans="1:12">
      <c r="A60" s="5" t="s">
        <v>35</v>
      </c>
      <c r="B60" s="22">
        <f>IRR(K46:K58)</f>
        <v>2.345425641436405E-2</v>
      </c>
    </row>
    <row r="63" spans="1:12">
      <c r="A63" s="34" t="s">
        <v>36</v>
      </c>
      <c r="B63" s="34"/>
      <c r="C63" s="34"/>
      <c r="D63" s="34"/>
      <c r="H63" s="5" t="s">
        <v>67</v>
      </c>
      <c r="I63" s="5" t="s">
        <v>4</v>
      </c>
      <c r="J63" s="5" t="s">
        <v>68</v>
      </c>
      <c r="K63" s="5" t="s">
        <v>69</v>
      </c>
      <c r="L63" s="5" t="s">
        <v>73</v>
      </c>
    </row>
    <row r="64" spans="1:12">
      <c r="A64" s="26" t="s">
        <v>33</v>
      </c>
      <c r="B64" s="3">
        <v>120000</v>
      </c>
      <c r="C64" s="38"/>
      <c r="D64" s="39"/>
      <c r="H64" s="53" t="s">
        <v>70</v>
      </c>
      <c r="I64" s="27">
        <f>9.72%</f>
        <v>9.7200000000000009E-2</v>
      </c>
      <c r="J64" s="10">
        <f>D41-H47</f>
        <v>194000</v>
      </c>
      <c r="K64" s="50">
        <f>J64/B6</f>
        <v>0.48499999999999999</v>
      </c>
      <c r="L64" s="51">
        <f>K64*I64</f>
        <v>4.7142000000000003E-2</v>
      </c>
    </row>
    <row r="65" spans="1:12">
      <c r="A65" s="26" t="s">
        <v>38</v>
      </c>
      <c r="B65" s="19">
        <v>8.4000000000000005E-2</v>
      </c>
      <c r="C65" s="40"/>
      <c r="D65" s="41"/>
      <c r="H65" s="53" t="s">
        <v>71</v>
      </c>
      <c r="I65" s="22">
        <f>B66</f>
        <v>5.6279999999999997E-2</v>
      </c>
      <c r="J65" s="54">
        <f>B64</f>
        <v>120000</v>
      </c>
      <c r="K65" s="51">
        <f>J65/B6</f>
        <v>0.3</v>
      </c>
      <c r="L65" s="51">
        <f t="shared" ref="L65:L66" si="19">K65*I65</f>
        <v>1.6884E-2</v>
      </c>
    </row>
    <row r="66" spans="1:12">
      <c r="A66" s="26" t="s">
        <v>37</v>
      </c>
      <c r="B66" s="27">
        <f>B65*(1-B1)</f>
        <v>5.6279999999999997E-2</v>
      </c>
      <c r="C66" s="42"/>
      <c r="D66" s="43"/>
      <c r="H66" s="53" t="s">
        <v>72</v>
      </c>
      <c r="I66" s="52">
        <f>B74</f>
        <v>0.13280528390763399</v>
      </c>
      <c r="J66" s="10">
        <f>400000-J64-J65</f>
        <v>86000</v>
      </c>
      <c r="K66" s="51">
        <f>J66/B6</f>
        <v>0.215</v>
      </c>
      <c r="L66" s="51">
        <f t="shared" si="19"/>
        <v>2.8553136040141307E-2</v>
      </c>
    </row>
    <row r="67" spans="1:12">
      <c r="G67" s="13"/>
      <c r="K67" s="53" t="s">
        <v>79</v>
      </c>
      <c r="L67" s="20">
        <f>SUM(L64:L66)</f>
        <v>9.2579136040141313E-2</v>
      </c>
    </row>
    <row r="68" spans="1:12">
      <c r="K68" s="53" t="s">
        <v>80</v>
      </c>
      <c r="L68" s="27">
        <f>(1+L67)/(1+3%)-1</f>
        <v>6.075644275741876E-2</v>
      </c>
    </row>
    <row r="69" spans="1:12">
      <c r="A69" s="35" t="s">
        <v>39</v>
      </c>
      <c r="B69" s="36"/>
      <c r="C69" s="36"/>
      <c r="D69" s="37"/>
    </row>
    <row r="70" spans="1:12">
      <c r="A70" s="26" t="s">
        <v>40</v>
      </c>
      <c r="B70" s="10">
        <v>2500</v>
      </c>
      <c r="C70" s="38"/>
      <c r="D70" s="39"/>
    </row>
    <row r="71" spans="1:12">
      <c r="A71" s="26" t="s">
        <v>41</v>
      </c>
      <c r="B71" s="10">
        <v>270</v>
      </c>
      <c r="C71" s="40"/>
      <c r="D71" s="41"/>
    </row>
    <row r="72" spans="1:12">
      <c r="A72" s="26" t="s">
        <v>42</v>
      </c>
      <c r="B72" s="4">
        <v>0.02</v>
      </c>
      <c r="C72" s="40"/>
      <c r="D72" s="41"/>
    </row>
    <row r="73" spans="1:12">
      <c r="A73" s="26" t="s">
        <v>43</v>
      </c>
      <c r="B73" s="19">
        <v>3.5000000000000003E-2</v>
      </c>
      <c r="C73" s="42"/>
      <c r="D73" s="43"/>
    </row>
    <row r="74" spans="1:12">
      <c r="A74" s="26" t="s">
        <v>65</v>
      </c>
      <c r="B74" s="48">
        <f>(B71*(1+B72)/(B70-B70*B73*(1-0.33))+B72)</f>
        <v>0.13280528390763399</v>
      </c>
    </row>
    <row r="76" spans="1:12">
      <c r="A76" s="29" t="s">
        <v>64</v>
      </c>
    </row>
    <row r="78" spans="1:12">
      <c r="A78" s="32" t="s">
        <v>54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 spans="1:12">
      <c r="A79" s="5" t="s">
        <v>7</v>
      </c>
      <c r="B79" s="5">
        <v>0</v>
      </c>
      <c r="C79" s="5">
        <v>1</v>
      </c>
      <c r="D79" s="5">
        <v>2</v>
      </c>
      <c r="E79" s="5">
        <v>3</v>
      </c>
      <c r="F79" s="5">
        <v>4</v>
      </c>
      <c r="G79" s="5">
        <v>5</v>
      </c>
      <c r="H79" s="5">
        <v>6</v>
      </c>
      <c r="I79" s="5">
        <v>7</v>
      </c>
      <c r="J79" s="5">
        <v>8</v>
      </c>
      <c r="K79" s="5">
        <v>9</v>
      </c>
      <c r="L79" s="5">
        <v>10</v>
      </c>
    </row>
    <row r="80" spans="1:12">
      <c r="A80" s="5" t="s">
        <v>44</v>
      </c>
      <c r="B80" s="3">
        <v>0</v>
      </c>
      <c r="C80" s="4">
        <v>0.03</v>
      </c>
      <c r="D80" s="4">
        <v>0.03</v>
      </c>
      <c r="E80" s="4">
        <v>0.03</v>
      </c>
      <c r="F80" s="4">
        <v>0.03</v>
      </c>
      <c r="G80" s="4">
        <v>0.03</v>
      </c>
      <c r="H80" s="4">
        <v>0.03</v>
      </c>
      <c r="I80" s="4">
        <v>0.03</v>
      </c>
      <c r="J80" s="4">
        <v>0.03</v>
      </c>
      <c r="K80" s="4">
        <v>0.03</v>
      </c>
      <c r="L80" s="4">
        <v>0.03</v>
      </c>
    </row>
    <row r="81" spans="1:12">
      <c r="A81" s="5" t="s">
        <v>12</v>
      </c>
      <c r="B81" s="10">
        <f>H14</f>
        <v>0</v>
      </c>
      <c r="C81" s="10">
        <f>$H$15*$G$15</f>
        <v>80873.78640776698</v>
      </c>
      <c r="D81" s="10">
        <f>H16*G16</f>
        <v>90688.566311622199</v>
      </c>
      <c r="E81" s="10">
        <f>G17*H17</f>
        <v>101694.46028147926</v>
      </c>
      <c r="F81" s="10">
        <f>H18*G18</f>
        <v>114072.73968828373</v>
      </c>
      <c r="G81" s="10">
        <f>H19*G19</f>
        <v>128016.33658297019</v>
      </c>
      <c r="H81" s="10">
        <f>H20*G20</f>
        <v>143603.17776858193</v>
      </c>
      <c r="I81" s="10">
        <f>H21*G21</f>
        <v>161043.71436876667</v>
      </c>
      <c r="J81" s="10">
        <f>H22*G22</f>
        <v>180693.60053406595</v>
      </c>
      <c r="K81" s="10">
        <f>H23*G23</f>
        <v>202662.8603230069</v>
      </c>
      <c r="L81" s="10">
        <f>H24*G24</f>
        <v>227340.28708318612</v>
      </c>
    </row>
    <row r="82" spans="1:12">
      <c r="A82" s="5" t="s">
        <v>29</v>
      </c>
      <c r="B82" s="10">
        <v>0</v>
      </c>
      <c r="C82" s="10">
        <f>4*7*$G$15</f>
        <v>19600</v>
      </c>
      <c r="D82" s="10">
        <f t="shared" ref="D82:L82" si="20">4*7*$G$15</f>
        <v>19600</v>
      </c>
      <c r="E82" s="10">
        <f t="shared" si="20"/>
        <v>19600</v>
      </c>
      <c r="F82" s="10">
        <f t="shared" si="20"/>
        <v>19600</v>
      </c>
      <c r="G82" s="10">
        <f t="shared" si="20"/>
        <v>19600</v>
      </c>
      <c r="H82" s="10">
        <f t="shared" si="20"/>
        <v>19600</v>
      </c>
      <c r="I82" s="10">
        <f t="shared" si="20"/>
        <v>19600</v>
      </c>
      <c r="J82" s="10">
        <f t="shared" si="20"/>
        <v>19600</v>
      </c>
      <c r="K82" s="10">
        <f t="shared" si="20"/>
        <v>19600</v>
      </c>
      <c r="L82" s="10">
        <f t="shared" si="20"/>
        <v>19600</v>
      </c>
    </row>
    <row r="83" spans="1:12">
      <c r="A83" s="5" t="s">
        <v>45</v>
      </c>
      <c r="B83" s="10">
        <v>0</v>
      </c>
      <c r="C83" s="10">
        <f>0.4*C81</f>
        <v>32349.514563106794</v>
      </c>
      <c r="D83" s="10">
        <f t="shared" ref="D83:L83" si="21">0.4*D81</f>
        <v>36275.426524648879</v>
      </c>
      <c r="E83" s="10">
        <f t="shared" si="21"/>
        <v>40677.784112591704</v>
      </c>
      <c r="F83" s="10">
        <f t="shared" si="21"/>
        <v>45629.095875313498</v>
      </c>
      <c r="G83" s="10">
        <f t="shared" si="21"/>
        <v>51206.534633188079</v>
      </c>
      <c r="H83" s="10">
        <f t="shared" si="21"/>
        <v>57441.271107432774</v>
      </c>
      <c r="I83" s="10">
        <f t="shared" si="21"/>
        <v>64417.485747506667</v>
      </c>
      <c r="J83" s="10">
        <f t="shared" si="21"/>
        <v>72277.440213626382</v>
      </c>
      <c r="K83" s="10">
        <f t="shared" si="21"/>
        <v>81065.144129202759</v>
      </c>
      <c r="L83" s="10">
        <f t="shared" si="21"/>
        <v>90936.114833274449</v>
      </c>
    </row>
    <row r="84" spans="1:12">
      <c r="A84" s="5" t="s">
        <v>46</v>
      </c>
      <c r="B84" s="10">
        <v>0</v>
      </c>
      <c r="C84" s="10">
        <f>C81-C82-C83</f>
        <v>28924.271844660187</v>
      </c>
      <c r="D84" s="10">
        <f t="shared" ref="D84:L84" si="22">D81-D82-D83</f>
        <v>34813.139786973319</v>
      </c>
      <c r="E84" s="10">
        <f t="shared" si="22"/>
        <v>41416.676168887556</v>
      </c>
      <c r="F84" s="10">
        <f t="shared" si="22"/>
        <v>48843.643812970236</v>
      </c>
      <c r="G84" s="10">
        <f t="shared" si="22"/>
        <v>57209.801949782115</v>
      </c>
      <c r="H84" s="10">
        <f t="shared" si="22"/>
        <v>66561.906661149143</v>
      </c>
      <c r="I84" s="10">
        <f t="shared" si="22"/>
        <v>77026.228621260001</v>
      </c>
      <c r="J84" s="10">
        <f t="shared" si="22"/>
        <v>88816.160320439565</v>
      </c>
      <c r="K84" s="10">
        <f t="shared" si="22"/>
        <v>101997.71619380414</v>
      </c>
      <c r="L84" s="10">
        <f t="shared" si="22"/>
        <v>116804.17224991167</v>
      </c>
    </row>
    <row r="85" spans="1:12">
      <c r="A85" s="5" t="s">
        <v>9</v>
      </c>
      <c r="B85" s="10">
        <v>0</v>
      </c>
      <c r="C85" s="10">
        <f>$C$15/C109</f>
        <v>19417.475728155339</v>
      </c>
      <c r="D85" s="10">
        <f t="shared" ref="D85:L85" si="23">$C$15/D109</f>
        <v>18851.918182675086</v>
      </c>
      <c r="E85" s="10">
        <f t="shared" si="23"/>
        <v>18302.833187063192</v>
      </c>
      <c r="F85" s="10">
        <f t="shared" si="23"/>
        <v>17769.740958313774</v>
      </c>
      <c r="G85" s="10">
        <f t="shared" si="23"/>
        <v>17252.175687683277</v>
      </c>
      <c r="H85" s="10">
        <f t="shared" si="23"/>
        <v>16749.685133673087</v>
      </c>
      <c r="I85" s="10">
        <f t="shared" si="23"/>
        <v>16261.830226867076</v>
      </c>
      <c r="J85" s="10">
        <f t="shared" si="23"/>
        <v>15788.184686278713</v>
      </c>
      <c r="K85" s="10">
        <f t="shared" si="23"/>
        <v>15328.334646872536</v>
      </c>
      <c r="L85" s="10">
        <f t="shared" si="23"/>
        <v>14881.8782979345</v>
      </c>
    </row>
    <row r="86" spans="1:12">
      <c r="A86" s="5" t="s">
        <v>47</v>
      </c>
      <c r="B86" s="10">
        <v>0</v>
      </c>
      <c r="C86" s="10">
        <f>C84-C85</f>
        <v>9506.7961165048473</v>
      </c>
      <c r="D86" s="10">
        <f t="shared" ref="D86:L86" si="24">D84-D85</f>
        <v>15961.221604298233</v>
      </c>
      <c r="E86" s="10">
        <f t="shared" si="24"/>
        <v>23113.842981824364</v>
      </c>
      <c r="F86" s="10">
        <f t="shared" si="24"/>
        <v>31073.902854656462</v>
      </c>
      <c r="G86" s="10">
        <f t="shared" si="24"/>
        <v>39957.626262098842</v>
      </c>
      <c r="H86" s="10">
        <f t="shared" si="24"/>
        <v>49812.221527476053</v>
      </c>
      <c r="I86" s="10">
        <f t="shared" si="24"/>
        <v>60764.398394392927</v>
      </c>
      <c r="J86" s="10">
        <f t="shared" si="24"/>
        <v>73027.975634160859</v>
      </c>
      <c r="K86" s="10">
        <f t="shared" si="24"/>
        <v>86669.381546931603</v>
      </c>
      <c r="L86" s="10">
        <f t="shared" si="24"/>
        <v>101922.29395197718</v>
      </c>
    </row>
    <row r="87" spans="1:12">
      <c r="A87" s="5" t="s">
        <v>9</v>
      </c>
      <c r="B87" s="10">
        <v>0</v>
      </c>
      <c r="C87" s="10">
        <f>C85</f>
        <v>19417.475728155339</v>
      </c>
      <c r="D87" s="10">
        <f t="shared" ref="D87:L87" si="25">D85</f>
        <v>18851.918182675086</v>
      </c>
      <c r="E87" s="10">
        <f t="shared" si="25"/>
        <v>18302.833187063192</v>
      </c>
      <c r="F87" s="10">
        <f t="shared" si="25"/>
        <v>17769.740958313774</v>
      </c>
      <c r="G87" s="10">
        <f t="shared" si="25"/>
        <v>17252.175687683277</v>
      </c>
      <c r="H87" s="10">
        <f t="shared" si="25"/>
        <v>16749.685133673087</v>
      </c>
      <c r="I87" s="10">
        <f t="shared" si="25"/>
        <v>16261.830226867076</v>
      </c>
      <c r="J87" s="10">
        <f t="shared" si="25"/>
        <v>15788.184686278713</v>
      </c>
      <c r="K87" s="10">
        <f t="shared" si="25"/>
        <v>15328.334646872536</v>
      </c>
      <c r="L87" s="10">
        <f t="shared" si="25"/>
        <v>14881.8782979345</v>
      </c>
    </row>
    <row r="88" spans="1:12">
      <c r="A88" s="5" t="s">
        <v>48</v>
      </c>
      <c r="B88" s="10">
        <v>400000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</row>
    <row r="89" spans="1:12">
      <c r="A89" s="5" t="s">
        <v>49</v>
      </c>
      <c r="B89" s="10">
        <v>0</v>
      </c>
      <c r="C89" s="10">
        <f>$B$1*C86</f>
        <v>3137.2427184465996</v>
      </c>
      <c r="D89" s="10">
        <f t="shared" ref="D89:L89" si="26">$B$1*D86</f>
        <v>5267.2031294184171</v>
      </c>
      <c r="E89" s="10">
        <f t="shared" si="26"/>
        <v>7627.5681840020407</v>
      </c>
      <c r="F89" s="10">
        <f t="shared" si="26"/>
        <v>10254.387942036634</v>
      </c>
      <c r="G89" s="10">
        <f t="shared" si="26"/>
        <v>13186.016666492618</v>
      </c>
      <c r="H89" s="10">
        <f t="shared" si="26"/>
        <v>16438.033104067097</v>
      </c>
      <c r="I89" s="10">
        <f t="shared" si="26"/>
        <v>20052.251470149666</v>
      </c>
      <c r="J89" s="10">
        <f t="shared" si="26"/>
        <v>24099.231959273086</v>
      </c>
      <c r="K89" s="10">
        <f t="shared" si="26"/>
        <v>28600.89591048743</v>
      </c>
      <c r="L89" s="10">
        <f t="shared" si="26"/>
        <v>33634.357004152473</v>
      </c>
    </row>
    <row r="90" spans="1:12">
      <c r="A90" s="5" t="s">
        <v>50</v>
      </c>
      <c r="B90" s="10">
        <f>B84-B88-B89</f>
        <v>-400000</v>
      </c>
      <c r="C90" s="10">
        <f t="shared" ref="C90:L90" si="27">C84-C88-C89</f>
        <v>25787.029126213587</v>
      </c>
      <c r="D90" s="10">
        <f t="shared" si="27"/>
        <v>29545.936657554903</v>
      </c>
      <c r="E90" s="10">
        <f t="shared" si="27"/>
        <v>33789.107984885515</v>
      </c>
      <c r="F90" s="10">
        <f t="shared" si="27"/>
        <v>38589.255870933601</v>
      </c>
      <c r="G90" s="10">
        <f t="shared" si="27"/>
        <v>44023.785283289501</v>
      </c>
      <c r="H90" s="10">
        <f t="shared" si="27"/>
        <v>50123.873557082043</v>
      </c>
      <c r="I90" s="10">
        <f t="shared" si="27"/>
        <v>56973.977151110332</v>
      </c>
      <c r="J90" s="10">
        <f t="shared" si="27"/>
        <v>64716.92836116648</v>
      </c>
      <c r="K90" s="10">
        <f t="shared" si="27"/>
        <v>73396.820283316716</v>
      </c>
      <c r="L90" s="10">
        <f t="shared" si="27"/>
        <v>83169.815245759208</v>
      </c>
    </row>
    <row r="91" spans="1:12">
      <c r="A91" s="28" t="s">
        <v>51</v>
      </c>
      <c r="B91" s="1">
        <f>B90+NPV(13%,C90:L90)</f>
        <v>-161491.13283168376</v>
      </c>
    </row>
    <row r="93" spans="1:12">
      <c r="A93" s="32" t="s">
        <v>55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</row>
    <row r="94" spans="1:12">
      <c r="A94" s="5" t="s">
        <v>7</v>
      </c>
      <c r="B94" s="5">
        <v>0</v>
      </c>
      <c r="C94" s="5">
        <v>1</v>
      </c>
      <c r="D94" s="5">
        <v>2</v>
      </c>
      <c r="E94" s="5">
        <v>3</v>
      </c>
      <c r="F94" s="5">
        <v>4</v>
      </c>
      <c r="G94" s="5">
        <v>5</v>
      </c>
      <c r="H94" s="5">
        <v>6</v>
      </c>
      <c r="I94" s="5">
        <v>7</v>
      </c>
      <c r="J94" s="5">
        <v>8</v>
      </c>
      <c r="K94" s="5">
        <v>9</v>
      </c>
      <c r="L94" s="5">
        <v>10</v>
      </c>
    </row>
    <row r="95" spans="1:12">
      <c r="A95" s="5" t="s">
        <v>44</v>
      </c>
      <c r="B95" s="3">
        <v>0</v>
      </c>
      <c r="C95" s="4">
        <v>0.03</v>
      </c>
      <c r="D95" s="4">
        <v>0.03</v>
      </c>
      <c r="E95" s="4">
        <v>0.03</v>
      </c>
      <c r="F95" s="4">
        <v>0.03</v>
      </c>
      <c r="G95" s="4">
        <v>0.03</v>
      </c>
      <c r="H95" s="4">
        <v>0.03</v>
      </c>
      <c r="I95" s="4">
        <v>0.03</v>
      </c>
      <c r="J95" s="4">
        <v>0.03</v>
      </c>
      <c r="K95" s="4">
        <v>0.03</v>
      </c>
      <c r="L95" s="4">
        <v>0.03</v>
      </c>
    </row>
    <row r="96" spans="1:12">
      <c r="A96" s="5" t="s">
        <v>12</v>
      </c>
      <c r="B96" s="10">
        <f>H29</f>
        <v>0</v>
      </c>
      <c r="C96" s="10">
        <f>G15*I15</f>
        <v>83300</v>
      </c>
      <c r="D96" s="10">
        <f>G16*I16</f>
        <v>96211.5</v>
      </c>
      <c r="E96" s="10">
        <f>G17*I17</f>
        <v>111124.28250000002</v>
      </c>
      <c r="F96" s="10">
        <f>G18*I18</f>
        <v>128389.87350000002</v>
      </c>
      <c r="G96" s="10">
        <f>G19*I19</f>
        <v>148406.02008750002</v>
      </c>
      <c r="H96" s="10">
        <f>G20*I20</f>
        <v>171469.70420343752</v>
      </c>
      <c r="I96" s="10">
        <f>G21*I21</f>
        <v>198063.45549309379</v>
      </c>
      <c r="J96" s="10">
        <f>G22*I22</f>
        <v>228897.24705476023</v>
      </c>
      <c r="K96" s="10">
        <f>G23*I23</f>
        <v>264429.06550759129</v>
      </c>
      <c r="L96" s="10">
        <f>G24*I24</f>
        <v>305526.33549588884</v>
      </c>
    </row>
    <row r="97" spans="1:12">
      <c r="A97" s="5" t="s">
        <v>29</v>
      </c>
      <c r="B97" s="10">
        <v>0</v>
      </c>
      <c r="C97" s="10">
        <f>4*7*$G$15</f>
        <v>19600</v>
      </c>
      <c r="D97" s="10">
        <f>K16*7*G16</f>
        <v>22271.48</v>
      </c>
      <c r="E97" s="10">
        <f>K17*7*G17</f>
        <v>25307.082723999996</v>
      </c>
      <c r="F97" s="10">
        <f>K18*7*G18</f>
        <v>28765.697443951995</v>
      </c>
      <c r="G97" s="10">
        <f>K19*7*G19</f>
        <v>32711.968413682473</v>
      </c>
      <c r="H97" s="10">
        <f>K20*7*G20</f>
        <v>37183.783768261281</v>
      </c>
      <c r="I97" s="10">
        <f>K21*7*G21</f>
        <v>42255.33569681707</v>
      </c>
      <c r="J97" s="10">
        <f>K22*7*G22</f>
        <v>48042.853740876046</v>
      </c>
      <c r="K97" s="10">
        <f>K23*7*G23</f>
        <v>54601.986059359711</v>
      </c>
      <c r="L97" s="10">
        <f>K24*7*G24</f>
        <v>62066.738295792718</v>
      </c>
    </row>
    <row r="98" spans="1:12">
      <c r="A98" s="5" t="s">
        <v>45</v>
      </c>
      <c r="B98" s="10">
        <v>0</v>
      </c>
      <c r="C98" s="10">
        <f>0.4*C96</f>
        <v>33320</v>
      </c>
      <c r="D98" s="10">
        <f t="shared" ref="D98:L98" si="28">0.4*D96</f>
        <v>38484.6</v>
      </c>
      <c r="E98" s="10">
        <f t="shared" si="28"/>
        <v>44449.713000000011</v>
      </c>
      <c r="F98" s="10">
        <f t="shared" si="28"/>
        <v>51355.949400000012</v>
      </c>
      <c r="G98" s="10">
        <f t="shared" si="28"/>
        <v>59362.408035000008</v>
      </c>
      <c r="H98" s="10">
        <f t="shared" si="28"/>
        <v>68587.881681375016</v>
      </c>
      <c r="I98" s="10">
        <f t="shared" si="28"/>
        <v>79225.382197237515</v>
      </c>
      <c r="J98" s="10">
        <f t="shared" si="28"/>
        <v>91558.898821904091</v>
      </c>
      <c r="K98" s="10">
        <f t="shared" si="28"/>
        <v>105771.62620303652</v>
      </c>
      <c r="L98" s="10">
        <f t="shared" si="28"/>
        <v>122210.53419835554</v>
      </c>
    </row>
    <row r="99" spans="1:12">
      <c r="A99" s="5" t="s">
        <v>46</v>
      </c>
      <c r="B99" s="10">
        <v>0</v>
      </c>
      <c r="C99" s="10">
        <f>C96-C97-C98</f>
        <v>30380</v>
      </c>
      <c r="D99" s="10">
        <f t="shared" ref="D99" si="29">D96-D97-D98</f>
        <v>35455.420000000006</v>
      </c>
      <c r="E99" s="10">
        <f t="shared" ref="E99" si="30">E96-E97-E98</f>
        <v>41367.486776000012</v>
      </c>
      <c r="F99" s="10">
        <f t="shared" ref="F99" si="31">F96-F97-F98</f>
        <v>48268.226656048006</v>
      </c>
      <c r="G99" s="10">
        <f t="shared" ref="G99" si="32">G96-G97-G98</f>
        <v>56331.643638817528</v>
      </c>
      <c r="H99" s="10">
        <f t="shared" ref="H99" si="33">H96-H97-H98</f>
        <v>65698.038753801215</v>
      </c>
      <c r="I99" s="10">
        <f t="shared" ref="I99" si="34">I96-I97-I98</f>
        <v>76582.737599039217</v>
      </c>
      <c r="J99" s="10">
        <f t="shared" ref="J99" si="35">J96-J97-J98</f>
        <v>89295.494491980091</v>
      </c>
      <c r="K99" s="10">
        <f t="shared" ref="K99" si="36">K96-K97-K98</f>
        <v>104055.45324519507</v>
      </c>
      <c r="L99" s="10">
        <f t="shared" ref="L99" si="37">L96-L97-L98</f>
        <v>121249.06300174058</v>
      </c>
    </row>
    <row r="100" spans="1:12">
      <c r="A100" s="5" t="s">
        <v>9</v>
      </c>
      <c r="B100" s="10">
        <v>0</v>
      </c>
      <c r="C100" s="10">
        <f>$C$15</f>
        <v>20000</v>
      </c>
      <c r="D100" s="10">
        <f t="shared" ref="D100:L100" si="38">$C$15</f>
        <v>20000</v>
      </c>
      <c r="E100" s="10">
        <f t="shared" si="38"/>
        <v>20000</v>
      </c>
      <c r="F100" s="10">
        <f t="shared" si="38"/>
        <v>20000</v>
      </c>
      <c r="G100" s="10">
        <f t="shared" si="38"/>
        <v>20000</v>
      </c>
      <c r="H100" s="10">
        <f t="shared" si="38"/>
        <v>20000</v>
      </c>
      <c r="I100" s="10">
        <f t="shared" si="38"/>
        <v>20000</v>
      </c>
      <c r="J100" s="10">
        <f t="shared" si="38"/>
        <v>20000</v>
      </c>
      <c r="K100" s="10">
        <f t="shared" si="38"/>
        <v>20000</v>
      </c>
      <c r="L100" s="10">
        <f t="shared" si="38"/>
        <v>20000</v>
      </c>
    </row>
    <row r="101" spans="1:12">
      <c r="A101" s="5" t="s">
        <v>47</v>
      </c>
      <c r="B101" s="10">
        <v>0</v>
      </c>
      <c r="C101" s="10">
        <f>C99-C100</f>
        <v>10380</v>
      </c>
      <c r="D101" s="10">
        <f t="shared" ref="D101" si="39">D99-D100</f>
        <v>15455.420000000006</v>
      </c>
      <c r="E101" s="10">
        <f t="shared" ref="E101" si="40">E99-E100</f>
        <v>21367.486776000012</v>
      </c>
      <c r="F101" s="10">
        <f t="shared" ref="F101" si="41">F99-F100</f>
        <v>28268.226656048006</v>
      </c>
      <c r="G101" s="10">
        <f t="shared" ref="G101" si="42">G99-G100</f>
        <v>36331.643638817528</v>
      </c>
      <c r="H101" s="10">
        <f t="shared" ref="H101" si="43">H99-H100</f>
        <v>45698.038753801215</v>
      </c>
      <c r="I101" s="10">
        <f t="shared" ref="I101" si="44">I99-I100</f>
        <v>56582.737599039217</v>
      </c>
      <c r="J101" s="10">
        <f t="shared" ref="J101" si="45">J99-J100</f>
        <v>69295.494491980091</v>
      </c>
      <c r="K101" s="10">
        <f t="shared" ref="K101" si="46">K99-K100</f>
        <v>84055.453245195065</v>
      </c>
      <c r="L101" s="10">
        <f t="shared" ref="L101" si="47">L99-L100</f>
        <v>101249.06300174058</v>
      </c>
    </row>
    <row r="102" spans="1:12">
      <c r="A102" s="5" t="s">
        <v>9</v>
      </c>
      <c r="B102" s="10">
        <v>0</v>
      </c>
      <c r="C102" s="10">
        <f>C100</f>
        <v>20000</v>
      </c>
      <c r="D102" s="10">
        <f t="shared" ref="D102:L102" si="48">D100</f>
        <v>20000</v>
      </c>
      <c r="E102" s="10">
        <f t="shared" si="48"/>
        <v>20000</v>
      </c>
      <c r="F102" s="10">
        <f t="shared" si="48"/>
        <v>20000</v>
      </c>
      <c r="G102" s="10">
        <f t="shared" si="48"/>
        <v>20000</v>
      </c>
      <c r="H102" s="10">
        <f t="shared" si="48"/>
        <v>20000</v>
      </c>
      <c r="I102" s="10">
        <f t="shared" si="48"/>
        <v>20000</v>
      </c>
      <c r="J102" s="10">
        <f t="shared" si="48"/>
        <v>20000</v>
      </c>
      <c r="K102" s="10">
        <f t="shared" si="48"/>
        <v>20000</v>
      </c>
      <c r="L102" s="10">
        <f t="shared" si="48"/>
        <v>20000</v>
      </c>
    </row>
    <row r="103" spans="1:12">
      <c r="A103" s="5" t="s">
        <v>48</v>
      </c>
      <c r="B103" s="10">
        <v>400000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</row>
    <row r="104" spans="1:12">
      <c r="A104" s="5" t="s">
        <v>49</v>
      </c>
      <c r="B104" s="10">
        <v>0</v>
      </c>
      <c r="C104" s="10">
        <f>$B$1*C101</f>
        <v>3425.4</v>
      </c>
      <c r="D104" s="10">
        <f t="shared" ref="D104:L104" si="49">$B$1*D101</f>
        <v>5100.2886000000017</v>
      </c>
      <c r="E104" s="10">
        <f t="shared" si="49"/>
        <v>7051.2706360800048</v>
      </c>
      <c r="F104" s="10">
        <f t="shared" si="49"/>
        <v>9328.5147964958414</v>
      </c>
      <c r="G104" s="10">
        <f t="shared" si="49"/>
        <v>11989.442400809785</v>
      </c>
      <c r="H104" s="10">
        <f t="shared" si="49"/>
        <v>15080.352788754402</v>
      </c>
      <c r="I104" s="10">
        <f t="shared" si="49"/>
        <v>18672.303407682943</v>
      </c>
      <c r="J104" s="10">
        <f t="shared" si="49"/>
        <v>22867.513182353432</v>
      </c>
      <c r="K104" s="10">
        <f t="shared" si="49"/>
        <v>27738.299570914372</v>
      </c>
      <c r="L104" s="10">
        <f t="shared" si="49"/>
        <v>33412.190790574394</v>
      </c>
    </row>
    <row r="105" spans="1:12">
      <c r="A105" s="5" t="s">
        <v>50</v>
      </c>
      <c r="B105" s="10">
        <f>B99-B103-B104</f>
        <v>-400000</v>
      </c>
      <c r="C105" s="10">
        <f t="shared" ref="C105" si="50">C99-C103-C104</f>
        <v>26954.6</v>
      </c>
      <c r="D105" s="10">
        <f t="shared" ref="D105" si="51">D99-D103-D104</f>
        <v>30355.131400000006</v>
      </c>
      <c r="E105" s="10">
        <f t="shared" ref="E105" si="52">E99-E103-E104</f>
        <v>34316.216139920005</v>
      </c>
      <c r="F105" s="10">
        <f t="shared" ref="F105" si="53">F99-F103-F104</f>
        <v>38939.711859552161</v>
      </c>
      <c r="G105" s="10">
        <f t="shared" ref="G105" si="54">G99-G103-G104</f>
        <v>44342.201238007743</v>
      </c>
      <c r="H105" s="10">
        <f t="shared" ref="H105" si="55">H99-H103-H104</f>
        <v>50617.68596504681</v>
      </c>
      <c r="I105" s="10">
        <f t="shared" ref="I105" si="56">I99-I103-I104</f>
        <v>57910.434191356275</v>
      </c>
      <c r="J105" s="10">
        <f t="shared" ref="J105" si="57">J99-J103-J104</f>
        <v>66427.981309626659</v>
      </c>
      <c r="K105" s="10">
        <f t="shared" ref="K105" si="58">K99-K103-K104</f>
        <v>76317.153674280693</v>
      </c>
      <c r="L105" s="10">
        <f t="shared" ref="L105" si="59">L99-L103-L104</f>
        <v>87836.872211166192</v>
      </c>
    </row>
    <row r="106" spans="1:12">
      <c r="A106" s="28" t="s">
        <v>51</v>
      </c>
      <c r="B106" s="1">
        <f>B105+NPV(13%,C105:L105)</f>
        <v>-155445.22603762176</v>
      </c>
    </row>
    <row r="108" spans="1:12">
      <c r="A108" s="9" t="s">
        <v>52</v>
      </c>
      <c r="B108">
        <v>100</v>
      </c>
      <c r="C108">
        <f>B108*(1+$B$2)</f>
        <v>103</v>
      </c>
      <c r="D108">
        <f t="shared" ref="D108:L108" si="60">C108*(1+$B$2)</f>
        <v>106.09</v>
      </c>
      <c r="E108">
        <f t="shared" si="60"/>
        <v>109.2727</v>
      </c>
      <c r="F108">
        <f t="shared" si="60"/>
        <v>112.550881</v>
      </c>
      <c r="G108">
        <f t="shared" si="60"/>
        <v>115.92740743</v>
      </c>
      <c r="H108">
        <f t="shared" si="60"/>
        <v>119.4052296529</v>
      </c>
      <c r="I108">
        <f t="shared" si="60"/>
        <v>122.987386542487</v>
      </c>
      <c r="J108">
        <f t="shared" si="60"/>
        <v>126.67700813876162</v>
      </c>
      <c r="K108">
        <f t="shared" si="60"/>
        <v>130.47731838292447</v>
      </c>
      <c r="L108">
        <f t="shared" si="60"/>
        <v>134.39163793441222</v>
      </c>
    </row>
    <row r="109" spans="1:12">
      <c r="A109" s="9" t="s">
        <v>53</v>
      </c>
      <c r="B109">
        <v>1</v>
      </c>
      <c r="C109">
        <f>C108/$B$108</f>
        <v>1.03</v>
      </c>
      <c r="D109">
        <f t="shared" ref="D109:L109" si="61">D108/$B$108</f>
        <v>1.0609</v>
      </c>
      <c r="E109">
        <f t="shared" si="61"/>
        <v>1.092727</v>
      </c>
      <c r="F109">
        <f t="shared" si="61"/>
        <v>1.1255088100000001</v>
      </c>
      <c r="G109">
        <f t="shared" si="61"/>
        <v>1.1592740743000001</v>
      </c>
      <c r="H109">
        <f t="shared" si="61"/>
        <v>1.1940522965290001</v>
      </c>
      <c r="I109">
        <f t="shared" si="61"/>
        <v>1.22987386542487</v>
      </c>
      <c r="J109">
        <f t="shared" si="61"/>
        <v>1.2667700813876162</v>
      </c>
      <c r="K109">
        <f t="shared" si="61"/>
        <v>1.3047731838292447</v>
      </c>
      <c r="L109">
        <f t="shared" si="61"/>
        <v>1.3439163793441222</v>
      </c>
    </row>
    <row r="113" spans="2:2">
      <c r="B113" s="1">
        <v>4000000</v>
      </c>
    </row>
    <row r="114" spans="2:2">
      <c r="B114">
        <f>B113*(1-B2)</f>
        <v>3880000</v>
      </c>
    </row>
    <row r="115" spans="2:2">
      <c r="B115">
        <f>B114*(1-$B$2)</f>
        <v>3763600</v>
      </c>
    </row>
    <row r="116" spans="2:2">
      <c r="B116">
        <f t="shared" ref="B116:B118" si="62">B115*(1-$B$2)</f>
        <v>3650692</v>
      </c>
    </row>
    <row r="117" spans="2:2">
      <c r="B117">
        <f t="shared" si="62"/>
        <v>3541171.2399999998</v>
      </c>
    </row>
    <row r="118" spans="2:2">
      <c r="B118">
        <f t="shared" si="62"/>
        <v>3434936.1027999995</v>
      </c>
    </row>
  </sheetData>
  <mergeCells count="8">
    <mergeCell ref="A78:L78"/>
    <mergeCell ref="A93:L93"/>
    <mergeCell ref="A12:E12"/>
    <mergeCell ref="A63:D63"/>
    <mergeCell ref="A69:D69"/>
    <mergeCell ref="C70:D73"/>
    <mergeCell ref="C64:D66"/>
    <mergeCell ref="C43:D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abSelected="1" topLeftCell="I40" workbookViewId="0">
      <selection activeCell="K61" sqref="K61"/>
    </sheetView>
  </sheetViews>
  <sheetFormatPr baseColWidth="10" defaultColWidth="23.6640625" defaultRowHeight="15" x14ac:dyDescent="0"/>
  <sheetData>
    <row r="2" spans="1:9">
      <c r="A2" s="5" t="s">
        <v>58</v>
      </c>
      <c r="B2" s="22">
        <v>0.05</v>
      </c>
    </row>
    <row r="3" spans="1:9">
      <c r="A3" s="5" t="s">
        <v>59</v>
      </c>
      <c r="B3" s="27">
        <f>(1+B2)/(1+3%)-1</f>
        <v>1.9417475728155331E-2</v>
      </c>
    </row>
    <row r="4" spans="1:9">
      <c r="A4" s="5" t="s">
        <v>7</v>
      </c>
      <c r="B4" s="5" t="s">
        <v>13</v>
      </c>
      <c r="C4" s="5" t="s">
        <v>60</v>
      </c>
      <c r="D4" s="5" t="s">
        <v>61</v>
      </c>
    </row>
    <row r="5" spans="1:9">
      <c r="A5" s="3">
        <v>0</v>
      </c>
      <c r="B5" s="3">
        <v>0</v>
      </c>
      <c r="C5" s="10">
        <v>0</v>
      </c>
      <c r="D5" s="10">
        <v>0</v>
      </c>
    </row>
    <row r="6" spans="1:9">
      <c r="A6" s="3">
        <v>1</v>
      </c>
      <c r="B6" s="3">
        <v>700</v>
      </c>
      <c r="C6" s="10">
        <f>119/(1+3%)</f>
        <v>115.53398058252426</v>
      </c>
      <c r="D6" s="10">
        <v>119</v>
      </c>
    </row>
    <row r="7" spans="1:9">
      <c r="A7" s="3">
        <v>2</v>
      </c>
      <c r="B7" s="3">
        <f>ROUNDUP(B6*(1+0.1), 0)</f>
        <v>770</v>
      </c>
      <c r="C7" s="10">
        <f>C6*(1+$B$3)</f>
        <v>117.7773588462626</v>
      </c>
      <c r="D7" s="10">
        <f>D6*(1+$B$2)</f>
        <v>124.95</v>
      </c>
    </row>
    <row r="8" spans="1:9">
      <c r="A8" s="3">
        <v>3</v>
      </c>
      <c r="B8" s="3">
        <f t="shared" ref="B8:B15" si="0">ROUNDUP(B7*(1+0.1), 0)</f>
        <v>847</v>
      </c>
      <c r="C8" s="10">
        <f t="shared" ref="C8:C15" si="1">C7*(1+$B$3)</f>
        <v>120.06429785298614</v>
      </c>
      <c r="D8" s="10">
        <f t="shared" ref="D8:D15" si="2">D7*(1+$B$2)</f>
        <v>131.19750000000002</v>
      </c>
      <c r="G8" s="5" t="s">
        <v>58</v>
      </c>
      <c r="H8" s="22">
        <v>0.05</v>
      </c>
    </row>
    <row r="9" spans="1:9">
      <c r="A9" s="3">
        <v>4</v>
      </c>
      <c r="B9" s="3">
        <f t="shared" si="0"/>
        <v>932</v>
      </c>
      <c r="C9" s="10">
        <f t="shared" si="1"/>
        <v>122.39564344236452</v>
      </c>
      <c r="D9" s="10">
        <f t="shared" si="2"/>
        <v>137.75737500000002</v>
      </c>
      <c r="G9" s="5" t="s">
        <v>59</v>
      </c>
      <c r="H9" s="27">
        <f>(1+H8)/(1+3%)-1</f>
        <v>1.9417475728155331E-2</v>
      </c>
    </row>
    <row r="10" spans="1:9">
      <c r="A10" s="3">
        <v>5</v>
      </c>
      <c r="B10" s="3">
        <f t="shared" si="0"/>
        <v>1026</v>
      </c>
      <c r="C10" s="10">
        <f t="shared" si="1"/>
        <v>124.77225787813859</v>
      </c>
      <c r="D10" s="10">
        <f t="shared" si="2"/>
        <v>144.64524375000002</v>
      </c>
      <c r="G10" s="5" t="s">
        <v>7</v>
      </c>
      <c r="H10" s="5" t="s">
        <v>13</v>
      </c>
      <c r="I10" s="5" t="s">
        <v>61</v>
      </c>
    </row>
    <row r="11" spans="1:9">
      <c r="A11" s="3">
        <v>6</v>
      </c>
      <c r="B11" s="3">
        <f t="shared" si="0"/>
        <v>1129</v>
      </c>
      <c r="C11" s="10">
        <f t="shared" si="1"/>
        <v>127.19502016703449</v>
      </c>
      <c r="D11" s="10">
        <f t="shared" si="2"/>
        <v>151.87750593750002</v>
      </c>
      <c r="F11">
        <f>4*7</f>
        <v>28</v>
      </c>
      <c r="G11" s="3">
        <v>0</v>
      </c>
      <c r="H11" s="3">
        <v>0</v>
      </c>
      <c r="I11" s="10">
        <v>0</v>
      </c>
    </row>
    <row r="12" spans="1:9">
      <c r="A12" s="3">
        <v>7</v>
      </c>
      <c r="B12" s="3">
        <f t="shared" si="0"/>
        <v>1242</v>
      </c>
      <c r="C12" s="10">
        <f t="shared" si="1"/>
        <v>129.66482638387009</v>
      </c>
      <c r="D12" s="10">
        <f t="shared" si="2"/>
        <v>159.47138123437503</v>
      </c>
      <c r="G12" s="3">
        <v>1</v>
      </c>
      <c r="H12" s="3">
        <v>700</v>
      </c>
      <c r="I12" s="10">
        <v>119</v>
      </c>
    </row>
    <row r="13" spans="1:9">
      <c r="A13" s="3">
        <v>8</v>
      </c>
      <c r="B13" s="3">
        <f t="shared" si="0"/>
        <v>1367</v>
      </c>
      <c r="C13" s="10">
        <f t="shared" si="1"/>
        <v>132.18259000297437</v>
      </c>
      <c r="D13" s="10">
        <f t="shared" si="2"/>
        <v>167.44495029609379</v>
      </c>
      <c r="G13" s="3">
        <v>2</v>
      </c>
      <c r="H13" s="3">
        <f>ROUNDUP(H12*(1+0.1), 0)</f>
        <v>770</v>
      </c>
      <c r="I13" s="10">
        <f>I12*(1+$B$2)</f>
        <v>124.95</v>
      </c>
    </row>
    <row r="14" spans="1:9">
      <c r="A14" s="3">
        <v>9</v>
      </c>
      <c r="B14" s="3">
        <f t="shared" si="0"/>
        <v>1504</v>
      </c>
      <c r="C14" s="10">
        <f t="shared" si="1"/>
        <v>134.74924223604182</v>
      </c>
      <c r="D14" s="10">
        <f t="shared" si="2"/>
        <v>175.81719781089848</v>
      </c>
      <c r="G14" s="3">
        <v>3</v>
      </c>
      <c r="H14" s="3">
        <f t="shared" ref="H14:H21" si="3">ROUNDUP(H13*(1+0.1), 0)</f>
        <v>847</v>
      </c>
      <c r="I14" s="10">
        <f t="shared" ref="I14:I21" si="4">I13*(1+$B$2)</f>
        <v>131.19750000000002</v>
      </c>
    </row>
    <row r="15" spans="1:9">
      <c r="A15" s="3">
        <v>10</v>
      </c>
      <c r="B15" s="3">
        <f t="shared" si="0"/>
        <v>1655</v>
      </c>
      <c r="C15" s="10">
        <f t="shared" si="1"/>
        <v>137.3657323765475</v>
      </c>
      <c r="D15" s="10">
        <f t="shared" si="2"/>
        <v>184.60805770144341</v>
      </c>
      <c r="G15" s="3">
        <v>4</v>
      </c>
      <c r="H15" s="3">
        <f t="shared" si="3"/>
        <v>932</v>
      </c>
      <c r="I15" s="10">
        <f t="shared" si="4"/>
        <v>137.75737500000002</v>
      </c>
    </row>
    <row r="16" spans="1:9">
      <c r="G16" s="3">
        <v>5</v>
      </c>
      <c r="H16" s="3">
        <f t="shared" si="3"/>
        <v>1026</v>
      </c>
      <c r="I16" s="10">
        <f t="shared" si="4"/>
        <v>144.64524375000002</v>
      </c>
    </row>
    <row r="17" spans="1:9">
      <c r="A17" s="5" t="s">
        <v>62</v>
      </c>
      <c r="B17" s="10">
        <f>4</f>
        <v>4</v>
      </c>
      <c r="G17" s="3">
        <v>6</v>
      </c>
      <c r="H17" s="3">
        <f t="shared" si="3"/>
        <v>1129</v>
      </c>
      <c r="I17" s="10">
        <f t="shared" si="4"/>
        <v>151.87750593750002</v>
      </c>
    </row>
    <row r="18" spans="1:9">
      <c r="A18" s="5" t="s">
        <v>7</v>
      </c>
      <c r="B18" s="5" t="s">
        <v>56</v>
      </c>
      <c r="C18" s="5" t="s">
        <v>57</v>
      </c>
      <c r="E18" s="5" t="s">
        <v>7</v>
      </c>
      <c r="F18" s="5" t="s">
        <v>57</v>
      </c>
      <c r="G18" s="3">
        <v>7</v>
      </c>
      <c r="H18" s="3">
        <f t="shared" si="3"/>
        <v>1242</v>
      </c>
      <c r="I18" s="10">
        <f t="shared" si="4"/>
        <v>159.47138123437503</v>
      </c>
    </row>
    <row r="19" spans="1:9">
      <c r="A19" s="3">
        <v>0</v>
      </c>
      <c r="B19" s="10">
        <v>0</v>
      </c>
      <c r="C19" s="10">
        <v>0</v>
      </c>
      <c r="E19" s="3">
        <v>0</v>
      </c>
      <c r="F19" s="10">
        <v>0</v>
      </c>
      <c r="G19" s="3">
        <v>8</v>
      </c>
      <c r="H19" s="3">
        <f t="shared" si="3"/>
        <v>1367</v>
      </c>
      <c r="I19" s="10">
        <f t="shared" si="4"/>
        <v>167.44495029609379</v>
      </c>
    </row>
    <row r="20" spans="1:9">
      <c r="A20" s="3">
        <v>1</v>
      </c>
      <c r="B20" s="10">
        <f>$B$17*7/(1+3%)</f>
        <v>27.184466019417474</v>
      </c>
      <c r="C20" s="10">
        <f>$B$17*7</f>
        <v>28</v>
      </c>
      <c r="E20" s="3">
        <v>1</v>
      </c>
      <c r="F20" s="10">
        <f>$B$17*7</f>
        <v>28</v>
      </c>
      <c r="G20" s="3">
        <v>9</v>
      </c>
      <c r="H20" s="3">
        <f t="shared" si="3"/>
        <v>1504</v>
      </c>
      <c r="I20" s="10">
        <f t="shared" si="4"/>
        <v>175.81719781089848</v>
      </c>
    </row>
    <row r="21" spans="1:9">
      <c r="A21" s="3">
        <v>2</v>
      </c>
      <c r="B21" s="10">
        <f>B20*(1+3%)</f>
        <v>28</v>
      </c>
      <c r="C21" s="10">
        <f>C20*(1+$D$21)</f>
        <v>29.705199999999998</v>
      </c>
      <c r="D21" s="49">
        <f>(1+3%)*(1+3%)-1</f>
        <v>6.0899999999999954E-2</v>
      </c>
      <c r="E21" s="3">
        <v>2</v>
      </c>
      <c r="F21" s="10">
        <f>F20*(1+$D$21)</f>
        <v>29.705199999999998</v>
      </c>
      <c r="G21" s="3">
        <v>10</v>
      </c>
      <c r="H21" s="3">
        <f t="shared" si="3"/>
        <v>1655</v>
      </c>
      <c r="I21" s="10">
        <f t="shared" si="4"/>
        <v>184.60805770144341</v>
      </c>
    </row>
    <row r="22" spans="1:9">
      <c r="A22" s="3">
        <v>3</v>
      </c>
      <c r="B22" s="10">
        <f t="shared" ref="B22:B29" si="5">B21*(1+3%)</f>
        <v>28.84</v>
      </c>
      <c r="C22" s="10">
        <f t="shared" ref="C22:C29" si="6">C21*(1+$D$21)</f>
        <v>31.514246679999996</v>
      </c>
      <c r="E22" s="3">
        <v>3</v>
      </c>
      <c r="F22" s="10">
        <f t="shared" ref="F22:F29" si="7">F21*(1+$D$21)</f>
        <v>31.514246679999996</v>
      </c>
    </row>
    <row r="23" spans="1:9">
      <c r="A23" s="3">
        <v>4</v>
      </c>
      <c r="B23" s="10">
        <f t="shared" si="5"/>
        <v>29.705200000000001</v>
      </c>
      <c r="C23" s="10">
        <f t="shared" si="6"/>
        <v>33.433464302811991</v>
      </c>
      <c r="E23" s="3">
        <v>4</v>
      </c>
      <c r="F23" s="10">
        <f t="shared" si="7"/>
        <v>33.433464302811991</v>
      </c>
    </row>
    <row r="24" spans="1:9">
      <c r="A24" s="3">
        <v>5</v>
      </c>
      <c r="B24" s="10">
        <f t="shared" si="5"/>
        <v>30.596356000000004</v>
      </c>
      <c r="C24" s="10">
        <f t="shared" si="6"/>
        <v>35.469562278853239</v>
      </c>
      <c r="E24" s="3">
        <v>5</v>
      </c>
      <c r="F24" s="10">
        <f t="shared" si="7"/>
        <v>35.469562278853239</v>
      </c>
    </row>
    <row r="25" spans="1:9">
      <c r="A25" s="3">
        <v>6</v>
      </c>
      <c r="B25" s="10">
        <f t="shared" si="5"/>
        <v>31.514246680000003</v>
      </c>
      <c r="C25" s="10">
        <f t="shared" si="6"/>
        <v>37.6296586216354</v>
      </c>
      <c r="E25" s="3">
        <v>6</v>
      </c>
      <c r="F25" s="10">
        <f t="shared" si="7"/>
        <v>37.6296586216354</v>
      </c>
    </row>
    <row r="26" spans="1:9">
      <c r="A26" s="3">
        <v>7</v>
      </c>
      <c r="B26" s="10">
        <f t="shared" si="5"/>
        <v>32.459674080400006</v>
      </c>
      <c r="C26" s="10">
        <f t="shared" si="6"/>
        <v>39.921304831692993</v>
      </c>
      <c r="E26" s="3">
        <v>7</v>
      </c>
      <c r="F26" s="10">
        <f t="shared" si="7"/>
        <v>39.921304831692993</v>
      </c>
    </row>
    <row r="27" spans="1:9">
      <c r="A27" s="3">
        <v>8</v>
      </c>
      <c r="B27" s="10">
        <f t="shared" si="5"/>
        <v>33.433464302812006</v>
      </c>
      <c r="C27" s="10">
        <f t="shared" si="6"/>
        <v>42.352512295943093</v>
      </c>
      <c r="E27" s="3">
        <v>8</v>
      </c>
      <c r="F27" s="10">
        <f t="shared" si="7"/>
        <v>42.352512295943093</v>
      </c>
    </row>
    <row r="28" spans="1:9">
      <c r="A28" s="3">
        <v>9</v>
      </c>
      <c r="B28" s="10">
        <f t="shared" si="5"/>
        <v>34.436468231896363</v>
      </c>
      <c r="C28" s="10">
        <f t="shared" si="6"/>
        <v>44.931780294766028</v>
      </c>
      <c r="E28" s="3">
        <v>9</v>
      </c>
      <c r="F28" s="10">
        <f t="shared" si="7"/>
        <v>44.931780294766028</v>
      </c>
    </row>
    <row r="29" spans="1:9">
      <c r="A29" s="3">
        <v>10</v>
      </c>
      <c r="B29" s="10">
        <f t="shared" si="5"/>
        <v>35.469562278853253</v>
      </c>
      <c r="C29" s="10">
        <f t="shared" si="6"/>
        <v>47.668125714717277</v>
      </c>
      <c r="E29" s="3">
        <v>10</v>
      </c>
      <c r="F29" s="10">
        <f t="shared" si="7"/>
        <v>47.668125714717277</v>
      </c>
    </row>
    <row r="33" spans="1:12">
      <c r="A33" s="5" t="s">
        <v>7</v>
      </c>
      <c r="B33" s="5" t="s">
        <v>12</v>
      </c>
      <c r="C33" s="5" t="s">
        <v>29</v>
      </c>
      <c r="D33" s="5" t="s">
        <v>63</v>
      </c>
      <c r="E33" s="5" t="s">
        <v>46</v>
      </c>
      <c r="F33" s="5" t="s">
        <v>9</v>
      </c>
      <c r="G33" s="5" t="s">
        <v>47</v>
      </c>
      <c r="H33" s="5" t="s">
        <v>48</v>
      </c>
      <c r="I33" s="5" t="s">
        <v>49</v>
      </c>
      <c r="J33" s="5" t="s">
        <v>50</v>
      </c>
    </row>
    <row r="34" spans="1:12">
      <c r="A34" s="8">
        <v>0</v>
      </c>
      <c r="B34" s="10">
        <f>C5</f>
        <v>0</v>
      </c>
      <c r="C34" s="10">
        <f>B19</f>
        <v>0</v>
      </c>
      <c r="D34" s="10">
        <f>0.4*B34</f>
        <v>0</v>
      </c>
      <c r="E34" s="10">
        <f>B34-C34-D34</f>
        <v>0</v>
      </c>
      <c r="F34" s="10">
        <v>0</v>
      </c>
      <c r="G34" s="10">
        <f>E34-F34</f>
        <v>0</v>
      </c>
      <c r="H34" s="10">
        <v>400000</v>
      </c>
      <c r="I34" s="10">
        <f>0.33*G34</f>
        <v>0</v>
      </c>
      <c r="J34" s="10">
        <f>E34-H34-I34</f>
        <v>-400000</v>
      </c>
    </row>
    <row r="35" spans="1:12">
      <c r="A35" s="8">
        <v>1</v>
      </c>
      <c r="B35" s="10">
        <f>C6*B6</f>
        <v>80873.78640776698</v>
      </c>
      <c r="C35" s="10">
        <f>B20*B6</f>
        <v>19029.126213592233</v>
      </c>
      <c r="D35" s="10">
        <f>0.4*C35</f>
        <v>7611.6504854368941</v>
      </c>
      <c r="E35" s="10">
        <f>B35-C35-D35</f>
        <v>54233.009708737853</v>
      </c>
      <c r="F35" s="10">
        <f>20000/(1+3%)</f>
        <v>19417.475728155339</v>
      </c>
      <c r="G35" s="10">
        <f>E35-F35</f>
        <v>34815.533980582513</v>
      </c>
      <c r="H35" s="10">
        <v>0</v>
      </c>
      <c r="I35" s="10">
        <f>0.33*G35</f>
        <v>11489.12621359223</v>
      </c>
      <c r="J35" s="10">
        <f>E35-H35-I35</f>
        <v>42743.883495145623</v>
      </c>
    </row>
    <row r="36" spans="1:12">
      <c r="A36" s="8">
        <v>2</v>
      </c>
      <c r="B36" s="10">
        <f>C7*B7</f>
        <v>90688.566311622199</v>
      </c>
      <c r="C36" s="10">
        <f t="shared" ref="C36:C44" si="8">B21*B7</f>
        <v>21560</v>
      </c>
      <c r="D36" s="10">
        <f t="shared" ref="D36:D44" si="9">0.4*C36</f>
        <v>8624</v>
      </c>
      <c r="E36" s="10">
        <f>B36-C36-D36</f>
        <v>60504.566311622199</v>
      </c>
      <c r="F36" s="10">
        <f>F35/(1+3%)</f>
        <v>18851.918182675086</v>
      </c>
      <c r="G36" s="10">
        <f>E36-F36</f>
        <v>41652.648128947112</v>
      </c>
      <c r="H36" s="10">
        <v>0</v>
      </c>
      <c r="I36" s="10">
        <f>0.33*G36</f>
        <v>13745.373882552547</v>
      </c>
      <c r="J36" s="10">
        <f>E36-H36-I36</f>
        <v>46759.192429069648</v>
      </c>
    </row>
    <row r="37" spans="1:12">
      <c r="A37" s="8">
        <v>3</v>
      </c>
      <c r="B37" s="10">
        <f t="shared" ref="B37:B44" si="10">C8*B8</f>
        <v>101694.46028147926</v>
      </c>
      <c r="C37" s="10">
        <f t="shared" si="8"/>
        <v>24427.48</v>
      </c>
      <c r="D37" s="10">
        <f t="shared" si="9"/>
        <v>9770.9920000000002</v>
      </c>
      <c r="E37" s="10">
        <f t="shared" ref="E37:E44" si="11">B37-C37-D37</f>
        <v>67495.988281479265</v>
      </c>
      <c r="F37" s="10">
        <f t="shared" ref="F37:F44" si="12">F36/(1+3%)</f>
        <v>18302.833187063192</v>
      </c>
      <c r="G37" s="10">
        <f t="shared" ref="G37:G44" si="13">E37-F37</f>
        <v>49193.15509441607</v>
      </c>
      <c r="H37" s="10">
        <v>0</v>
      </c>
      <c r="I37" s="10">
        <f t="shared" ref="I37:I44" si="14">0.33*G37</f>
        <v>16233.741181157304</v>
      </c>
      <c r="J37" s="10">
        <f t="shared" ref="J37:J44" si="15">E37-H37-I37</f>
        <v>51262.247100321962</v>
      </c>
    </row>
    <row r="38" spans="1:12">
      <c r="A38" s="8">
        <v>4</v>
      </c>
      <c r="B38" s="10">
        <f t="shared" si="10"/>
        <v>114072.73968828373</v>
      </c>
      <c r="C38" s="10">
        <f t="shared" si="8"/>
        <v>27685.2464</v>
      </c>
      <c r="D38" s="10">
        <f t="shared" si="9"/>
        <v>11074.09856</v>
      </c>
      <c r="E38" s="10">
        <f t="shared" si="11"/>
        <v>75313.394728283733</v>
      </c>
      <c r="F38" s="10">
        <f t="shared" si="12"/>
        <v>17769.740958313778</v>
      </c>
      <c r="G38" s="10">
        <f t="shared" si="13"/>
        <v>57543.653769969955</v>
      </c>
      <c r="H38" s="10">
        <v>0</v>
      </c>
      <c r="I38" s="10">
        <f t="shared" si="14"/>
        <v>18989.405744090087</v>
      </c>
      <c r="J38" s="10">
        <f t="shared" si="15"/>
        <v>56323.988984193646</v>
      </c>
    </row>
    <row r="39" spans="1:12">
      <c r="A39" s="8">
        <v>5</v>
      </c>
      <c r="B39" s="10">
        <f t="shared" si="10"/>
        <v>128016.33658297019</v>
      </c>
      <c r="C39" s="10">
        <f t="shared" si="8"/>
        <v>31391.861256000004</v>
      </c>
      <c r="D39" s="10">
        <f t="shared" si="9"/>
        <v>12556.744502400003</v>
      </c>
      <c r="E39" s="10">
        <f t="shared" si="11"/>
        <v>84067.730824570186</v>
      </c>
      <c r="F39" s="10">
        <f t="shared" si="12"/>
        <v>17252.175687683281</v>
      </c>
      <c r="G39" s="10">
        <f t="shared" si="13"/>
        <v>66815.555136886906</v>
      </c>
      <c r="H39" s="10">
        <v>0</v>
      </c>
      <c r="I39" s="10">
        <f t="shared" si="14"/>
        <v>22049.133195172679</v>
      </c>
      <c r="J39" s="10">
        <f t="shared" si="15"/>
        <v>62018.597629397511</v>
      </c>
    </row>
    <row r="40" spans="1:12">
      <c r="A40" s="8">
        <v>6</v>
      </c>
      <c r="B40" s="10">
        <f t="shared" si="10"/>
        <v>143603.17776858193</v>
      </c>
      <c r="C40" s="10">
        <f t="shared" si="8"/>
        <v>35579.584501720004</v>
      </c>
      <c r="D40" s="10">
        <f t="shared" si="9"/>
        <v>14231.833800688002</v>
      </c>
      <c r="E40" s="10">
        <f t="shared" si="11"/>
        <v>93791.759466173913</v>
      </c>
      <c r="F40" s="10">
        <f t="shared" si="12"/>
        <v>16749.685133673087</v>
      </c>
      <c r="G40" s="10">
        <f t="shared" si="13"/>
        <v>77042.074332500822</v>
      </c>
      <c r="H40" s="10">
        <v>0</v>
      </c>
      <c r="I40" s="10">
        <f t="shared" si="14"/>
        <v>25423.884529725274</v>
      </c>
      <c r="J40" s="10">
        <f t="shared" si="15"/>
        <v>68367.874936448643</v>
      </c>
    </row>
    <row r="41" spans="1:12">
      <c r="A41" s="8">
        <v>7</v>
      </c>
      <c r="B41" s="10">
        <f t="shared" si="10"/>
        <v>161043.71436876667</v>
      </c>
      <c r="C41" s="10">
        <f t="shared" si="8"/>
        <v>40314.915207856808</v>
      </c>
      <c r="D41" s="10">
        <f t="shared" si="9"/>
        <v>16125.966083142725</v>
      </c>
      <c r="E41" s="10">
        <f t="shared" si="11"/>
        <v>104602.83307776714</v>
      </c>
      <c r="F41" s="10">
        <f t="shared" si="12"/>
        <v>16261.830226867074</v>
      </c>
      <c r="G41" s="10">
        <f t="shared" si="13"/>
        <v>88341.002850900055</v>
      </c>
      <c r="H41" s="10">
        <v>0</v>
      </c>
      <c r="I41" s="10">
        <f t="shared" si="14"/>
        <v>29152.53094079702</v>
      </c>
      <c r="J41" s="10">
        <f t="shared" si="15"/>
        <v>75450.302136970116</v>
      </c>
    </row>
    <row r="42" spans="1:12">
      <c r="A42" s="8">
        <v>8</v>
      </c>
      <c r="B42" s="10">
        <f t="shared" si="10"/>
        <v>180693.60053406595</v>
      </c>
      <c r="C42" s="10">
        <f t="shared" si="8"/>
        <v>45703.545701944015</v>
      </c>
      <c r="D42" s="10">
        <f t="shared" si="9"/>
        <v>18281.418280777605</v>
      </c>
      <c r="E42" s="10">
        <f t="shared" si="11"/>
        <v>116708.63655134433</v>
      </c>
      <c r="F42" s="10">
        <f t="shared" si="12"/>
        <v>15788.184686278712</v>
      </c>
      <c r="G42" s="10">
        <f t="shared" si="13"/>
        <v>100920.45186506562</v>
      </c>
      <c r="H42" s="10">
        <v>0</v>
      </c>
      <c r="I42" s="10">
        <f t="shared" si="14"/>
        <v>33303.749115471655</v>
      </c>
      <c r="J42" s="10">
        <f t="shared" si="15"/>
        <v>83404.887435872675</v>
      </c>
    </row>
    <row r="43" spans="1:12">
      <c r="A43" s="8">
        <v>9</v>
      </c>
      <c r="B43" s="10">
        <f t="shared" si="10"/>
        <v>202662.8603230069</v>
      </c>
      <c r="C43" s="10">
        <f t="shared" si="8"/>
        <v>51792.44822077213</v>
      </c>
      <c r="D43" s="10">
        <f t="shared" si="9"/>
        <v>20716.979288308852</v>
      </c>
      <c r="E43" s="10">
        <f t="shared" si="11"/>
        <v>130153.43281392593</v>
      </c>
      <c r="F43" s="10">
        <f t="shared" si="12"/>
        <v>15328.334646872536</v>
      </c>
      <c r="G43" s="10">
        <f t="shared" si="13"/>
        <v>114825.09816705339</v>
      </c>
      <c r="H43" s="10">
        <v>0</v>
      </c>
      <c r="I43" s="10">
        <f t="shared" si="14"/>
        <v>37892.282395127622</v>
      </c>
      <c r="J43" s="10">
        <f t="shared" si="15"/>
        <v>92261.150418798308</v>
      </c>
    </row>
    <row r="44" spans="1:12">
      <c r="A44" s="8">
        <v>10</v>
      </c>
      <c r="B44" s="10">
        <f t="shared" si="10"/>
        <v>227340.28708318612</v>
      </c>
      <c r="C44" s="10">
        <f t="shared" si="8"/>
        <v>58702.125571502133</v>
      </c>
      <c r="D44" s="10">
        <f t="shared" si="9"/>
        <v>23480.850228600855</v>
      </c>
      <c r="E44" s="10">
        <f t="shared" si="11"/>
        <v>145157.31128308314</v>
      </c>
      <c r="F44" s="10">
        <f t="shared" si="12"/>
        <v>14881.8782979345</v>
      </c>
      <c r="G44" s="10">
        <f t="shared" si="13"/>
        <v>130275.43298514864</v>
      </c>
      <c r="H44" s="10">
        <v>0</v>
      </c>
      <c r="I44" s="10">
        <f t="shared" si="14"/>
        <v>42990.892885099056</v>
      </c>
      <c r="J44" s="55">
        <f t="shared" si="15"/>
        <v>102166.41839798409</v>
      </c>
    </row>
    <row r="45" spans="1:12">
      <c r="J45" s="5" t="s">
        <v>74</v>
      </c>
      <c r="K45" s="10">
        <f>J34+NPV(Hoja1!L68+Hoja2!L68,Hoja2!J35:J44)</f>
        <v>76320.749465680332</v>
      </c>
    </row>
    <row r="46" spans="1:12">
      <c r="J46" s="5" t="s">
        <v>75</v>
      </c>
      <c r="K46" s="22">
        <f>IRR(J34:J44)</f>
        <v>9.3828956873714509E-2</v>
      </c>
      <c r="L46" s="49">
        <f>(1+K46)*(1+3%)-1</f>
        <v>0.12664382557992604</v>
      </c>
    </row>
    <row r="48" spans="1:12">
      <c r="A48" s="5" t="str">
        <f>A33</f>
        <v>Periodo</v>
      </c>
      <c r="B48" s="5" t="str">
        <f t="shared" ref="B48:J48" si="16">B33</f>
        <v>Ingresos</v>
      </c>
      <c r="C48" s="5" t="str">
        <f t="shared" si="16"/>
        <v>Costos</v>
      </c>
      <c r="D48" s="5" t="str">
        <f t="shared" si="16"/>
        <v>Costos admin</v>
      </c>
      <c r="E48" s="5" t="str">
        <f t="shared" si="16"/>
        <v>EBITDA</v>
      </c>
      <c r="F48" s="5" t="str">
        <f t="shared" si="16"/>
        <v>Depreciación</v>
      </c>
      <c r="G48" s="5" t="str">
        <f t="shared" si="16"/>
        <v>EBIT</v>
      </c>
      <c r="H48" s="5" t="str">
        <f t="shared" si="16"/>
        <v>CAPEX</v>
      </c>
      <c r="I48" s="5" t="str">
        <f t="shared" si="16"/>
        <v>Tax</v>
      </c>
      <c r="J48" s="5" t="str">
        <f t="shared" si="16"/>
        <v>FCL</v>
      </c>
    </row>
    <row r="49" spans="1:11">
      <c r="A49" s="6">
        <v>0</v>
      </c>
      <c r="B49" s="10">
        <f>0</f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f>H34</f>
        <v>400000</v>
      </c>
      <c r="I49" s="10">
        <f>0</f>
        <v>0</v>
      </c>
      <c r="J49" s="10">
        <f>-H49</f>
        <v>-400000</v>
      </c>
    </row>
    <row r="50" spans="1:11">
      <c r="A50" s="6">
        <v>1</v>
      </c>
      <c r="B50" s="10">
        <f>D6*B6</f>
        <v>83300</v>
      </c>
      <c r="C50" s="10">
        <f>C20*B6</f>
        <v>19600</v>
      </c>
      <c r="D50" s="10">
        <f>0.4*C50</f>
        <v>7840</v>
      </c>
      <c r="E50" s="10">
        <f>B50-C50-D50</f>
        <v>55860</v>
      </c>
      <c r="F50" s="10">
        <v>20000</v>
      </c>
      <c r="G50" s="10">
        <f>E50-F50</f>
        <v>35860</v>
      </c>
      <c r="H50" s="10">
        <v>0</v>
      </c>
      <c r="I50" s="10">
        <f>0.33*G50</f>
        <v>11833.800000000001</v>
      </c>
      <c r="J50" s="10">
        <f>E50-H50-I50</f>
        <v>44026.2</v>
      </c>
    </row>
    <row r="51" spans="1:11">
      <c r="A51" s="6">
        <v>2</v>
      </c>
      <c r="B51" s="10">
        <f t="shared" ref="B51:B59" si="17">D7*B7</f>
        <v>96211.5</v>
      </c>
      <c r="C51" s="10">
        <f t="shared" ref="C51:C59" si="18">C21*B7</f>
        <v>22873.003999999997</v>
      </c>
      <c r="D51" s="10">
        <f t="shared" ref="D51:D59" si="19">0.4*C51</f>
        <v>9149.2015999999985</v>
      </c>
      <c r="E51" s="10">
        <f t="shared" ref="E51:E59" si="20">B51-C51-D51</f>
        <v>64189.294399999999</v>
      </c>
      <c r="F51" s="10">
        <f>$F$50</f>
        <v>20000</v>
      </c>
      <c r="G51" s="10">
        <f t="shared" ref="G51:G59" si="21">E51-F51</f>
        <v>44189.294399999999</v>
      </c>
      <c r="H51" s="10">
        <v>0</v>
      </c>
      <c r="I51" s="10">
        <f t="shared" ref="I51:I59" si="22">0.33*G51</f>
        <v>14582.467152000001</v>
      </c>
      <c r="J51" s="10">
        <f t="shared" ref="J51:J59" si="23">E51-H51-I51</f>
        <v>49606.827248000001</v>
      </c>
    </row>
    <row r="52" spans="1:11">
      <c r="A52" s="6">
        <v>3</v>
      </c>
      <c r="B52" s="10">
        <f t="shared" si="17"/>
        <v>111124.28250000002</v>
      </c>
      <c r="C52" s="10">
        <f t="shared" si="18"/>
        <v>26692.566937959997</v>
      </c>
      <c r="D52" s="10">
        <f t="shared" si="19"/>
        <v>10677.026775184</v>
      </c>
      <c r="E52" s="10">
        <f t="shared" si="20"/>
        <v>73754.688786856015</v>
      </c>
      <c r="F52" s="10">
        <f t="shared" ref="F52:F59" si="24">$F$50</f>
        <v>20000</v>
      </c>
      <c r="G52" s="10">
        <f t="shared" si="21"/>
        <v>53754.688786856015</v>
      </c>
      <c r="H52" s="10">
        <v>0</v>
      </c>
      <c r="I52" s="10">
        <f t="shared" si="22"/>
        <v>17739.047299662485</v>
      </c>
      <c r="J52" s="10">
        <f t="shared" si="23"/>
        <v>56015.641487193527</v>
      </c>
    </row>
    <row r="53" spans="1:11">
      <c r="A53" s="6">
        <v>4</v>
      </c>
      <c r="B53" s="10">
        <f t="shared" si="17"/>
        <v>128389.87350000002</v>
      </c>
      <c r="C53" s="10">
        <f t="shared" si="18"/>
        <v>31159.988730220775</v>
      </c>
      <c r="D53" s="10">
        <f t="shared" si="19"/>
        <v>12463.99549208831</v>
      </c>
      <c r="E53" s="10">
        <f t="shared" si="20"/>
        <v>84765.889277690934</v>
      </c>
      <c r="F53" s="10">
        <f t="shared" si="24"/>
        <v>20000</v>
      </c>
      <c r="G53" s="10">
        <f t="shared" si="21"/>
        <v>64765.889277690934</v>
      </c>
      <c r="H53" s="10">
        <v>0</v>
      </c>
      <c r="I53" s="10">
        <f t="shared" si="22"/>
        <v>21372.743461638009</v>
      </c>
      <c r="J53" s="10">
        <f t="shared" si="23"/>
        <v>63393.145816052929</v>
      </c>
    </row>
    <row r="54" spans="1:11">
      <c r="A54" s="6">
        <v>5</v>
      </c>
      <c r="B54" s="10">
        <f t="shared" si="17"/>
        <v>148406.02008750002</v>
      </c>
      <c r="C54" s="10">
        <f t="shared" si="18"/>
        <v>36391.770898103423</v>
      </c>
      <c r="D54" s="10">
        <f t="shared" si="19"/>
        <v>14556.708359241369</v>
      </c>
      <c r="E54" s="10">
        <f t="shared" si="20"/>
        <v>97457.540830155223</v>
      </c>
      <c r="F54" s="10">
        <f t="shared" si="24"/>
        <v>20000</v>
      </c>
      <c r="G54" s="10">
        <f t="shared" si="21"/>
        <v>77457.540830155223</v>
      </c>
      <c r="H54" s="10">
        <v>0</v>
      </c>
      <c r="I54" s="10">
        <f t="shared" si="22"/>
        <v>25560.988473951224</v>
      </c>
      <c r="J54" s="10">
        <f t="shared" si="23"/>
        <v>71896.552356204003</v>
      </c>
    </row>
    <row r="55" spans="1:11">
      <c r="A55" s="6">
        <v>6</v>
      </c>
      <c r="B55" s="10">
        <f t="shared" si="17"/>
        <v>171469.70420343752</v>
      </c>
      <c r="C55" s="10">
        <f t="shared" si="18"/>
        <v>42483.884583826366</v>
      </c>
      <c r="D55" s="10">
        <f t="shared" si="19"/>
        <v>16993.553833530546</v>
      </c>
      <c r="E55" s="10">
        <f t="shared" si="20"/>
        <v>111992.26578608061</v>
      </c>
      <c r="F55" s="10">
        <f t="shared" si="24"/>
        <v>20000</v>
      </c>
      <c r="G55" s="10">
        <f t="shared" si="21"/>
        <v>91992.265786080607</v>
      </c>
      <c r="H55" s="10">
        <v>0</v>
      </c>
      <c r="I55" s="10">
        <f t="shared" si="22"/>
        <v>30357.447709406602</v>
      </c>
      <c r="J55" s="10">
        <f t="shared" si="23"/>
        <v>81634.818076674012</v>
      </c>
    </row>
    <row r="56" spans="1:11">
      <c r="A56" s="6">
        <v>7</v>
      </c>
      <c r="B56" s="10">
        <f t="shared" si="17"/>
        <v>198063.45549309379</v>
      </c>
      <c r="C56" s="10">
        <f t="shared" si="18"/>
        <v>49582.260600962698</v>
      </c>
      <c r="D56" s="10">
        <f t="shared" si="19"/>
        <v>19832.90424038508</v>
      </c>
      <c r="E56" s="10">
        <f t="shared" si="20"/>
        <v>128648.29065174601</v>
      </c>
      <c r="F56" s="10">
        <f t="shared" si="24"/>
        <v>20000</v>
      </c>
      <c r="G56" s="10">
        <f t="shared" si="21"/>
        <v>108648.29065174601</v>
      </c>
      <c r="H56" s="10">
        <v>0</v>
      </c>
      <c r="I56" s="10">
        <f t="shared" si="22"/>
        <v>35853.935915076181</v>
      </c>
      <c r="J56" s="10">
        <f t="shared" si="23"/>
        <v>92794.354736669833</v>
      </c>
    </row>
    <row r="57" spans="1:11">
      <c r="A57" s="6">
        <v>8</v>
      </c>
      <c r="B57" s="10">
        <f t="shared" si="17"/>
        <v>228897.24705476023</v>
      </c>
      <c r="C57" s="10">
        <f t="shared" si="18"/>
        <v>57895.88430855421</v>
      </c>
      <c r="D57" s="10">
        <f t="shared" si="19"/>
        <v>23158.353723421686</v>
      </c>
      <c r="E57" s="10">
        <f t="shared" si="20"/>
        <v>147843.00902278433</v>
      </c>
      <c r="F57" s="10">
        <f t="shared" si="24"/>
        <v>20000</v>
      </c>
      <c r="G57" s="10">
        <f t="shared" si="21"/>
        <v>127843.00902278433</v>
      </c>
      <c r="H57" s="10">
        <v>0</v>
      </c>
      <c r="I57" s="10">
        <f t="shared" si="22"/>
        <v>42188.192977518833</v>
      </c>
      <c r="J57" s="10">
        <f t="shared" si="23"/>
        <v>105654.8160452655</v>
      </c>
    </row>
    <row r="58" spans="1:11">
      <c r="A58" s="6">
        <v>9</v>
      </c>
      <c r="B58" s="10">
        <f t="shared" si="17"/>
        <v>264429.06550759129</v>
      </c>
      <c r="C58" s="10">
        <f t="shared" si="18"/>
        <v>67577.397563328108</v>
      </c>
      <c r="D58" s="10">
        <f t="shared" si="19"/>
        <v>27030.959025331245</v>
      </c>
      <c r="E58" s="10">
        <f t="shared" si="20"/>
        <v>169820.70891893195</v>
      </c>
      <c r="F58" s="10">
        <f t="shared" si="24"/>
        <v>20000</v>
      </c>
      <c r="G58" s="10">
        <f t="shared" si="21"/>
        <v>149820.70891893195</v>
      </c>
      <c r="H58" s="10">
        <v>0</v>
      </c>
      <c r="I58" s="10">
        <f t="shared" si="22"/>
        <v>49440.833943247548</v>
      </c>
      <c r="J58" s="10">
        <f t="shared" si="23"/>
        <v>120379.8749756844</v>
      </c>
    </row>
    <row r="59" spans="1:11">
      <c r="A59" s="6">
        <v>10</v>
      </c>
      <c r="B59" s="10">
        <f t="shared" si="17"/>
        <v>305526.33549588884</v>
      </c>
      <c r="C59" s="10">
        <f t="shared" si="18"/>
        <v>78890.748057857098</v>
      </c>
      <c r="D59" s="10">
        <f t="shared" si="19"/>
        <v>31556.29922314284</v>
      </c>
      <c r="E59" s="10">
        <f t="shared" si="20"/>
        <v>195079.28821488889</v>
      </c>
      <c r="F59" s="10">
        <f t="shared" si="24"/>
        <v>20000</v>
      </c>
      <c r="G59" s="10">
        <f t="shared" si="21"/>
        <v>175079.28821488889</v>
      </c>
      <c r="H59" s="10">
        <v>0</v>
      </c>
      <c r="I59" s="10">
        <f t="shared" si="22"/>
        <v>57776.165110913338</v>
      </c>
      <c r="J59" s="55">
        <f t="shared" si="23"/>
        <v>137303.12310397555</v>
      </c>
    </row>
    <row r="60" spans="1:11">
      <c r="J60" s="5" t="s">
        <v>74</v>
      </c>
      <c r="K60" s="10">
        <f>J49+NPV(Hoja1!L67+Hoja2!L67,Hoja2!J50:J59)</f>
        <v>76320.749465680565</v>
      </c>
    </row>
    <row r="61" spans="1:11">
      <c r="J61" s="5" t="s">
        <v>75</v>
      </c>
      <c r="K61" s="19">
        <f>IRR(J49:J59)</f>
        <v>0.12664382557993203</v>
      </c>
    </row>
    <row r="62" spans="1:11">
      <c r="A62" s="1"/>
      <c r="B62" s="2"/>
      <c r="C62" s="31"/>
    </row>
    <row r="63" spans="1:11">
      <c r="A63" s="1"/>
      <c r="B63" s="30"/>
      <c r="C63" s="31"/>
    </row>
    <row r="69" spans="1:12">
      <c r="A69" s="5" t="s">
        <v>7</v>
      </c>
      <c r="B69" s="5" t="s">
        <v>44</v>
      </c>
      <c r="C69" s="5" t="s">
        <v>66</v>
      </c>
      <c r="D69" s="5" t="s">
        <v>12</v>
      </c>
      <c r="E69" s="5" t="s">
        <v>81</v>
      </c>
      <c r="F69" s="5" t="s">
        <v>63</v>
      </c>
      <c r="G69" s="5" t="s">
        <v>46</v>
      </c>
      <c r="H69" s="5" t="s">
        <v>9</v>
      </c>
      <c r="I69" s="5" t="s">
        <v>47</v>
      </c>
      <c r="J69" s="5" t="s">
        <v>48</v>
      </c>
      <c r="K69" s="5" t="s">
        <v>49</v>
      </c>
      <c r="L69" s="5" t="s">
        <v>50</v>
      </c>
    </row>
    <row r="70" spans="1:12">
      <c r="A70" s="3">
        <v>0</v>
      </c>
      <c r="B70" s="3"/>
      <c r="C70" s="3">
        <v>1</v>
      </c>
      <c r="D70" s="10">
        <v>0</v>
      </c>
      <c r="E70" s="10"/>
      <c r="F70" s="10">
        <v>0</v>
      </c>
      <c r="G70" s="10"/>
      <c r="H70" s="10"/>
      <c r="I70" s="10"/>
      <c r="J70" s="10">
        <v>400000</v>
      </c>
      <c r="K70" s="10">
        <v>0</v>
      </c>
      <c r="L70" s="10">
        <f>G70-J70-K70</f>
        <v>-400000</v>
      </c>
    </row>
    <row r="71" spans="1:12">
      <c r="A71" s="3">
        <v>1</v>
      </c>
      <c r="B71" s="19">
        <v>0.03</v>
      </c>
      <c r="C71" s="3">
        <f>C70*(1+B71)</f>
        <v>1.03</v>
      </c>
      <c r="D71" s="10">
        <f>B6*C6</f>
        <v>80873.78640776698</v>
      </c>
      <c r="E71" s="10">
        <f>$B$17*7/(1+B71)</f>
        <v>27.184466019417474</v>
      </c>
      <c r="F71" s="10">
        <f>0.4*E84</f>
        <v>7611.6504854368941</v>
      </c>
      <c r="G71" s="10">
        <f>D71-E84-F71</f>
        <v>54233.009708737853</v>
      </c>
      <c r="H71" s="10">
        <f>20000/C71</f>
        <v>19417.475728155339</v>
      </c>
      <c r="I71" s="10">
        <f>G71-H71</f>
        <v>34815.533980582513</v>
      </c>
      <c r="J71" s="10">
        <v>0</v>
      </c>
      <c r="K71" s="10">
        <f>0.33*I71</f>
        <v>11489.12621359223</v>
      </c>
      <c r="L71" s="10">
        <f>G71-J71-K71</f>
        <v>42743.883495145623</v>
      </c>
    </row>
    <row r="72" spans="1:12">
      <c r="A72" s="3">
        <v>2</v>
      </c>
      <c r="B72" s="19">
        <v>3.2000000000000001E-2</v>
      </c>
      <c r="C72" s="3">
        <f t="shared" ref="C72:C80" si="25">C71*(1+B72)</f>
        <v>1.0629600000000001</v>
      </c>
      <c r="D72" s="10">
        <f t="shared" ref="D72:D80" si="26">B7*C7</f>
        <v>90688.566311622199</v>
      </c>
      <c r="E72" s="10">
        <f>E71*(1+B72)</f>
        <v>28.054368932038834</v>
      </c>
      <c r="F72" s="10">
        <f t="shared" ref="F72:F80" si="27">0.4*E85</f>
        <v>8640.7456310679609</v>
      </c>
      <c r="G72" s="10">
        <f t="shared" ref="G72:G80" si="28">D72-E85-F72</f>
        <v>60445.956602884333</v>
      </c>
      <c r="H72" s="10">
        <f t="shared" ref="H72:H80" si="29">20000/C72</f>
        <v>18815.383457514861</v>
      </c>
      <c r="I72" s="10">
        <f t="shared" ref="I72:I80" si="30">G72-H72</f>
        <v>41630.573145369475</v>
      </c>
      <c r="J72" s="10">
        <v>0</v>
      </c>
      <c r="K72" s="10">
        <f t="shared" ref="K72:K80" si="31">0.33*I72</f>
        <v>13738.089137971927</v>
      </c>
      <c r="L72" s="10">
        <f t="shared" ref="L72:L80" si="32">G72-J72-K72</f>
        <v>46707.867464912408</v>
      </c>
    </row>
    <row r="73" spans="1:12">
      <c r="A73" s="3">
        <v>3</v>
      </c>
      <c r="B73" s="19">
        <v>2.5999999999999999E-2</v>
      </c>
      <c r="C73" s="3">
        <f t="shared" si="25"/>
        <v>1.0905969600000001</v>
      </c>
      <c r="D73" s="10">
        <f t="shared" si="26"/>
        <v>101694.46028147926</v>
      </c>
      <c r="E73" s="10">
        <f t="shared" ref="E73:E80" si="33">E72*(1+B73)</f>
        <v>28.783782524271846</v>
      </c>
      <c r="F73" s="10">
        <f t="shared" si="27"/>
        <v>9751.9455192233017</v>
      </c>
      <c r="G73" s="10">
        <f t="shared" si="28"/>
        <v>67562.650964197703</v>
      </c>
      <c r="H73" s="10">
        <f t="shared" si="29"/>
        <v>18338.580367948209</v>
      </c>
      <c r="I73" s="10">
        <f t="shared" si="30"/>
        <v>49224.070596249498</v>
      </c>
      <c r="J73" s="10">
        <v>0</v>
      </c>
      <c r="K73" s="10">
        <f t="shared" si="31"/>
        <v>16243.943296762334</v>
      </c>
      <c r="L73" s="10">
        <f t="shared" si="32"/>
        <v>51318.707667435367</v>
      </c>
    </row>
    <row r="74" spans="1:12">
      <c r="A74" s="3">
        <v>4</v>
      </c>
      <c r="B74" s="19">
        <v>2.8000000000000001E-2</v>
      </c>
      <c r="C74" s="3">
        <f t="shared" si="25"/>
        <v>1.12113367488</v>
      </c>
      <c r="D74" s="10">
        <f t="shared" si="26"/>
        <v>114072.73968828373</v>
      </c>
      <c r="E74" s="10">
        <f t="shared" si="33"/>
        <v>29.589728434951457</v>
      </c>
      <c r="F74" s="10">
        <f t="shared" si="27"/>
        <v>11031.050760549904</v>
      </c>
      <c r="G74" s="10">
        <f t="shared" si="28"/>
        <v>75464.062026359083</v>
      </c>
      <c r="H74" s="10">
        <f t="shared" si="29"/>
        <v>17839.085961039116</v>
      </c>
      <c r="I74" s="10">
        <f t="shared" si="30"/>
        <v>57624.976065319963</v>
      </c>
      <c r="J74" s="10">
        <v>0</v>
      </c>
      <c r="K74" s="10">
        <f t="shared" si="31"/>
        <v>19016.242101555588</v>
      </c>
      <c r="L74" s="10">
        <f t="shared" si="32"/>
        <v>56447.819924803494</v>
      </c>
    </row>
    <row r="75" spans="1:12">
      <c r="A75" s="3">
        <v>5</v>
      </c>
      <c r="B75" s="19">
        <v>3.5000000000000003E-2</v>
      </c>
      <c r="C75" s="3">
        <f t="shared" si="25"/>
        <v>1.1603733535008001</v>
      </c>
      <c r="D75" s="10">
        <f t="shared" si="26"/>
        <v>128016.33658297019</v>
      </c>
      <c r="E75" s="10">
        <f t="shared" si="33"/>
        <v>30.625368930174755</v>
      </c>
      <c r="F75" s="10">
        <f t="shared" si="27"/>
        <v>12568.651408943719</v>
      </c>
      <c r="G75" s="10">
        <f t="shared" si="28"/>
        <v>84026.056651667168</v>
      </c>
      <c r="H75" s="10">
        <f t="shared" si="29"/>
        <v>17235.831846414603</v>
      </c>
      <c r="I75" s="10">
        <f t="shared" si="30"/>
        <v>66790.224805252568</v>
      </c>
      <c r="J75" s="10">
        <v>0</v>
      </c>
      <c r="K75" s="10">
        <f t="shared" si="31"/>
        <v>22040.774185733349</v>
      </c>
      <c r="L75" s="10">
        <f t="shared" si="32"/>
        <v>61985.282465933822</v>
      </c>
    </row>
    <row r="76" spans="1:12">
      <c r="A76" s="3">
        <v>6</v>
      </c>
      <c r="B76" s="19">
        <v>3.1E-2</v>
      </c>
      <c r="C76" s="3">
        <f t="shared" si="25"/>
        <v>1.1963449274593247</v>
      </c>
      <c r="D76" s="10">
        <f t="shared" si="26"/>
        <v>143603.17776858193</v>
      </c>
      <c r="E76" s="10">
        <f t="shared" si="33"/>
        <v>31.574755367010169</v>
      </c>
      <c r="F76" s="10">
        <f t="shared" si="27"/>
        <v>14259.159523741793</v>
      </c>
      <c r="G76" s="10">
        <f t="shared" si="28"/>
        <v>93696.119435485642</v>
      </c>
      <c r="H76" s="10">
        <f t="shared" si="29"/>
        <v>16717.58665995597</v>
      </c>
      <c r="I76" s="10">
        <f t="shared" si="30"/>
        <v>76978.532775529675</v>
      </c>
      <c r="J76" s="10">
        <v>0</v>
      </c>
      <c r="K76" s="10">
        <f t="shared" si="31"/>
        <v>25402.915815924793</v>
      </c>
      <c r="L76" s="10">
        <f t="shared" si="32"/>
        <v>68293.203619560853</v>
      </c>
    </row>
    <row r="77" spans="1:12">
      <c r="A77" s="3">
        <v>7</v>
      </c>
      <c r="B77" s="19">
        <v>2.9000000000000001E-2</v>
      </c>
      <c r="C77" s="3">
        <f t="shared" si="25"/>
        <v>1.231038930355645</v>
      </c>
      <c r="D77" s="10">
        <f t="shared" si="26"/>
        <v>161043.71436876667</v>
      </c>
      <c r="E77" s="10">
        <f t="shared" si="33"/>
        <v>32.490423272653459</v>
      </c>
      <c r="F77" s="10">
        <f t="shared" si="27"/>
        <v>16141.242281854238</v>
      </c>
      <c r="G77" s="10">
        <f t="shared" si="28"/>
        <v>104549.36638227684</v>
      </c>
      <c r="H77" s="10">
        <f t="shared" si="29"/>
        <v>16246.439902775483</v>
      </c>
      <c r="I77" s="10">
        <f t="shared" si="30"/>
        <v>88302.926479501359</v>
      </c>
      <c r="J77" s="10">
        <v>0</v>
      </c>
      <c r="K77" s="10">
        <f t="shared" si="31"/>
        <v>29139.965738235449</v>
      </c>
      <c r="L77" s="10">
        <f t="shared" si="32"/>
        <v>75409.400644041394</v>
      </c>
    </row>
    <row r="78" spans="1:12">
      <c r="A78" s="3">
        <v>8</v>
      </c>
      <c r="B78" s="19">
        <v>0.03</v>
      </c>
      <c r="C78" s="3">
        <f t="shared" si="25"/>
        <v>1.2679700982663145</v>
      </c>
      <c r="D78" s="10">
        <f t="shared" si="26"/>
        <v>180693.60053406595</v>
      </c>
      <c r="E78" s="10">
        <f t="shared" si="33"/>
        <v>33.46513597083306</v>
      </c>
      <c r="F78" s="10">
        <f t="shared" si="27"/>
        <v>18298.736348851518</v>
      </c>
      <c r="G78" s="10">
        <f t="shared" si="28"/>
        <v>116648.02331308564</v>
      </c>
      <c r="H78" s="10">
        <f t="shared" si="29"/>
        <v>15773.242624053866</v>
      </c>
      <c r="I78" s="10">
        <f t="shared" si="30"/>
        <v>100874.78068903177</v>
      </c>
      <c r="J78" s="10">
        <v>0</v>
      </c>
      <c r="K78" s="10">
        <f t="shared" si="31"/>
        <v>33288.677627380486</v>
      </c>
      <c r="L78" s="10">
        <f t="shared" si="32"/>
        <v>83359.34568570515</v>
      </c>
    </row>
    <row r="79" spans="1:12">
      <c r="A79" s="3">
        <v>9</v>
      </c>
      <c r="B79" s="19">
        <v>3.5999999999999997E-2</v>
      </c>
      <c r="C79" s="3">
        <f t="shared" si="25"/>
        <v>1.3136170218039018</v>
      </c>
      <c r="D79" s="10">
        <f t="shared" si="26"/>
        <v>202662.8603230069</v>
      </c>
      <c r="E79" s="10">
        <f t="shared" si="33"/>
        <v>34.66988086578305</v>
      </c>
      <c r="F79" s="10">
        <f t="shared" si="27"/>
        <v>20857.400328855085</v>
      </c>
      <c r="G79" s="10">
        <f t="shared" si="28"/>
        <v>129661.95917201409</v>
      </c>
      <c r="H79" s="10">
        <f t="shared" si="29"/>
        <v>15225.137668005662</v>
      </c>
      <c r="I79" s="10">
        <f t="shared" si="30"/>
        <v>114436.82150400843</v>
      </c>
      <c r="J79" s="10">
        <v>0</v>
      </c>
      <c r="K79" s="10">
        <f t="shared" si="31"/>
        <v>37764.151096322785</v>
      </c>
      <c r="L79" s="10">
        <f t="shared" si="32"/>
        <v>91897.808075691311</v>
      </c>
    </row>
    <row r="80" spans="1:12">
      <c r="A80" s="3">
        <v>10</v>
      </c>
      <c r="B80" s="19">
        <v>2.1000000000000001E-2</v>
      </c>
      <c r="C80" s="3">
        <f t="shared" si="25"/>
        <v>1.3412029792617837</v>
      </c>
      <c r="D80" s="10">
        <f t="shared" si="26"/>
        <v>227340.28708318612</v>
      </c>
      <c r="E80" s="10">
        <f t="shared" si="33"/>
        <v>35.397948363964488</v>
      </c>
      <c r="F80" s="10">
        <f t="shared" si="27"/>
        <v>23433.441816944494</v>
      </c>
      <c r="G80" s="10">
        <f t="shared" si="28"/>
        <v>145323.24072388042</v>
      </c>
      <c r="H80" s="10">
        <f t="shared" si="29"/>
        <v>14911.985962787132</v>
      </c>
      <c r="I80" s="10">
        <f t="shared" si="30"/>
        <v>130411.25476109328</v>
      </c>
      <c r="J80" s="10">
        <v>0</v>
      </c>
      <c r="K80" s="10">
        <f t="shared" si="31"/>
        <v>43035.714071160786</v>
      </c>
      <c r="L80" s="55">
        <f t="shared" si="32"/>
        <v>102287.52665271962</v>
      </c>
    </row>
    <row r="81" spans="2:13">
      <c r="L81" s="5" t="s">
        <v>82</v>
      </c>
      <c r="M81" s="10">
        <f>L70+NPV(Hoja1!L68+Hoja2!L68,Hoja2!L71:L80)</f>
        <v>76141.006811139756</v>
      </c>
    </row>
    <row r="82" spans="2:13">
      <c r="B82" s="1"/>
      <c r="L82" s="5" t="s">
        <v>75</v>
      </c>
      <c r="M82" s="19">
        <f>IRR(L70:L80)</f>
        <v>9.3762605163599355E-2</v>
      </c>
    </row>
    <row r="83" spans="2:13">
      <c r="B83" s="14"/>
      <c r="E83" t="s">
        <v>29</v>
      </c>
    </row>
    <row r="84" spans="2:13">
      <c r="E84" s="1">
        <f>E71*B6</f>
        <v>19029.126213592233</v>
      </c>
    </row>
    <row r="85" spans="2:13">
      <c r="E85" s="1">
        <f t="shared" ref="E85:E95" si="34">E72*B7</f>
        <v>21601.864077669903</v>
      </c>
    </row>
    <row r="86" spans="2:13">
      <c r="E86" s="1">
        <f t="shared" si="34"/>
        <v>24379.863798058253</v>
      </c>
    </row>
    <row r="87" spans="2:13">
      <c r="E87" s="1">
        <f t="shared" si="34"/>
        <v>27577.626901374759</v>
      </c>
    </row>
    <row r="88" spans="2:13">
      <c r="E88" s="1">
        <f t="shared" si="34"/>
        <v>31421.628522359297</v>
      </c>
    </row>
    <row r="89" spans="2:13">
      <c r="E89" s="1">
        <f t="shared" si="34"/>
        <v>35647.898809354483</v>
      </c>
    </row>
    <row r="90" spans="2:13">
      <c r="E90" s="1">
        <f t="shared" si="34"/>
        <v>40353.105704635593</v>
      </c>
    </row>
    <row r="91" spans="2:13">
      <c r="E91" s="1">
        <f t="shared" si="34"/>
        <v>45746.840872128792</v>
      </c>
    </row>
    <row r="92" spans="2:13">
      <c r="E92" s="1">
        <f t="shared" si="34"/>
        <v>52143.500822137707</v>
      </c>
    </row>
    <row r="93" spans="2:13">
      <c r="E93" s="1">
        <f t="shared" si="34"/>
        <v>58583.60454236123</v>
      </c>
    </row>
    <row r="94" spans="2:13">
      <c r="E94" s="1"/>
    </row>
    <row r="95" spans="2:13">
      <c r="E9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Valencia Calderón</dc:creator>
  <cp:lastModifiedBy>Sebastián Valencia Calderón</cp:lastModifiedBy>
  <dcterms:created xsi:type="dcterms:W3CDTF">2015-05-07T23:04:16Z</dcterms:created>
  <dcterms:modified xsi:type="dcterms:W3CDTF">2015-05-08T18:08:20Z</dcterms:modified>
</cp:coreProperties>
</file>