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83c09c41449e63/5th Sem college/313 Soc/"/>
    </mc:Choice>
  </mc:AlternateContent>
  <xr:revisionPtr revIDLastSave="0" documentId="8_{30EAB7EE-F281-45A3-8D86-EE8347225C7E}" xr6:coauthVersionLast="47" xr6:coauthVersionMax="47" xr10:uidLastSave="{00000000-0000-0000-0000-000000000000}"/>
  <bookViews>
    <workbookView xWindow="2040" yWindow="2388" windowWidth="17280" windowHeight="10008" firstSheet="1" activeTab="3" xr2:uid="{00000000-000D-0000-FFFF-FFFF00000000}"/>
  </bookViews>
  <sheets>
    <sheet name="Weekday regression" sheetId="3" r:id="rId1"/>
    <sheet name="Weekend Regression Social Media" sheetId="4" r:id="rId2"/>
    <sheet name="Sheet4" sheetId="5" r:id="rId3"/>
    <sheet name="Sheet0" sheetId="1" r:id="rId4"/>
  </sheets>
  <definedNames>
    <definedName name="_xlnm._FilterDatabase" localSheetId="3" hidden="1">Sheet0!$A$2:$AQ$90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27" i="1" l="1"/>
  <c r="AS127" i="1"/>
  <c r="BC129" i="1"/>
  <c r="BI117" i="1"/>
  <c r="BI116" i="1"/>
  <c r="BP143" i="1"/>
  <c r="BL143" i="1"/>
  <c r="BQ141" i="1"/>
  <c r="BP141" i="1"/>
  <c r="BO141" i="1"/>
  <c r="BN141" i="1"/>
  <c r="BL141" i="1"/>
  <c r="BK141" i="1"/>
  <c r="BQ140" i="1"/>
  <c r="BP140" i="1"/>
  <c r="BO140" i="1"/>
  <c r="BN140" i="1"/>
  <c r="BL140" i="1"/>
  <c r="BK140" i="1"/>
  <c r="BJ140" i="1"/>
  <c r="BI143" i="1"/>
  <c r="BI142" i="1"/>
  <c r="BI141" i="1"/>
  <c r="BI140" i="1"/>
  <c r="BQ136" i="1"/>
  <c r="BQ135" i="1"/>
  <c r="BQ134" i="1"/>
  <c r="BQ133" i="1"/>
  <c r="BP136" i="1"/>
  <c r="BP134" i="1"/>
  <c r="BP133" i="1"/>
  <c r="BO136" i="1"/>
  <c r="BO135" i="1"/>
  <c r="BO134" i="1"/>
  <c r="BO133" i="1"/>
  <c r="BN135" i="1"/>
  <c r="BN134" i="1"/>
  <c r="BN133" i="1"/>
  <c r="BL135" i="1"/>
  <c r="BL134" i="1"/>
  <c r="BL133" i="1"/>
  <c r="BL132" i="1"/>
  <c r="BK134" i="1"/>
  <c r="BK133" i="1"/>
  <c r="BJ135" i="1"/>
  <c r="BJ134" i="1"/>
  <c r="BJ133" i="1"/>
  <c r="BJ132" i="1"/>
  <c r="BI134" i="1"/>
  <c r="BI133" i="1"/>
  <c r="BI132" i="1"/>
  <c r="BQ143" i="1"/>
  <c r="BQ142" i="1"/>
  <c r="BQ139" i="1"/>
  <c r="BP142" i="1"/>
  <c r="BP139" i="1"/>
  <c r="BO143" i="1"/>
  <c r="BO139" i="1"/>
  <c r="BN143" i="1"/>
  <c r="BN142" i="1"/>
  <c r="BN139" i="1"/>
  <c r="BM143" i="1"/>
  <c r="BM142" i="1"/>
  <c r="BM141" i="1"/>
  <c r="BM140" i="1"/>
  <c r="BM139" i="1"/>
  <c r="BL142" i="1"/>
  <c r="BL139" i="1"/>
  <c r="BK143" i="1"/>
  <c r="BK142" i="1"/>
  <c r="BK139" i="1"/>
  <c r="BJ143" i="1"/>
  <c r="BJ142" i="1"/>
  <c r="BJ141" i="1"/>
  <c r="BJ139" i="1"/>
  <c r="BI139" i="1"/>
  <c r="BQ132" i="1"/>
  <c r="BP135" i="1"/>
  <c r="BP132" i="1"/>
  <c r="BO132" i="1"/>
  <c r="BN132" i="1"/>
  <c r="BM135" i="1"/>
  <c r="BM134" i="1"/>
  <c r="BM133" i="1"/>
  <c r="BM132" i="1"/>
  <c r="BK135" i="1"/>
  <c r="BK132" i="1"/>
  <c r="BI135" i="1"/>
  <c r="BN136" i="1"/>
  <c r="BM136" i="1"/>
  <c r="BL136" i="1"/>
  <c r="BK136" i="1"/>
  <c r="BJ136" i="1"/>
  <c r="BI136" i="1"/>
  <c r="BJ104" i="1"/>
  <c r="BJ110" i="1"/>
  <c r="BJ108" i="1"/>
  <c r="BC136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5" i="1"/>
  <c r="BK86" i="1"/>
  <c r="BK87" i="1"/>
  <c r="BK88" i="1"/>
  <c r="BK89" i="1"/>
  <c r="BI109" i="1"/>
  <c r="BI115" i="1"/>
  <c r="BI114" i="1"/>
  <c r="BI113" i="1"/>
  <c r="BI112" i="1"/>
  <c r="BI111" i="1"/>
  <c r="BI110" i="1"/>
  <c r="BI108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F142" i="1"/>
  <c r="BF141" i="1"/>
  <c r="BF140" i="1"/>
  <c r="BF139" i="1"/>
  <c r="BF138" i="1"/>
  <c r="BF137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9" i="1"/>
  <c r="BF80" i="1"/>
  <c r="BF81" i="1"/>
  <c r="BF82" i="1"/>
  <c r="BF83" i="1"/>
  <c r="BF87" i="1"/>
  <c r="BF88" i="1"/>
  <c r="BF89" i="1"/>
  <c r="BC137" i="1"/>
  <c r="BF136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9" i="1"/>
  <c r="BH80" i="1"/>
  <c r="BH81" i="1"/>
  <c r="BH82" i="1"/>
  <c r="BH83" i="1"/>
  <c r="BH87" i="1"/>
  <c r="BH88" i="1"/>
  <c r="BC159" i="1"/>
  <c r="BC158" i="1"/>
  <c r="BC157" i="1"/>
  <c r="BC156" i="1"/>
  <c r="BC155" i="1"/>
  <c r="BC154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9" i="1"/>
  <c r="BG80" i="1"/>
  <c r="BG81" i="1"/>
  <c r="BG82" i="1"/>
  <c r="BG83" i="1"/>
  <c r="BG87" i="1"/>
  <c r="BG88" i="1"/>
  <c r="BC145" i="1"/>
  <c r="BC153" i="1"/>
  <c r="BC144" i="1"/>
  <c r="BC150" i="1"/>
  <c r="BC149" i="1"/>
  <c r="BC148" i="1"/>
  <c r="BC147" i="1"/>
  <c r="BC146" i="1"/>
  <c r="BC142" i="1"/>
  <c r="BC138" i="1"/>
  <c r="BC141" i="1"/>
  <c r="BC140" i="1"/>
  <c r="BC139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9" i="1"/>
  <c r="BE80" i="1"/>
  <c r="BE81" i="1"/>
  <c r="BE82" i="1"/>
  <c r="BE83" i="1"/>
  <c r="BE87" i="1"/>
  <c r="BE88" i="1"/>
  <c r="BE89" i="1"/>
  <c r="BC127" i="1"/>
  <c r="BD127" i="1"/>
  <c r="BC126" i="1"/>
  <c r="BC128" i="1"/>
  <c r="BD128" i="1"/>
  <c r="BE128" i="1"/>
  <c r="BC132" i="1"/>
  <c r="BC131" i="1"/>
  <c r="BC130" i="1"/>
  <c r="BG131" i="1"/>
  <c r="BG132" i="1"/>
  <c r="BJ126" i="1" a="1"/>
  <c r="BJ126" i="1"/>
  <c r="AY3" i="1"/>
  <c r="AX3" i="1"/>
  <c r="BD3" i="1"/>
  <c r="AY4" i="1"/>
  <c r="AX4" i="1"/>
  <c r="BD4" i="1"/>
  <c r="AY5" i="1"/>
  <c r="AX5" i="1"/>
  <c r="BD5" i="1"/>
  <c r="AY6" i="1"/>
  <c r="AX6" i="1"/>
  <c r="BD6" i="1"/>
  <c r="AY7" i="1"/>
  <c r="AX7" i="1"/>
  <c r="BD7" i="1"/>
  <c r="AY8" i="1"/>
  <c r="AX8" i="1"/>
  <c r="BD8" i="1"/>
  <c r="AY9" i="1"/>
  <c r="AX9" i="1"/>
  <c r="BD9" i="1"/>
  <c r="AY10" i="1"/>
  <c r="AX10" i="1"/>
  <c r="BD10" i="1"/>
  <c r="AY11" i="1"/>
  <c r="AX11" i="1"/>
  <c r="BD11" i="1"/>
  <c r="AY12" i="1"/>
  <c r="AX12" i="1"/>
  <c r="BD12" i="1"/>
  <c r="AY13" i="1"/>
  <c r="AX13" i="1"/>
  <c r="BD13" i="1"/>
  <c r="AY14" i="1"/>
  <c r="AX14" i="1"/>
  <c r="BD14" i="1"/>
  <c r="AY15" i="1"/>
  <c r="AX15" i="1"/>
  <c r="BD15" i="1"/>
  <c r="AY16" i="1"/>
  <c r="AX16" i="1"/>
  <c r="BD16" i="1"/>
  <c r="AY17" i="1"/>
  <c r="AX17" i="1"/>
  <c r="BD17" i="1"/>
  <c r="AY18" i="1"/>
  <c r="AX18" i="1"/>
  <c r="BD18" i="1"/>
  <c r="AY19" i="1"/>
  <c r="AX19" i="1"/>
  <c r="BD19" i="1"/>
  <c r="AY20" i="1"/>
  <c r="AX20" i="1"/>
  <c r="BD20" i="1"/>
  <c r="AY21" i="1"/>
  <c r="AX21" i="1"/>
  <c r="BD21" i="1"/>
  <c r="AY22" i="1"/>
  <c r="AX22" i="1"/>
  <c r="BD22" i="1"/>
  <c r="AY23" i="1"/>
  <c r="AX23" i="1"/>
  <c r="BD23" i="1"/>
  <c r="AY24" i="1"/>
  <c r="AX24" i="1"/>
  <c r="BD24" i="1"/>
  <c r="AY25" i="1"/>
  <c r="AX25" i="1"/>
  <c r="BD25" i="1"/>
  <c r="AY26" i="1"/>
  <c r="AX26" i="1"/>
  <c r="BD26" i="1"/>
  <c r="AY27" i="1"/>
  <c r="AX27" i="1"/>
  <c r="BD27" i="1"/>
  <c r="AY28" i="1"/>
  <c r="AX28" i="1"/>
  <c r="BD28" i="1"/>
  <c r="AY29" i="1"/>
  <c r="AX29" i="1"/>
  <c r="BD29" i="1"/>
  <c r="AY30" i="1"/>
  <c r="AX30" i="1"/>
  <c r="BD30" i="1"/>
  <c r="AY31" i="1"/>
  <c r="AX31" i="1"/>
  <c r="BD31" i="1"/>
  <c r="BD32" i="1"/>
  <c r="AY33" i="1"/>
  <c r="AX33" i="1"/>
  <c r="BD33" i="1"/>
  <c r="AY34" i="1"/>
  <c r="AX34" i="1"/>
  <c r="BD34" i="1"/>
  <c r="AY35" i="1"/>
  <c r="AX35" i="1"/>
  <c r="BD35" i="1"/>
  <c r="AY36" i="1"/>
  <c r="AX36" i="1"/>
  <c r="BD36" i="1"/>
  <c r="AY37" i="1"/>
  <c r="AX37" i="1"/>
  <c r="BD37" i="1"/>
  <c r="AY38" i="1"/>
  <c r="AX38" i="1"/>
  <c r="BD38" i="1"/>
  <c r="AY39" i="1"/>
  <c r="AX39" i="1"/>
  <c r="BD39" i="1"/>
  <c r="AY40" i="1"/>
  <c r="AX40" i="1"/>
  <c r="BD40" i="1"/>
  <c r="AY41" i="1"/>
  <c r="AX41" i="1"/>
  <c r="BD41" i="1"/>
  <c r="AY42" i="1"/>
  <c r="AX42" i="1"/>
  <c r="BD42" i="1"/>
  <c r="AY43" i="1"/>
  <c r="AX43" i="1"/>
  <c r="BD43" i="1"/>
  <c r="AY44" i="1"/>
  <c r="AX44" i="1"/>
  <c r="BD44" i="1"/>
  <c r="AY45" i="1"/>
  <c r="AX45" i="1"/>
  <c r="BD45" i="1"/>
  <c r="AY46" i="1"/>
  <c r="AX46" i="1"/>
  <c r="BD46" i="1"/>
  <c r="AY47" i="1"/>
  <c r="AX47" i="1"/>
  <c r="BD47" i="1"/>
  <c r="AY48" i="1"/>
  <c r="AX48" i="1"/>
  <c r="BD48" i="1"/>
  <c r="AY49" i="1"/>
  <c r="AX49" i="1"/>
  <c r="BD49" i="1"/>
  <c r="AY50" i="1"/>
  <c r="AX50" i="1"/>
  <c r="BD50" i="1"/>
  <c r="AY51" i="1"/>
  <c r="AX51" i="1"/>
  <c r="BD51" i="1"/>
  <c r="AY52" i="1"/>
  <c r="AX52" i="1"/>
  <c r="BD52" i="1"/>
  <c r="AY53" i="1"/>
  <c r="AX53" i="1"/>
  <c r="BD53" i="1"/>
  <c r="AY54" i="1"/>
  <c r="AX54" i="1"/>
  <c r="BD54" i="1"/>
  <c r="AY55" i="1"/>
  <c r="AX55" i="1"/>
  <c r="BD55" i="1"/>
  <c r="AY56" i="1"/>
  <c r="AX56" i="1"/>
  <c r="BD56" i="1"/>
  <c r="AY57" i="1"/>
  <c r="AX57" i="1"/>
  <c r="BD57" i="1"/>
  <c r="AY58" i="1"/>
  <c r="AX58" i="1"/>
  <c r="BD58" i="1"/>
  <c r="AY59" i="1"/>
  <c r="AX59" i="1"/>
  <c r="BD59" i="1"/>
  <c r="AY60" i="1"/>
  <c r="AX60" i="1"/>
  <c r="BD60" i="1"/>
  <c r="AY61" i="1"/>
  <c r="AX61" i="1"/>
  <c r="BD61" i="1"/>
  <c r="AY62" i="1"/>
  <c r="AX62" i="1"/>
  <c r="BD62" i="1"/>
  <c r="AY63" i="1"/>
  <c r="AX63" i="1"/>
  <c r="BD63" i="1"/>
  <c r="AY64" i="1"/>
  <c r="AX64" i="1"/>
  <c r="BD64" i="1"/>
  <c r="AY65" i="1"/>
  <c r="AX65" i="1"/>
  <c r="BD65" i="1"/>
  <c r="AY66" i="1"/>
  <c r="AX66" i="1"/>
  <c r="BD66" i="1"/>
  <c r="AY67" i="1"/>
  <c r="AX67" i="1"/>
  <c r="BD67" i="1"/>
  <c r="AY68" i="1"/>
  <c r="AX68" i="1"/>
  <c r="BD68" i="1"/>
  <c r="AY69" i="1"/>
  <c r="AX69" i="1"/>
  <c r="BD69" i="1"/>
  <c r="AY70" i="1"/>
  <c r="AX70" i="1"/>
  <c r="BD70" i="1"/>
  <c r="AY71" i="1"/>
  <c r="AX71" i="1"/>
  <c r="BD71" i="1"/>
  <c r="AY72" i="1"/>
  <c r="AX72" i="1"/>
  <c r="BD72" i="1"/>
  <c r="AY73" i="1"/>
  <c r="AX73" i="1"/>
  <c r="BD73" i="1"/>
  <c r="AY74" i="1"/>
  <c r="AX74" i="1"/>
  <c r="BD74" i="1"/>
  <c r="AY75" i="1"/>
  <c r="AX75" i="1"/>
  <c r="BD75" i="1"/>
  <c r="AY76" i="1"/>
  <c r="AX76" i="1"/>
  <c r="BD76" i="1"/>
  <c r="AY77" i="1"/>
  <c r="AX77" i="1"/>
  <c r="BD77" i="1"/>
  <c r="AY78" i="1"/>
  <c r="AX78" i="1"/>
  <c r="BD78" i="1"/>
  <c r="AY79" i="1"/>
  <c r="AX79" i="1"/>
  <c r="BD79" i="1"/>
  <c r="AY80" i="1"/>
  <c r="AX80" i="1"/>
  <c r="BD80" i="1"/>
  <c r="AY81" i="1"/>
  <c r="AX81" i="1"/>
  <c r="BD81" i="1"/>
  <c r="AY82" i="1"/>
  <c r="AX82" i="1"/>
  <c r="BD82" i="1"/>
  <c r="AY83" i="1"/>
  <c r="AX83" i="1"/>
  <c r="BD83" i="1"/>
  <c r="BD84" i="1"/>
  <c r="AY85" i="1"/>
  <c r="AX85" i="1"/>
  <c r="BD85" i="1"/>
  <c r="AY86" i="1"/>
  <c r="AX86" i="1"/>
  <c r="BD86" i="1"/>
  <c r="AY87" i="1"/>
  <c r="AX87" i="1"/>
  <c r="BD87" i="1"/>
  <c r="AY88" i="1"/>
  <c r="AX88" i="1"/>
  <c r="BD88" i="1"/>
  <c r="AY89" i="1"/>
  <c r="AX89" i="1"/>
  <c r="BD89" i="1"/>
  <c r="AO94" i="1"/>
  <c r="AP94" i="1"/>
  <c r="AO95" i="1"/>
  <c r="AP95" i="1"/>
  <c r="AO93" i="1"/>
  <c r="AP93" i="1"/>
  <c r="AX105" i="1"/>
  <c r="AX104" i="1"/>
  <c r="AW107" i="1"/>
  <c r="AW93" i="1"/>
  <c r="AV93" i="1"/>
  <c r="AW92" i="1"/>
  <c r="AV92" i="1"/>
  <c r="AW111" i="1"/>
  <c r="AW110" i="1"/>
  <c r="AW109" i="1"/>
  <c r="AW108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5" i="1"/>
  <c r="BC86" i="1"/>
  <c r="BC87" i="1"/>
  <c r="BC88" i="1"/>
  <c r="BC89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5" i="1"/>
  <c r="BB86" i="1"/>
  <c r="BB87" i="1"/>
  <c r="BB88" i="1"/>
  <c r="BB89" i="1"/>
  <c r="BB3" i="1"/>
  <c r="AS134" i="1"/>
  <c r="AS133" i="1"/>
  <c r="AT133" i="1"/>
  <c r="AS130" i="1"/>
  <c r="AW134" i="1"/>
  <c r="AW133" i="1"/>
  <c r="AW132" i="1"/>
  <c r="AW131" i="1"/>
  <c r="AW130" i="1"/>
  <c r="AV134" i="1"/>
  <c r="AV133" i="1"/>
  <c r="AV132" i="1"/>
  <c r="AV131" i="1"/>
  <c r="AV130" i="1"/>
  <c r="AU134" i="1"/>
  <c r="AU133" i="1"/>
  <c r="AU132" i="1"/>
  <c r="AU131" i="1"/>
  <c r="AU130" i="1"/>
  <c r="AT134" i="1"/>
  <c r="AT132" i="1"/>
  <c r="AT131" i="1"/>
  <c r="AT130" i="1"/>
  <c r="AS132" i="1"/>
  <c r="AS131" i="1"/>
  <c r="AW126" i="1"/>
  <c r="AV126" i="1"/>
  <c r="AU126" i="1"/>
  <c r="AT126" i="1"/>
  <c r="AS126" i="1"/>
  <c r="AW125" i="1"/>
  <c r="AV125" i="1"/>
  <c r="AU125" i="1"/>
  <c r="AS125" i="1"/>
  <c r="AW124" i="1"/>
  <c r="AV124" i="1"/>
  <c r="AU124" i="1"/>
  <c r="AT124" i="1"/>
  <c r="AS124" i="1"/>
  <c r="AW123" i="1"/>
  <c r="AV123" i="1"/>
  <c r="AU123" i="1"/>
  <c r="AT123" i="1"/>
  <c r="AS123" i="1"/>
  <c r="AW122" i="1"/>
  <c r="AV122" i="1"/>
  <c r="AU122" i="1"/>
  <c r="AT122" i="1"/>
  <c r="AS122" i="1"/>
  <c r="AU112" i="1"/>
  <c r="AU111" i="1"/>
  <c r="AU110" i="1"/>
  <c r="AU109" i="1"/>
  <c r="AU108" i="1"/>
  <c r="AU107" i="1"/>
  <c r="AV95" i="1"/>
  <c r="BK100" i="1"/>
  <c r="BL100" i="1"/>
  <c r="BM100" i="1"/>
  <c r="BN100" i="1"/>
  <c r="BN104" i="1"/>
  <c r="BN103" i="1"/>
  <c r="BN102" i="1"/>
  <c r="BN101" i="1"/>
  <c r="BM104" i="1"/>
  <c r="BM103" i="1"/>
  <c r="BM102" i="1"/>
  <c r="BM101" i="1"/>
  <c r="BL104" i="1"/>
  <c r="BL103" i="1"/>
  <c r="BL102" i="1"/>
  <c r="BL101" i="1"/>
  <c r="BK104" i="1"/>
  <c r="BK103" i="1"/>
  <c r="BK102" i="1"/>
  <c r="BK101" i="1"/>
  <c r="BJ103" i="1"/>
  <c r="BJ102" i="1"/>
  <c r="BJ101" i="1"/>
  <c r="BJ100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5" i="1"/>
  <c r="AZ86" i="1"/>
  <c r="AZ87" i="1"/>
  <c r="AZ88" i="1"/>
  <c r="AZ89" i="1"/>
  <c r="AZ3" i="1"/>
  <c r="BN96" i="1"/>
  <c r="BN95" i="1"/>
  <c r="BN94" i="1"/>
  <c r="BN93" i="1"/>
  <c r="BN92" i="1"/>
  <c r="BM96" i="1"/>
  <c r="BM95" i="1"/>
  <c r="BM94" i="1"/>
  <c r="BM93" i="1"/>
  <c r="BM92" i="1"/>
  <c r="BL96" i="1"/>
  <c r="BL95" i="1"/>
  <c r="BL94" i="1"/>
  <c r="BL92" i="1"/>
  <c r="BL93" i="1"/>
  <c r="BK96" i="1"/>
  <c r="BK95" i="1"/>
  <c r="BK94" i="1"/>
  <c r="BK93" i="1"/>
  <c r="BK92" i="1"/>
  <c r="BJ96" i="1"/>
  <c r="BJ95" i="1"/>
  <c r="BJ94" i="1"/>
  <c r="BJ93" i="1"/>
  <c r="BJ92" i="1"/>
  <c r="AM101" i="1"/>
  <c r="AS75" i="1"/>
  <c r="AS76" i="1"/>
  <c r="AS81" i="1"/>
  <c r="AS88" i="1"/>
  <c r="AQ105" i="1"/>
  <c r="AO105" i="1"/>
  <c r="AS80" i="1"/>
  <c r="AO104" i="1"/>
  <c r="AS3" i="1"/>
  <c r="AS29" i="1"/>
  <c r="AS36" i="1"/>
  <c r="AS37" i="1"/>
  <c r="AS4" i="1"/>
  <c r="AS5" i="1"/>
  <c r="AS6" i="1"/>
  <c r="AS7" i="1"/>
  <c r="AS8" i="1"/>
  <c r="AS9" i="1"/>
  <c r="AS10" i="1"/>
  <c r="AS11" i="1"/>
  <c r="AS12" i="1"/>
  <c r="AS13" i="1"/>
  <c r="AS14" i="1"/>
  <c r="AS15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30" i="1"/>
  <c r="AS31" i="1"/>
  <c r="AS33" i="1"/>
  <c r="AS34" i="1"/>
  <c r="AS35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7" i="1"/>
  <c r="AS78" i="1"/>
  <c r="AS79" i="1"/>
  <c r="AS82" i="1"/>
  <c r="AS83" i="1"/>
  <c r="AS84" i="1"/>
  <c r="AS85" i="1"/>
  <c r="AS86" i="1"/>
  <c r="AS87" i="1"/>
  <c r="AS89" i="1"/>
  <c r="AQ103" i="1"/>
  <c r="AP103" i="1"/>
  <c r="AO103" i="1"/>
  <c r="AN103" i="1"/>
  <c r="AM103" i="1"/>
  <c r="AQ102" i="1"/>
  <c r="AP102" i="1"/>
  <c r="AO102" i="1"/>
  <c r="AN102" i="1"/>
  <c r="AM102" i="1"/>
  <c r="AO114" i="1"/>
  <c r="AQ113" i="1"/>
  <c r="AP113" i="1"/>
  <c r="AO113" i="1"/>
  <c r="AN113" i="1"/>
  <c r="AM113" i="1"/>
  <c r="AQ112" i="1"/>
  <c r="AP112" i="1"/>
  <c r="AO112" i="1"/>
  <c r="AN112" i="1"/>
  <c r="AM112" i="1"/>
  <c r="AQ111" i="1"/>
  <c r="AP111" i="1"/>
  <c r="AO111" i="1"/>
  <c r="AN111" i="1"/>
  <c r="AM111" i="1"/>
  <c r="AP110" i="1"/>
  <c r="AO110" i="1"/>
  <c r="AN110" i="1"/>
  <c r="AM110" i="1"/>
  <c r="AN114" i="1"/>
  <c r="AQ114" i="1"/>
  <c r="AQ110" i="1"/>
  <c r="AP114" i="1"/>
  <c r="AM114" i="1"/>
  <c r="AS93" i="1"/>
  <c r="AS94" i="1"/>
  <c r="AQ104" i="1"/>
  <c r="AQ101" i="1"/>
  <c r="AP105" i="1"/>
  <c r="AP104" i="1"/>
  <c r="AP101" i="1"/>
  <c r="AO101" i="1"/>
  <c r="AN105" i="1"/>
  <c r="AN104" i="1"/>
  <c r="AN101" i="1"/>
  <c r="AM105" i="1"/>
  <c r="AM104" i="1"/>
  <c r="AV96" i="1"/>
  <c r="AV97" i="1"/>
  <c r="AV98" i="1"/>
  <c r="AV99" i="1"/>
  <c r="AW101" i="1"/>
  <c r="AV101" i="1"/>
  <c r="AW99" i="1"/>
  <c r="AW98" i="1"/>
  <c r="AW97" i="1"/>
  <c r="AW96" i="1"/>
  <c r="AW95" i="1"/>
  <c r="AS95" i="1"/>
  <c r="AS98" i="1"/>
  <c r="AS97" i="1"/>
  <c r="AS96" i="1"/>
  <c r="AS92" i="1"/>
  <c r="AS90" i="1"/>
  <c r="AS9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<sst xmlns="http://schemas.openxmlformats.org/spreadsheetml/2006/main" count="1656" uniqueCount="378">
  <si>
    <t>StartDate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</si>
  <si>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</si>
  <si>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</si>
  <si>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</si>
  <si>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</si>
  <si>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</si>
  <si>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</si>
  <si>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</si>
  <si>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</si>
  <si>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</si>
  <si>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</si>
  <si>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</si>
  <si>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</si>
  <si>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</si>
  <si>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Q1</t>
  </si>
  <si>
    <t>Q8</t>
  </si>
  <si>
    <t>Q2</t>
  </si>
  <si>
    <t>Q9</t>
  </si>
  <si>
    <t>Q9_10_TEXT</t>
  </si>
  <si>
    <t>Q27</t>
  </si>
  <si>
    <t>Q27_6_TEXT</t>
  </si>
  <si>
    <t>Q13</t>
  </si>
  <si>
    <t>Q15</t>
  </si>
  <si>
    <t>Q24_1</t>
  </si>
  <si>
    <t>Q33</t>
  </si>
  <si>
    <t>Q36</t>
  </si>
  <si>
    <t>Q37</t>
  </si>
  <si>
    <t>Q4</t>
  </si>
  <si>
    <t>Q5</t>
  </si>
  <si>
    <t>Q5_6_TEXT</t>
  </si>
  <si>
    <t>Q3</t>
  </si>
  <si>
    <t>Q32</t>
  </si>
  <si>
    <t>Q16_1</t>
  </si>
  <si>
    <t>Q16_2</t>
  </si>
  <si>
    <t>Q16_3</t>
  </si>
  <si>
    <t>Q16_4</t>
  </si>
  <si>
    <t>Q16_5</t>
  </si>
  <si>
    <t>Q16_6</t>
  </si>
  <si>
    <t>Q16_7</t>
  </si>
  <si>
    <t>Q16_8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</si>
  <si>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</si>
  <si>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</si>
  <si>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</si>
  <si>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</si>
  <si>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</si>
  <si>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</si>
  <si>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</si>
  <si>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</si>
  <si>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</si>
  <si>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</si>
  <si>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</si>
  <si>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</si>
  <si>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</si>
  <si>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</si>
  <si>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What was your gender assigned at birth?</t>
  </si>
  <si>
    <t>What year were you born?</t>
  </si>
  <si>
    <t>What is your academic year?</t>
  </si>
  <si>
    <t>At UMass, what college are you in? - Selected Choice</t>
  </si>
  <si>
    <t>At UMass, what college are you in? - Other/Not at Umass - Text</t>
  </si>
  <si>
    <t>Are there circumstances besides social media, that might be effecting your sleep? - Selected Choice</t>
  </si>
  <si>
    <t>Are there circumstances besides social media, that might be effecting your sleep? - Other - Text</t>
  </si>
  <si>
    <t>How many hours do you typically sleep each night during the week?</t>
  </si>
  <si>
    <t>How many hours do you typically sleep each night on the weekend?</t>
  </si>
  <si>
    <t>How well rested do you feel on a typical morning? - 0 being worst, 10 being best</t>
  </si>
  <si>
    <t>Do you feel sleepy during the day on days when getting the recommended 7-9 hours of sleep?</t>
  </si>
  <si>
    <t>On average how many times a week do you nap?</t>
  </si>
  <si>
    <t>Of those naps, how long are they typically?</t>
  </si>
  <si>
    <t>What was your Daily Average screen time in hours in the past few weeks?</t>
  </si>
  <si>
    <t>On your Daily Average Screen time, what is your most used social media app? - Selected Choice</t>
  </si>
  <si>
    <t>On your Daily Average Screen time, what is your most used social media app? - Other - Text</t>
  </si>
  <si>
    <t>Do you put your phone on Do-Not-Disturb at night?</t>
  </si>
  <si>
    <t>If you have trouble falling asleep, do you tend to pick up your phone and check it?</t>
  </si>
  <si>
    <t>Answer by agreeing or disagreeing with the following statements - I find social media to be addicting</t>
  </si>
  <si>
    <t>Answer by agreeing or disagreeing with the following statements - I find myself using social media more than I think I should be</t>
  </si>
  <si>
    <t>Answer by agreeing or disagreeing with the following statements - I can easily refrain from using my phone for long periods of time (4+ hours)</t>
  </si>
  <si>
    <t>Answer by agreeing or disagreeing with the following statements - I typically use my phone less than 30 minutes before bed</t>
  </si>
  <si>
    <t>Answer by agreeing or disagreeing with the following statements - I find it hard to put my phone down before bed</t>
  </si>
  <si>
    <t>Answer by agreeing or disagreeing with the following statements - I think my phone might be one of the main reasons contributing to my poor sleep</t>
  </si>
  <si>
    <t>Answer by agreeing or disagreeing with the following statements - I would say I have a regular sleep schedule</t>
  </si>
  <si>
    <t>Answer by agreeing or disagreeing with the following statements - I sleep with my phone in close proximity to me</t>
  </si>
  <si>
    <t>128.119.202.180</t>
  </si>
  <si>
    <t>R_3MyrScPfI4zlAQo</t>
  </si>
  <si>
    <t/>
  </si>
  <si>
    <t>anonymous</t>
  </si>
  <si>
    <t>EN</t>
  </si>
  <si>
    <t>2003</t>
  </si>
  <si>
    <t>4</t>
  </si>
  <si>
    <t>128.119.202.22</t>
  </si>
  <si>
    <t>R_6etIBuP00FLOa3G</t>
  </si>
  <si>
    <t>1,2,3,4</t>
  </si>
  <si>
    <t>71.233.164.50</t>
  </si>
  <si>
    <t>R_5Jvsr6WLEkcutKF</t>
  </si>
  <si>
    <t>2</t>
  </si>
  <si>
    <t>73.234.63.108</t>
  </si>
  <si>
    <t>R_1q9PgYYkUnthMPf</t>
  </si>
  <si>
    <t>1,2,4</t>
  </si>
  <si>
    <t>R_1P5oy873HAQM9Rs</t>
  </si>
  <si>
    <t>1</t>
  </si>
  <si>
    <t>137.141.240.173</t>
  </si>
  <si>
    <t>R_7OIw3VbXtujmC1U</t>
  </si>
  <si>
    <t>2005</t>
  </si>
  <si>
    <t>Suny Oneonta</t>
  </si>
  <si>
    <t>R_6uOkTeiJrZTqjE0</t>
  </si>
  <si>
    <t>1,4</t>
  </si>
  <si>
    <t>107.189.40.14</t>
  </si>
  <si>
    <t>R_3O8iFvLTS72DfbJ</t>
  </si>
  <si>
    <t>2002</t>
  </si>
  <si>
    <t>73.4.133.96</t>
  </si>
  <si>
    <t>R_37NkkfRMNDhekaJ</t>
  </si>
  <si>
    <t>104.28.39.139</t>
  </si>
  <si>
    <t>R_5jlQLAYkG3qSRzP</t>
  </si>
  <si>
    <t>1,2</t>
  </si>
  <si>
    <t>174.234.224.231</t>
  </si>
  <si>
    <t>R_7ly1AZZqNMjUz5v</t>
  </si>
  <si>
    <t xml:space="preserve">Nazareth University </t>
  </si>
  <si>
    <t>128.119.202.92</t>
  </si>
  <si>
    <t>R_5bIxqHK5S1GsbL5</t>
  </si>
  <si>
    <t>172.59.177.37</t>
  </si>
  <si>
    <t>R_390NHGEMH7l4RMd</t>
  </si>
  <si>
    <t>2004</t>
  </si>
  <si>
    <t>R_7Vj2hAEsjw3FYkx</t>
  </si>
  <si>
    <t>Newton</t>
  </si>
  <si>
    <t>172.56.112.40</t>
  </si>
  <si>
    <t>R_5U0cyb539zHkxUd</t>
  </si>
  <si>
    <t>1995</t>
  </si>
  <si>
    <t>151.202.15.36</t>
  </si>
  <si>
    <t>R_6Nsk9b5760Qo36r</t>
  </si>
  <si>
    <t>Oneonta</t>
  </si>
  <si>
    <t>128.119.202.254</t>
  </si>
  <si>
    <t>R_323xFtkPg2CksjW</t>
  </si>
  <si>
    <t>137.141.142.21</t>
  </si>
  <si>
    <t>R_7CwnAZOTnJMzjno</t>
  </si>
  <si>
    <t>137.141.108.238</t>
  </si>
  <si>
    <t>R_3Pdo2V8lrJSvUah</t>
  </si>
  <si>
    <t>128.119.202.43</t>
  </si>
  <si>
    <t>R_5PecbQYm5HJQKJq</t>
  </si>
  <si>
    <t>71.247.208.179</t>
  </si>
  <si>
    <t>R_573hvCFsuzG1KAZ</t>
  </si>
  <si>
    <t>104.28.58.1</t>
  </si>
  <si>
    <t>R_6WHDo7DZf16PwB7</t>
  </si>
  <si>
    <t>2000</t>
  </si>
  <si>
    <t>128.119.202.57</t>
  </si>
  <si>
    <t>R_1ko0ESwwxCEQT3c</t>
  </si>
  <si>
    <t>128.119.202.202</t>
  </si>
  <si>
    <t>R_3NCAtuv04kknoy3</t>
  </si>
  <si>
    <t>128.119.202.226</t>
  </si>
  <si>
    <t>R_728hiP9O48xEG4x</t>
  </si>
  <si>
    <t>104.28.39.41</t>
  </si>
  <si>
    <t>R_1Pb9qdlU4btwXLP</t>
  </si>
  <si>
    <t>128.119.202.232</t>
  </si>
  <si>
    <t>R_3h14pDUBbuK8Lfj</t>
  </si>
  <si>
    <t>107.123.17.15</t>
  </si>
  <si>
    <t>R_74HLPni1hzV7VsJ</t>
  </si>
  <si>
    <t>174.242.138.217</t>
  </si>
  <si>
    <t>R_1gZVWZIn8QFQyII</t>
  </si>
  <si>
    <t>174.224.177.212</t>
  </si>
  <si>
    <t>R_3628uCj82fI3ybn</t>
  </si>
  <si>
    <t>Messages</t>
  </si>
  <si>
    <t>24.63.75.30</t>
  </si>
  <si>
    <t>R_7Y4zP1uXUTaW4gN</t>
  </si>
  <si>
    <t>reddit</t>
  </si>
  <si>
    <t>172.56.116.44</t>
  </si>
  <si>
    <t>R_5P5dC8o3nE4MpWT</t>
  </si>
  <si>
    <t>107.123.17.82</t>
  </si>
  <si>
    <t>R_6DzM4jL9LKUe4ji</t>
  </si>
  <si>
    <t>128.119.202.182</t>
  </si>
  <si>
    <t>R_7aAmzJjsvUHcPYJ</t>
  </si>
  <si>
    <t>messages</t>
  </si>
  <si>
    <t>73.17.79.115</t>
  </si>
  <si>
    <t>R_3jx4or8xSnxwnVQ</t>
  </si>
  <si>
    <t>R_3lTBY1SvmLrocq5</t>
  </si>
  <si>
    <t>preview</t>
  </si>
  <si>
    <t>107.123.17.40</t>
  </si>
  <si>
    <t>R_6ouyqW3JzclXD09</t>
  </si>
  <si>
    <t>185.215.146.137</t>
  </si>
  <si>
    <t>R_8GqfXgYdO1xiE4L</t>
  </si>
  <si>
    <t>128.119.202.214</t>
  </si>
  <si>
    <t>R_3J2l9sY8d6xEm7T</t>
  </si>
  <si>
    <t>65.183.139.109</t>
  </si>
  <si>
    <t>R_7h09vuD32FvCsG4</t>
  </si>
  <si>
    <t>75.219.245.124</t>
  </si>
  <si>
    <t>R_7oZ7CnFm90uiiEj</t>
  </si>
  <si>
    <t>parsons bitchh</t>
  </si>
  <si>
    <t>174.242.71.6</t>
  </si>
  <si>
    <t>R_3qTYx3nuUthUHGz</t>
  </si>
  <si>
    <t>1,2,3</t>
  </si>
  <si>
    <t>174.242.137.141</t>
  </si>
  <si>
    <t>R_7TvwxwELjjT7ZPH</t>
  </si>
  <si>
    <t>172.56.119.162</t>
  </si>
  <si>
    <t>R_5fnBgfCnEaIFL0t</t>
  </si>
  <si>
    <t>1,3,4</t>
  </si>
  <si>
    <t>128.119.202.101</t>
  </si>
  <si>
    <t>R_7vkWB0KRNRmcZDB</t>
  </si>
  <si>
    <t>128.119.202.19</t>
  </si>
  <si>
    <t>R_6064mS3vKgO77DR</t>
  </si>
  <si>
    <t>128.119.202.234</t>
  </si>
  <si>
    <t>R_1rk1OmLPWTY0s60</t>
  </si>
  <si>
    <t>71.233.164.102</t>
  </si>
  <si>
    <t>R_7PejCWDoVBFF3e1</t>
  </si>
  <si>
    <t>128.119.202.11</t>
  </si>
  <si>
    <t>R_5aDzVHvUbUSW91X</t>
  </si>
  <si>
    <t>146.75.252.0</t>
  </si>
  <si>
    <t>R_7IW6Y7NPMqvzrPw</t>
  </si>
  <si>
    <t>166.199.149.17</t>
  </si>
  <si>
    <t>R_7dhbOMczMbFeQCB</t>
  </si>
  <si>
    <t>2006</t>
  </si>
  <si>
    <t>128.119.202.237</t>
  </si>
  <si>
    <t>R_7jTfoXFVTQrXzii</t>
  </si>
  <si>
    <t>128.119.202.124</t>
  </si>
  <si>
    <t>R_3kXkhe5AjqsvwzD</t>
  </si>
  <si>
    <t>128.119.202.95</t>
  </si>
  <si>
    <t>R_5qF4TknHSZteyFP</t>
  </si>
  <si>
    <t xml:space="preserve">Massachusetts </t>
  </si>
  <si>
    <t>128.119.202.59</t>
  </si>
  <si>
    <t>R_55TufA9et0h3HYB</t>
  </si>
  <si>
    <t>69.6.101.208</t>
  </si>
  <si>
    <t>R_3TVQkwQNocddd3X</t>
  </si>
  <si>
    <t xml:space="preserve">St Lawrence University </t>
  </si>
  <si>
    <t>73.186.113.227</t>
  </si>
  <si>
    <t>R_72y10nrM6TqqPqY</t>
  </si>
  <si>
    <t>71.255.140.6</t>
  </si>
  <si>
    <t>R_5Jjw3elo3b6oIbT</t>
  </si>
  <si>
    <t>128.119.202.109</t>
  </si>
  <si>
    <t>R_6hszAmsxycn65iF</t>
  </si>
  <si>
    <t>128.119.202.99</t>
  </si>
  <si>
    <t>R_1Dpcj5ldFznSLjJ</t>
  </si>
  <si>
    <t>3,4</t>
  </si>
  <si>
    <t>128.119.202.49</t>
  </si>
  <si>
    <t>R_1IgAdzvl7WkuUPF</t>
  </si>
  <si>
    <t>128.119.202.233</t>
  </si>
  <si>
    <t>R_1frLeL36rwLEKS4</t>
  </si>
  <si>
    <t>128.119.202.190</t>
  </si>
  <si>
    <t>R_1BflqAwmWuS8Zjz</t>
  </si>
  <si>
    <t>128.119.202.54</t>
  </si>
  <si>
    <t>R_6uBKRWtDWcc34ul</t>
  </si>
  <si>
    <t>128.119.202.193</t>
  </si>
  <si>
    <t>R_1DuHxDB72M9xODP</t>
  </si>
  <si>
    <t>174.242.133.60</t>
  </si>
  <si>
    <t>R_5F2jglp6RDe8peB</t>
  </si>
  <si>
    <t>1,3</t>
  </si>
  <si>
    <t>75.69.118.230</t>
  </si>
  <si>
    <t>R_37Nkfk3ZNajB6SF</t>
  </si>
  <si>
    <t>24.34.12.121</t>
  </si>
  <si>
    <t>R_1fixOa1MRPDhvIG</t>
  </si>
  <si>
    <t>R_6fOjs3ybhb7pIZj</t>
  </si>
  <si>
    <t>128.119.202.1</t>
  </si>
  <si>
    <t>R_6ge15plrxrr05Pj</t>
  </si>
  <si>
    <t>107.115.17.144</t>
  </si>
  <si>
    <t>R_5pSXcqP4Dv60990</t>
  </si>
  <si>
    <t>128.119.202.68</t>
  </si>
  <si>
    <t>R_72VFOfGYg2WtZyA</t>
  </si>
  <si>
    <t>128.119.202.201</t>
  </si>
  <si>
    <t>R_6RVLSIGSs3TNjc8</t>
  </si>
  <si>
    <t>6</t>
  </si>
  <si>
    <t>No other circumstances</t>
  </si>
  <si>
    <t>128.119.202.8</t>
  </si>
  <si>
    <t>R_6wmL0bM9eg2Re1o</t>
  </si>
  <si>
    <t>No</t>
  </si>
  <si>
    <t>76.71.154.100</t>
  </si>
  <si>
    <t>R_1DtfXPSNAfmYUvx</t>
  </si>
  <si>
    <t>104.28.39.42</t>
  </si>
  <si>
    <t>R_3hGPErLJLOsVwS6</t>
  </si>
  <si>
    <t>128.119.202.3</t>
  </si>
  <si>
    <t>R_6nDinOVV2foAc1w</t>
  </si>
  <si>
    <t>128.119.202.38</t>
  </si>
  <si>
    <t>R_5kHZMAsrUw2i5yX</t>
  </si>
  <si>
    <t>5,6</t>
  </si>
  <si>
    <t>R_5K42lr7jzvoNaDk</t>
  </si>
  <si>
    <t>128.119.202.17</t>
  </si>
  <si>
    <t>R_69pj2faUO9flxNl</t>
  </si>
  <si>
    <t>128.119.202.56</t>
  </si>
  <si>
    <t>R_3fwRhYtva41cKFn</t>
  </si>
  <si>
    <t>146.75.252.1</t>
  </si>
  <si>
    <t>R_5ruQrKmEyTyD1U3</t>
  </si>
  <si>
    <t>67.172.40.19</t>
  </si>
  <si>
    <t>R_5YfZiCWAwrGJazn</t>
  </si>
  <si>
    <t>172.56.192.207</t>
  </si>
  <si>
    <t>R_3Ak5QfNAtYugNDX</t>
  </si>
  <si>
    <t>2038</t>
  </si>
  <si>
    <t>128.119.202.5</t>
  </si>
  <si>
    <t>R_3JL8714EuoqLLnN</t>
  </si>
  <si>
    <t>75.67.238.96</t>
  </si>
  <si>
    <t>R_73dF3RtJLT8ixWl</t>
  </si>
  <si>
    <t>128.119.202.88</t>
  </si>
  <si>
    <t>R_1bIujYtCgjJr3km</t>
  </si>
  <si>
    <t>Age</t>
  </si>
  <si>
    <t>Mean</t>
  </si>
  <si>
    <t>Median</t>
  </si>
  <si>
    <t>Weekend Sleep</t>
  </si>
  <si>
    <t>Week Sleep</t>
  </si>
  <si>
    <t>0-4 Hours</t>
  </si>
  <si>
    <t>4-6 Hours</t>
  </si>
  <si>
    <t>6-8 Hours</t>
  </si>
  <si>
    <t>8-10 Hours</t>
  </si>
  <si>
    <t>10+ Hours</t>
  </si>
  <si>
    <t>Labels</t>
  </si>
  <si>
    <t>Week</t>
  </si>
  <si>
    <t>Weekend</t>
  </si>
  <si>
    <t>23+</t>
  </si>
  <si>
    <t>2-4 hours</t>
  </si>
  <si>
    <t>Sleep Week</t>
  </si>
  <si>
    <t>Sleep Weekend</t>
  </si>
  <si>
    <t>Screen 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</si>
  <si>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</si>
  <si>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</si>
  <si>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</si>
  <si>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</si>
  <si>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</si>
  <si>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</si>
  <si>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</si>
  <si>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</si>
  <si>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</si>
  <si>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</si>
  <si>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</si>
  <si>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</si>
  <si>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</si>
  <si>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</si>
  <si>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</si>
  <si>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</si>
  <si>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</si>
  <si>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</si>
  <si>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</si>
  <si>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</si>
  <si>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</si>
  <si>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</si>
  <si>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</si>
  <si>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</si>
  <si>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0-2 Hours </t>
  </si>
  <si>
    <t>8+ Hours</t>
  </si>
  <si>
    <t>0-2 Hours</t>
  </si>
  <si>
    <t>2-4 Hours</t>
  </si>
  <si>
    <t>Apps</t>
  </si>
  <si>
    <t>Instagram</t>
  </si>
  <si>
    <t>TikTok</t>
  </si>
  <si>
    <t>YouTube</t>
  </si>
  <si>
    <t>Snapchat</t>
  </si>
  <si>
    <t>X/Twitter</t>
  </si>
  <si>
    <t>Other</t>
  </si>
  <si>
    <t>Tiktok</t>
  </si>
  <si>
    <t>week</t>
  </si>
  <si>
    <t>weekend</t>
  </si>
  <si>
    <t>Youtube</t>
  </si>
  <si>
    <t>app</t>
  </si>
  <si>
    <t xml:space="preserve">Mean </t>
  </si>
  <si>
    <t>Diff in sleep</t>
  </si>
  <si>
    <t>Same</t>
  </si>
  <si>
    <t>More</t>
  </si>
  <si>
    <t>Less</t>
  </si>
  <si>
    <t>Ph @ Night</t>
  </si>
  <si>
    <t>Tendency to put phone away</t>
  </si>
  <si>
    <t>All</t>
  </si>
  <si>
    <t>X/twitter</t>
  </si>
  <si>
    <t>Addicting</t>
  </si>
  <si>
    <t>Hard to put phone down</t>
  </si>
  <si>
    <t>Addicted</t>
  </si>
  <si>
    <t>Cnat sleep</t>
  </si>
  <si>
    <t>Put down</t>
  </si>
  <si>
    <t>Bad Sleep</t>
  </si>
  <si>
    <t>Colleges</t>
  </si>
  <si>
    <t>SBS</t>
  </si>
  <si>
    <t>HFA</t>
  </si>
  <si>
    <t>College of Engineering</t>
  </si>
  <si>
    <t>Isenberg School of Management</t>
  </si>
  <si>
    <t>College of Nursing</t>
  </si>
  <si>
    <t>College of Education</t>
  </si>
  <si>
    <t>Public Health/Health Sciences</t>
  </si>
  <si>
    <t>Information/Computer Science</t>
  </si>
  <si>
    <t>College of Natural Sciences</t>
  </si>
  <si>
    <t>Other/Not at UMass</t>
  </si>
  <si>
    <t>Counts</t>
  </si>
  <si>
    <t>OIM</t>
  </si>
  <si>
    <t>Engineering</t>
  </si>
  <si>
    <t>Nursing</t>
  </si>
  <si>
    <t>Education</t>
  </si>
  <si>
    <t>CICS</t>
  </si>
  <si>
    <t>CNS</t>
  </si>
  <si>
    <t>PH/HS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</si>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</sst>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  <xf numFmtId="16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Weekend</a:t>
            </a:r>
            <a:r>
              <a:rPr lang="en-US" baseline="0"/>
              <a:t> vs Week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Sheet0!$AV$94</c:f>
              <c:strCache>
                <c:ptCount val="1"/>
                <c:pt idx="0">
                  <c:v>Week Sleep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Sheet0!$AX$95:$AX$99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Sheet0!$AV$95:$AV$99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20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7-4E47-A1C4-93FF1B969EA0}"/>
            </c:ext>
          </c:extLst>
        </c:ser>
        <c:ser>
          <c:idx val="1"/>
          <c:order val="1"/>
          <c:tx>
            <c:strRef>
              <c:f>Sheet0!$AW$94</c:f>
              <c:strCache>
                <c:ptCount val="1"/>
                <c:pt idx="0">
                  <c:v>Weekend Sleep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Sheet0!$AX$95:$AX$99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Sheet0!$AW$95:$AW$99</c:f>
              <c:numCache>
                <c:formatCode>General</c:formatCode>
                <c:ptCount val="5"/>
                <c:pt idx="0">
                  <c:v>4</c:v>
                </c:pt>
                <c:pt idx="1">
                  <c:v>40</c:v>
                </c:pt>
                <c:pt idx="2">
                  <c:v>34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7-4E47-A1C4-93FF1B969EA0}"/>
            </c:ext>
          </c:extLst>
        </c:ser>
        <c:ser>
          <c:idx val="2"/>
          <c:order val="2"/>
          <c:tx>
            <c:strRef>
              <c:f>Sheet0!$AX$94</c:f>
              <c:strCache>
                <c:ptCount val="1"/>
                <c:pt idx="0">
                  <c:v>Labels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Sheet0!$AX$95:$AX$99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Sheet0!$AX$95:$AX$99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7-4E47-A1C4-93FF1B96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954624"/>
        <c:axId val="944965664"/>
      </c:barChart>
      <c:catAx>
        <c:axId val="9449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65664"/>
        <c:crosses val="autoZero"/>
        <c:auto val="1"/>
        <c:lblAlgn val="ctr"/>
        <c:lblOffset val="100"/>
        <c:noMultiLvlLbl val="0"/>
      </c:catAx>
      <c:valAx>
        <c:axId val="9449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Most used App and Weekend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Sheet0!$AR$130</c:f>
              <c:strCache>
                <c:ptCount val="1"/>
                <c:pt idx="0">
                  <c:v>0-4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Sheet0!$AS$129:$AW$129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Sheet0!$AS$130:$AW$130</c:f>
              <c:numCache>
                <c:formatCode>General</c:formatCode>
                <c:ptCount val="5"/>
                <c:pt idx="0">
                  <c:v>0</c:v>
                </c:pt>
                <c:pt idx="1">
                  <c:v>0.75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5-4536-A18A-5308CA91B947}"/>
            </c:ext>
          </c:extLst>
        </c:ser>
        <c:ser>
          <c:idx val="1"/>
          <c:order val="1"/>
          <c:tx>
            <c:strRef>
              <c:f>Sheet0!$AR$131</c:f>
              <c:strCache>
                <c:ptCount val="1"/>
                <c:pt idx="0">
                  <c:v>4-6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Sheet0!$AS$129:$AW$129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Sheet0!$AS$131:$AW$131</c:f>
              <c:numCache>
                <c:formatCode>General</c:formatCode>
                <c:ptCount val="5"/>
                <c:pt idx="0">
                  <c:v>0.4</c:v>
                </c:pt>
                <c:pt idx="1">
                  <c:v>0.47499999999999998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5-4536-A18A-5308CA91B947}"/>
            </c:ext>
          </c:extLst>
        </c:ser>
        <c:ser>
          <c:idx val="2"/>
          <c:order val="2"/>
          <c:tx>
            <c:strRef>
              <c:f>Sheet0!$AR$132</c:f>
              <c:strCache>
                <c:ptCount val="1"/>
                <c:pt idx="0">
                  <c:v>6-8 Hours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Sheet0!$AS$129:$AW$129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Sheet0!$AS$132:$AW$132</c:f>
              <c:numCache>
                <c:formatCode>General</c:formatCode>
                <c:ptCount val="5"/>
                <c:pt idx="0">
                  <c:v>0.5</c:v>
                </c:pt>
                <c:pt idx="1">
                  <c:v>0.29411764705882354</c:v>
                </c:pt>
                <c:pt idx="2">
                  <c:v>8.8235294117647065E-2</c:v>
                </c:pt>
                <c:pt idx="3">
                  <c:v>8.8235294117647065E-2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A5-4536-A18A-5308CA91B947}"/>
            </c:ext>
          </c:extLst>
        </c:ser>
        <c:ser>
          <c:idx val="3"/>
          <c:order val="3"/>
          <c:tx>
            <c:strRef>
              <c:f>Sheet0!$AR$133</c:f>
              <c:strCache>
                <c:ptCount val="1"/>
                <c:pt idx="0">
                  <c:v>8-10 Hours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Sheet0!$AS$129:$AW$129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Sheet0!$AS$133:$AW$133</c:f>
              <c:numCache>
                <c:formatCode>General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A5-4536-A18A-5308CA91B947}"/>
            </c:ext>
          </c:extLst>
        </c:ser>
        <c:ser>
          <c:idx val="4"/>
          <c:order val="4"/>
          <c:tx>
            <c:strRef>
              <c:f>Sheet0!$AR$134</c:f>
              <c:strCache>
                <c:ptCount val="1"/>
                <c:pt idx="0">
                  <c:v>10+ Hours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Sheet0!$AS$129:$AW$129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Sheet0!$AS$134:$AW$134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A5-4536-A18A-5308CA91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312768"/>
        <c:axId val="970308928"/>
      </c:barChart>
      <c:catAx>
        <c:axId val="9703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308928"/>
        <c:crosses val="autoZero"/>
        <c:auto val="1"/>
        <c:lblAlgn val="ctr"/>
        <c:lblOffset val="100"/>
        <c:noMultiLvlLbl val="0"/>
      </c:catAx>
      <c:valAx>
        <c:axId val="9703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3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Most used App and Weekday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Sheet0!$AR$122</c:f>
              <c:strCache>
                <c:ptCount val="1"/>
                <c:pt idx="0">
                  <c:v>0-4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Sheet0!$AS$121:$AW$121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Sheet0!$AS$122:$AW$122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F-44C6-8CFF-5ECD938866A0}"/>
            </c:ext>
          </c:extLst>
        </c:ser>
        <c:ser>
          <c:idx val="1"/>
          <c:order val="1"/>
          <c:tx>
            <c:strRef>
              <c:f>Sheet0!$AR$123</c:f>
              <c:strCache>
                <c:ptCount val="1"/>
                <c:pt idx="0">
                  <c:v>4-6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Sheet0!$AS$121:$AW$121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Sheet0!$AS$123:$AW$123</c:f>
              <c:numCache>
                <c:formatCode>General</c:formatCode>
                <c:ptCount val="5"/>
                <c:pt idx="0">
                  <c:v>28</c:v>
                </c:pt>
                <c:pt idx="1">
                  <c:v>25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F-44C6-8CFF-5ECD938866A0}"/>
            </c:ext>
          </c:extLst>
        </c:ser>
        <c:ser>
          <c:idx val="2"/>
          <c:order val="2"/>
          <c:tx>
            <c:strRef>
              <c:f>Sheet0!$AR$124</c:f>
              <c:strCache>
                <c:ptCount val="1"/>
                <c:pt idx="0">
                  <c:v>6-8 Hours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Sheet0!$AS$121:$AW$121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Sheet0!$AS$124:$AW$124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8F-44C6-8CFF-5ECD938866A0}"/>
            </c:ext>
          </c:extLst>
        </c:ser>
        <c:ser>
          <c:idx val="3"/>
          <c:order val="3"/>
          <c:tx>
            <c:strRef>
              <c:f>Sheet0!$AR$125</c:f>
              <c:strCache>
                <c:ptCount val="1"/>
                <c:pt idx="0">
                  <c:v>8-10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Sheet0!$AS$121:$AW$121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Sheet0!$AS$125:$AW$125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8F-44C6-8CFF-5ECD938866A0}"/>
            </c:ext>
          </c:extLst>
        </c:ser>
        <c:ser>
          <c:idx val="4"/>
          <c:order val="4"/>
          <c:tx>
            <c:strRef>
              <c:f>Sheet0!$AR$126</c:f>
              <c:strCache>
                <c:ptCount val="1"/>
                <c:pt idx="0">
                  <c:v>10+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Sheet0!$AS$121:$AW$121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Sheet0!$AS$126:$AW$126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8F-44C6-8CFF-5ECD93886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757728"/>
        <c:axId val="991764448"/>
      </c:lineChart>
      <c:catAx>
        <c:axId val="9917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64448"/>
        <c:crosses val="autoZero"/>
        <c:auto val="1"/>
        <c:lblAlgn val="ctr"/>
        <c:lblOffset val="100"/>
        <c:noMultiLvlLbl val="0"/>
      </c:catAx>
      <c:valAx>
        <c:axId val="9917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Most used App and Weekend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Sheet0!$AR$130</c:f>
              <c:strCache>
                <c:ptCount val="1"/>
                <c:pt idx="0">
                  <c:v>0-4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Sheet0!$AS$129:$AW$129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Sheet0!$AS$130:$AW$130</c:f>
              <c:numCache>
                <c:formatCode>General</c:formatCode>
                <c:ptCount val="5"/>
                <c:pt idx="0">
                  <c:v>0</c:v>
                </c:pt>
                <c:pt idx="1">
                  <c:v>0.75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A-40F9-9C85-B3453FFACDB8}"/>
            </c:ext>
          </c:extLst>
        </c:ser>
        <c:ser>
          <c:idx val="1"/>
          <c:order val="1"/>
          <c:tx>
            <c:strRef>
              <c:f>Sheet0!$AR$131</c:f>
              <c:strCache>
                <c:ptCount val="1"/>
                <c:pt idx="0">
                  <c:v>4-6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Sheet0!$AS$129:$AW$129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Sheet0!$AS$131:$AW$131</c:f>
              <c:numCache>
                <c:formatCode>General</c:formatCode>
                <c:ptCount val="5"/>
                <c:pt idx="0">
                  <c:v>0.4</c:v>
                </c:pt>
                <c:pt idx="1">
                  <c:v>0.47499999999999998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A-40F9-9C85-B3453FFACDB8}"/>
            </c:ext>
          </c:extLst>
        </c:ser>
        <c:ser>
          <c:idx val="2"/>
          <c:order val="2"/>
          <c:tx>
            <c:strRef>
              <c:f>Sheet0!$AR$132</c:f>
              <c:strCache>
                <c:ptCount val="1"/>
                <c:pt idx="0">
                  <c:v>6-8 Hours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Sheet0!$AS$129:$AW$129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Sheet0!$AS$132:$AW$132</c:f>
              <c:numCache>
                <c:formatCode>General</c:formatCode>
                <c:ptCount val="5"/>
                <c:pt idx="0">
                  <c:v>0.5</c:v>
                </c:pt>
                <c:pt idx="1">
                  <c:v>0.29411764705882354</c:v>
                </c:pt>
                <c:pt idx="2">
                  <c:v>8.8235294117647065E-2</c:v>
                </c:pt>
                <c:pt idx="3">
                  <c:v>8.8235294117647065E-2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A-40F9-9C85-B3453FFACDB8}"/>
            </c:ext>
          </c:extLst>
        </c:ser>
        <c:ser>
          <c:idx val="3"/>
          <c:order val="3"/>
          <c:tx>
            <c:strRef>
              <c:f>Sheet0!$AR$133</c:f>
              <c:strCache>
                <c:ptCount val="1"/>
                <c:pt idx="0">
                  <c:v>8-10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Sheet0!$AS$129:$AW$129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Sheet0!$AS$133:$AW$133</c:f>
              <c:numCache>
                <c:formatCode>General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AA-40F9-9C85-B3453FFACDB8}"/>
            </c:ext>
          </c:extLst>
        </c:ser>
        <c:ser>
          <c:idx val="4"/>
          <c:order val="4"/>
          <c:tx>
            <c:strRef>
              <c:f>Sheet0!$AR$134</c:f>
              <c:strCache>
                <c:ptCount val="1"/>
                <c:pt idx="0">
                  <c:v>10+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Sheet0!$AS$129:$AW$129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Sheet0!$AS$134:$AW$134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AA-40F9-9C85-B3453FFA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458032"/>
        <c:axId val="938458512"/>
      </c:lineChart>
      <c:catAx>
        <c:axId val="93845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58512"/>
        <c:crosses val="autoZero"/>
        <c:auto val="1"/>
        <c:lblAlgn val="ctr"/>
        <c:lblOffset val="100"/>
        <c:noMultiLvlLbl val="0"/>
      </c:catAx>
      <c:valAx>
        <c:axId val="9384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Weekday and Weekend Sleep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5E-4E6F-8C1D-88089A5A75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5E-4E6F-8C1D-88089A5A75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5E-4E6F-8C1D-88089A5A75EC}"/>
              </c:ext>
            </c:extLst>
          </c:dPt>
          <c:cat>
            <c:strRef>
              <c:f>Sheet0!$AN$93:$AN$95</c:f>
              <c:strCache>
                <c:ptCount val="3"/>
                <c:pt idx="0">
                  <c:v>Same</c:v>
                </c:pt>
                <c:pt idx="1">
                  <c:v>More</c:v>
                </c:pt>
                <c:pt idx="2">
                  <c:v>Less</c:v>
                </c:pt>
              </c:strCache>
            </c:strRef>
          </c:cat>
          <c:val>
            <c:numRef>
              <c:f>Sheet0!$AO$93:$AO$95</c:f>
              <c:numCache>
                <c:formatCode>General</c:formatCode>
                <c:ptCount val="3"/>
                <c:pt idx="0">
                  <c:v>52</c:v>
                </c:pt>
                <c:pt idx="1">
                  <c:v>24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6-4E1D-8C8C-A26C77B054D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5E-4E6F-8C1D-88089A5A75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5E-4E6F-8C1D-88089A5A75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5E-4E6F-8C1D-88089A5A75EC}"/>
              </c:ext>
            </c:extLst>
          </c:dPt>
          <c:cat>
            <c:strRef>
              <c:f>Sheet0!$AN$93:$AN$95</c:f>
              <c:strCache>
                <c:ptCount val="3"/>
                <c:pt idx="0">
                  <c:v>Same</c:v>
                </c:pt>
                <c:pt idx="1">
                  <c:v>More</c:v>
                </c:pt>
                <c:pt idx="2">
                  <c:v>Less</c:v>
                </c:pt>
              </c:strCache>
            </c:strRef>
          </c:cat>
          <c:val>
            <c:numRef>
              <c:f>Sheet0!$AP$93:$AP$95</c:f>
              <c:numCache>
                <c:formatCode>General</c:formatCode>
                <c:ptCount val="3"/>
                <c:pt idx="0">
                  <c:v>0.5842696629213483</c:v>
                </c:pt>
                <c:pt idx="1">
                  <c:v>0.2696629213483146</c:v>
                </c:pt>
                <c:pt idx="2">
                  <c:v>0.12359550561797752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6-4E1D-8C8C-A26C77B05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College</a:t>
            </a:r>
            <a:r>
              <a:rPr lang="en-US" baseline="0"/>
              <a:t> and Weekend Sleep in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Sheet0!$BI$131</c:f>
              <c:strCache>
                <c:ptCount val="1"/>
                <c:pt idx="0">
                  <c:v>SBS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Sheet0!$BH$132:$BH$136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Sheet0!$BI$132:$BI$136</c:f>
              <c:numCache>
                <c:formatCode>General</c:formatCode>
                <c:ptCount val="5"/>
                <c:pt idx="0">
                  <c:v>0.5</c:v>
                </c:pt>
                <c:pt idx="1">
                  <c:v>0.15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6FC-8F00-56C21946F724}"/>
            </c:ext>
          </c:extLst>
        </c:ser>
        <c:ser>
          <c:idx val="1"/>
          <c:order val="1"/>
          <c:tx>
            <c:strRef>
              <c:f>Sheet0!$BJ$131</c:f>
              <c:strCache>
                <c:ptCount val="1"/>
                <c:pt idx="0">
                  <c:v>HFA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Sheet0!$BH$132:$BH$136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Sheet0!$BJ$132:$BJ$136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2.9411764705882353E-2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6FC-8F00-56C21946F724}"/>
            </c:ext>
          </c:extLst>
        </c:ser>
        <c:ser>
          <c:idx val="2"/>
          <c:order val="2"/>
          <c:tx>
            <c:strRef>
              <c:f>Sheet0!$BK$131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Sheet0!$BH$132:$BH$136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Sheet0!$BK$132:$BK$136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8.8235294117647065E-2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6FC-8F00-56C21946F724}"/>
            </c:ext>
          </c:extLst>
        </c:ser>
        <c:ser>
          <c:idx val="3"/>
          <c:order val="3"/>
          <c:tx>
            <c:strRef>
              <c:f>Sheet0!$BL$131</c:f>
              <c:strCache>
                <c:ptCount val="1"/>
                <c:pt idx="0">
                  <c:v>OIM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Sheet0!$BH$132:$BH$136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Sheet0!$BL$132:$BL$136</c:f>
              <c:numCache>
                <c:formatCode>General</c:formatCode>
                <c:ptCount val="5"/>
                <c:pt idx="0">
                  <c:v>0.25</c:v>
                </c:pt>
                <c:pt idx="1">
                  <c:v>0.15</c:v>
                </c:pt>
                <c:pt idx="2">
                  <c:v>0.26470588235294118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F-46FC-8F00-56C21946F724}"/>
            </c:ext>
          </c:extLst>
        </c:ser>
        <c:ser>
          <c:idx val="4"/>
          <c:order val="4"/>
          <c:tx>
            <c:strRef>
              <c:f>Sheet0!$BM$131</c:f>
              <c:strCache>
                <c:ptCount val="1"/>
                <c:pt idx="0">
                  <c:v>Nursing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Sheet0!$BH$132:$BH$136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Sheet0!$BM$132:$BM$136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AF-46FC-8F00-56C21946F724}"/>
            </c:ext>
          </c:extLst>
        </c:ser>
        <c:ser>
          <c:idx val="5"/>
          <c:order val="5"/>
          <c:tx>
            <c:strRef>
              <c:f>Sheet0!$BN$131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Sheet0!$BH$132:$BH$136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Sheet0!$BN$132:$BN$136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5.8823529411764705E-2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AF-46FC-8F00-56C21946F724}"/>
            </c:ext>
          </c:extLst>
        </c:ser>
        <c:ser>
          <c:idx val="6"/>
          <c:order val="6"/>
          <c:tx>
            <c:strRef>
              <c:f>Sheet0!$BO$131</c:f>
              <c:strCache>
                <c:ptCount val="1"/>
                <c:pt idx="0">
                  <c:v>PH/HS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Sheet0!$BH$132:$BH$136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Sheet0!$BO$132:$BO$136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0.17647058823529413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AF-46FC-8F00-56C21946F724}"/>
            </c:ext>
          </c:extLst>
        </c:ser>
        <c:ser>
          <c:idx val="7"/>
          <c:order val="7"/>
          <c:tx>
            <c:strRef>
              <c:f>Sheet0!$BP$131</c:f>
              <c:strCache>
                <c:ptCount val="1"/>
                <c:pt idx="0">
                  <c:v>CICS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Sheet0!$BH$132:$BH$136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Sheet0!$BP$132:$BP$136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2.5000000000000001E-2</c:v>
                </c:pt>
                <c:pt idx="2">
                  <c:v>8.8235294117647065E-2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AF-46FC-8F00-56C21946F724}"/>
            </c:ext>
          </c:extLst>
        </c:ser>
        <c:ser>
          <c:idx val="8"/>
          <c:order val="8"/>
          <c:tx>
            <c:strRef>
              <c:f>Sheet0!$BQ$131</c:f>
              <c:strCache>
                <c:ptCount val="1"/>
                <c:pt idx="0">
                  <c:v>CNS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Sheet0!$BH$132:$BH$136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Sheet0!$BQ$132:$BQ$136</c:f>
              <c:numCache>
                <c:formatCode>General</c:formatCode>
                <c:ptCount val="5"/>
                <c:pt idx="0">
                  <c:v>0</c:v>
                </c:pt>
                <c:pt idx="1">
                  <c:v>0.22500000000000001</c:v>
                </c:pt>
                <c:pt idx="2">
                  <c:v>8.8235294117647065E-2</c:v>
                </c:pt>
                <c:pt idx="3">
                  <c:v>0.4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AF-46FC-8F00-56C21946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067056"/>
        <c:axId val="1082062256"/>
      </c:barChart>
      <c:catAx>
        <c:axId val="10820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62256"/>
        <c:crosses val="autoZero"/>
        <c:auto val="1"/>
        <c:lblAlgn val="ctr"/>
        <c:lblOffset val="100"/>
        <c:noMultiLvlLbl val="0"/>
      </c:catAx>
      <c:valAx>
        <c:axId val="10820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College and Weekday Sleep in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Sheet0!$BI$138</c:f>
              <c:strCache>
                <c:ptCount val="1"/>
                <c:pt idx="0">
                  <c:v>SBS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Sheet0!$BH$139:$BH$143</c15:sqref>
                  </c15:fullRef>
                </c:ext>
              </c:extLst>
              <c:f>Sheet0!$BH$140:$BH$143</c:f>
              <c:strCache>
                <c:ptCount val="4"/>
                <c:pt idx="0">
                  <c:v>4-6 Hours</c:v>
                </c:pt>
                <c:pt idx="1">
                  <c:v>6-8 Hours</c:v>
                </c:pt>
                <c:pt idx="2">
                  <c:v>8-10 Hours</c:v>
                </c:pt>
                <c:pt idx="3">
                  <c:v>10+ Hours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Sheet0!$BI$139:$BI$143</c15:sqref>
                  </c15:fullRef>
                </c:ext>
              </c:extLst>
              <c:f>Sheet0!$BI$140:$BI$143</c:f>
              <c:numCache>
                <c:formatCode>General</c:formatCode>
                <c:ptCount val="4"/>
                <c:pt idx="0">
                  <c:v>0.11666666666666667</c:v>
                </c:pt>
                <c:pt idx="1">
                  <c:v>0.1</c:v>
                </c:pt>
                <c:pt idx="2">
                  <c:v>0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A-4305-BA96-BE9878940123}"/>
            </c:ext>
          </c:extLst>
        </c:ser>
        <c:ser>
          <c:idx val="1"/>
          <c:order val="1"/>
          <c:tx>
            <c:strRef>
              <c:f>Sheet0!$BJ$138</c:f>
              <c:strCache>
                <c:ptCount val="1"/>
                <c:pt idx="0">
                  <c:v>HFA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Sheet0!$BH$139:$BH$143</c15:sqref>
                  </c15:fullRef>
                </c:ext>
              </c:extLst>
              <c:f>Sheet0!$BH$140:$BH$143</c:f>
              <c:strCache>
                <c:ptCount val="4"/>
                <c:pt idx="0">
                  <c:v>4-6 Hours</c:v>
                </c:pt>
                <c:pt idx="1">
                  <c:v>6-8 Hours</c:v>
                </c:pt>
                <c:pt idx="2">
                  <c:v>8-10 Hours</c:v>
                </c:pt>
                <c:pt idx="3">
                  <c:v>10+ Hours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Sheet0!$BJ$139:$BJ$143</c15:sqref>
                  </c15:fullRef>
                </c:ext>
              </c:extLst>
              <c:f>Sheet0!$BJ$140:$BJ$143</c:f>
              <c:numCache>
                <c:formatCode>General</c:formatCode>
                <c:ptCount val="4"/>
                <c:pt idx="0">
                  <c:v>6.6666666666666666E-2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A-4305-BA96-BE9878940123}"/>
            </c:ext>
          </c:extLst>
        </c:ser>
        <c:ser>
          <c:idx val="2"/>
          <c:order val="2"/>
          <c:tx>
            <c:strRef>
              <c:f>Sheet0!$BK$138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Sheet0!$BH$139:$BH$143</c15:sqref>
                  </c15:fullRef>
                </c:ext>
              </c:extLst>
              <c:f>Sheet0!$BH$140:$BH$143</c:f>
              <c:strCache>
                <c:ptCount val="4"/>
                <c:pt idx="0">
                  <c:v>4-6 Hours</c:v>
                </c:pt>
                <c:pt idx="1">
                  <c:v>6-8 Hours</c:v>
                </c:pt>
                <c:pt idx="2">
                  <c:v>8-10 Hours</c:v>
                </c:pt>
                <c:pt idx="3">
                  <c:v>10+ Hours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Sheet0!$BK$139:$BK$143</c15:sqref>
                  </c15:fullRef>
                </c:ext>
              </c:extLst>
              <c:f>Sheet0!$BK$140:$BK$143</c:f>
              <c:numCache>
                <c:formatCode>General</c:formatCode>
                <c:ptCount val="4"/>
                <c:pt idx="0">
                  <c:v>6.6666666666666666E-2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A-4305-BA96-BE9878940123}"/>
            </c:ext>
          </c:extLst>
        </c:ser>
        <c:ser>
          <c:idx val="3"/>
          <c:order val="3"/>
          <c:tx>
            <c:strRef>
              <c:f>Sheet0!$BL$138</c:f>
              <c:strCache>
                <c:ptCount val="1"/>
                <c:pt idx="0">
                  <c:v>OIM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Sheet0!$BH$139:$BH$143</c15:sqref>
                  </c15:fullRef>
                </c:ext>
              </c:extLst>
              <c:f>Sheet0!$BH$140:$BH$143</c:f>
              <c:strCache>
                <c:ptCount val="4"/>
                <c:pt idx="0">
                  <c:v>4-6 Hours</c:v>
                </c:pt>
                <c:pt idx="1">
                  <c:v>6-8 Hours</c:v>
                </c:pt>
                <c:pt idx="2">
                  <c:v>8-10 Hours</c:v>
                </c:pt>
                <c:pt idx="3">
                  <c:v>10+ Hours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Sheet0!$BL$139:$BL$143</c15:sqref>
                  </c15:fullRef>
                </c:ext>
              </c:extLst>
              <c:f>Sheet0!$BL$140:$BL$143</c:f>
              <c:numCache>
                <c:formatCode>General</c:formatCode>
                <c:ptCount val="4"/>
                <c:pt idx="0">
                  <c:v>0.16666666666666666</c:v>
                </c:pt>
                <c:pt idx="1">
                  <c:v>0.25</c:v>
                </c:pt>
                <c:pt idx="2">
                  <c:v>0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FA-4305-BA96-BE9878940123}"/>
            </c:ext>
          </c:extLst>
        </c:ser>
        <c:ser>
          <c:idx val="4"/>
          <c:order val="4"/>
          <c:tx>
            <c:strRef>
              <c:f>Sheet0!$BM$138</c:f>
              <c:strCache>
                <c:ptCount val="1"/>
                <c:pt idx="0">
                  <c:v>Nursing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Sheet0!$BH$139:$BH$143</c15:sqref>
                  </c15:fullRef>
                </c:ext>
              </c:extLst>
              <c:f>Sheet0!$BH$140:$BH$143</c:f>
              <c:strCache>
                <c:ptCount val="4"/>
                <c:pt idx="0">
                  <c:v>4-6 Hours</c:v>
                </c:pt>
                <c:pt idx="1">
                  <c:v>6-8 Hours</c:v>
                </c:pt>
                <c:pt idx="2">
                  <c:v>8-10 Hours</c:v>
                </c:pt>
                <c:pt idx="3">
                  <c:v>10+ Hours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Sheet0!$BM$139:$BM$143</c15:sqref>
                  </c15:fullRef>
                </c:ext>
              </c:extLst>
              <c:f>Sheet0!$BM$140:$BM$143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FA-4305-BA96-BE9878940123}"/>
            </c:ext>
          </c:extLst>
        </c:ser>
        <c:ser>
          <c:idx val="5"/>
          <c:order val="5"/>
          <c:tx>
            <c:strRef>
              <c:f>Sheet0!$BN$138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Sheet0!$BH$139:$BH$143</c15:sqref>
                  </c15:fullRef>
                </c:ext>
              </c:extLst>
              <c:f>Sheet0!$BH$140:$BH$143</c:f>
              <c:strCache>
                <c:ptCount val="4"/>
                <c:pt idx="0">
                  <c:v>4-6 Hours</c:v>
                </c:pt>
                <c:pt idx="1">
                  <c:v>6-8 Hours</c:v>
                </c:pt>
                <c:pt idx="2">
                  <c:v>8-10 Hours</c:v>
                </c:pt>
                <c:pt idx="3">
                  <c:v>10+ Hours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Sheet0!$BN$139:$BN$143</c15:sqref>
                  </c15:fullRef>
                </c:ext>
              </c:extLst>
              <c:f>Sheet0!$BN$140:$BN$143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FA-4305-BA96-BE9878940123}"/>
            </c:ext>
          </c:extLst>
        </c:ser>
        <c:ser>
          <c:idx val="6"/>
          <c:order val="6"/>
          <c:tx>
            <c:strRef>
              <c:f>Sheet0!$BO$138</c:f>
              <c:strCache>
                <c:ptCount val="1"/>
                <c:pt idx="0">
                  <c:v>PH/HS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Sheet0!$BH$139:$BH$143</c15:sqref>
                  </c15:fullRef>
                </c:ext>
              </c:extLst>
              <c:f>Sheet0!$BH$140:$BH$143</c:f>
              <c:strCache>
                <c:ptCount val="4"/>
                <c:pt idx="0">
                  <c:v>4-6 Hours</c:v>
                </c:pt>
                <c:pt idx="1">
                  <c:v>6-8 Hours</c:v>
                </c:pt>
                <c:pt idx="2">
                  <c:v>8-10 Hours</c:v>
                </c:pt>
                <c:pt idx="3">
                  <c:v>10+ Hours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Sheet0!$BO$139:$BO$143</c15:sqref>
                  </c15:fullRef>
                </c:ext>
              </c:extLst>
              <c:f>Sheet0!$BO$140:$BO$143</c:f>
              <c:numCache>
                <c:formatCode>General</c:formatCode>
                <c:ptCount val="4"/>
                <c:pt idx="0">
                  <c:v>0.16666666666666666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FA-4305-BA96-BE9878940123}"/>
            </c:ext>
          </c:extLst>
        </c:ser>
        <c:ser>
          <c:idx val="7"/>
          <c:order val="7"/>
          <c:tx>
            <c:strRef>
              <c:f>Sheet0!$BP$138</c:f>
              <c:strCache>
                <c:ptCount val="1"/>
                <c:pt idx="0">
                  <c:v>CICS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Sheet0!$BH$139:$BH$143</c15:sqref>
                  </c15:fullRef>
                </c:ext>
              </c:extLst>
              <c:f>Sheet0!$BH$140:$BH$143</c:f>
              <c:strCache>
                <c:ptCount val="4"/>
                <c:pt idx="0">
                  <c:v>4-6 Hours</c:v>
                </c:pt>
                <c:pt idx="1">
                  <c:v>6-8 Hours</c:v>
                </c:pt>
                <c:pt idx="2">
                  <c:v>8-10 Hours</c:v>
                </c:pt>
                <c:pt idx="3">
                  <c:v>10+ Hours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Sheet0!$BP$139:$BP$143</c15:sqref>
                  </c15:fullRef>
                </c:ext>
              </c:extLst>
              <c:f>Sheet0!$BP$140:$BP$143</c:f>
              <c:numCache>
                <c:formatCode>General</c:formatCode>
                <c:ptCount val="4"/>
                <c:pt idx="0">
                  <c:v>1.6666666666666666E-2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FA-4305-BA96-BE9878940123}"/>
            </c:ext>
          </c:extLst>
        </c:ser>
        <c:ser>
          <c:idx val="8"/>
          <c:order val="8"/>
          <c:tx>
            <c:strRef>
              <c:f>Sheet0!$BQ$138</c:f>
              <c:strCache>
                <c:ptCount val="1"/>
                <c:pt idx="0">
                  <c:v>CNS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Sheet0!$BH$139:$BH$143</c15:sqref>
                  </c15:fullRef>
                </c:ext>
              </c:extLst>
              <c:f>Sheet0!$BH$140:$BH$143</c:f>
              <c:strCache>
                <c:ptCount val="4"/>
                <c:pt idx="0">
                  <c:v>4-6 Hours</c:v>
                </c:pt>
                <c:pt idx="1">
                  <c:v>6-8 Hours</c:v>
                </c:pt>
                <c:pt idx="2">
                  <c:v>8-10 Hours</c:v>
                </c:pt>
                <c:pt idx="3">
                  <c:v>10+ Hours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Sheet0!$BQ$139:$BQ$143</c15:sqref>
                  </c15:fullRef>
                </c:ext>
              </c:extLst>
              <c:f>Sheet0!$BQ$140:$BQ$143</c:f>
              <c:numCache>
                <c:formatCode>General</c:formatCode>
                <c:ptCount val="4"/>
                <c:pt idx="0">
                  <c:v>0.15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FA-4305-BA96-BE987894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515776"/>
        <c:axId val="1132535456"/>
      </c:barChart>
      <c:catAx>
        <c:axId val="11325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35456"/>
        <c:crosses val="autoZero"/>
        <c:auto val="1"/>
        <c:lblAlgn val="ctr"/>
        <c:lblOffset val="100"/>
        <c:noMultiLvlLbl val="0"/>
      </c:catAx>
      <c:valAx>
        <c:axId val="11325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Weekend</a:t>
            </a:r>
            <a:r>
              <a:rPr lang="en-US" baseline="0"/>
              <a:t> vs Week Sleep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Sheet0!$AV$94</c:f>
              <c:strCache>
                <c:ptCount val="1"/>
                <c:pt idx="0">
                  <c:v>Week Sleep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Sheet0!$AX$95:$AX$99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Sheet0!$AV$95:$AV$99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20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D-477F-A835-1780C845EA3B}"/>
            </c:ext>
          </c:extLst>
        </c:ser>
        <c:ser>
          <c:idx val="1"/>
          <c:order val="1"/>
          <c:tx>
            <c:strRef>
              <c:f>Sheet0!$AW$94</c:f>
              <c:strCache>
                <c:ptCount val="1"/>
                <c:pt idx="0">
                  <c:v>Weekend Sleep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Sheet0!$AX$95:$AX$99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Sheet0!$AW$95:$AW$99</c:f>
              <c:numCache>
                <c:formatCode>General</c:formatCode>
                <c:ptCount val="5"/>
                <c:pt idx="0">
                  <c:v>4</c:v>
                </c:pt>
                <c:pt idx="1">
                  <c:v>40</c:v>
                </c:pt>
                <c:pt idx="2">
                  <c:v>34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D-477F-A835-1780C845E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4736"/>
        <c:axId val="1005257536"/>
      </c:lineChart>
      <c:catAx>
        <c:axId val="10052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57536"/>
        <c:crosses val="autoZero"/>
        <c:auto val="1"/>
        <c:lblAlgn val="ctr"/>
        <c:lblOffset val="100"/>
        <c:noMultiLvlLbl val="0"/>
      </c:catAx>
      <c:valAx>
        <c:axId val="10052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 and Sleep during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Sheet0!$AM$100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Sheet0!$AL$101:$AL$105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Sheet0!$AM$101:$AM$105</c:f>
              <c:numCache>
                <c:formatCode>General</c:formatCode>
                <c:ptCount val="5"/>
                <c:pt idx="0">
                  <c:v>0</c:v>
                </c:pt>
                <c:pt idx="1">
                  <c:v>3.3333333333333333E-2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4-4919-89B3-DF015447B249}"/>
            </c:ext>
          </c:extLst>
        </c:ser>
        <c:ser>
          <c:idx val="1"/>
          <c:order val="1"/>
          <c:tx>
            <c:strRef>
              <c:f>Sheet0!$AN$100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Sheet0!$AL$101:$AL$105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Sheet0!$AN$101:$AN$105</c:f>
              <c:numCache>
                <c:formatCode>General</c:formatCode>
                <c:ptCount val="5"/>
                <c:pt idx="0">
                  <c:v>0</c:v>
                </c:pt>
                <c:pt idx="1">
                  <c:v>0.11666666666666667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4-4919-89B3-DF015447B249}"/>
            </c:ext>
          </c:extLst>
        </c:ser>
        <c:ser>
          <c:idx val="2"/>
          <c:order val="2"/>
          <c:tx>
            <c:strRef>
              <c:f>Sheet0!$AO$100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Sheet0!$AL$101:$AL$105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Sheet0!$AO$101:$AO$105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1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4-4919-89B3-DF015447B249}"/>
            </c:ext>
          </c:extLst>
        </c:ser>
        <c:ser>
          <c:idx val="3"/>
          <c:order val="3"/>
          <c:tx>
            <c:strRef>
              <c:f>Sheet0!$AP$100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Sheet0!$AL$101:$AL$105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Sheet0!$AP$101:$AP$105</c:f>
              <c:numCache>
                <c:formatCode>General</c:formatCode>
                <c:ptCount val="5"/>
                <c:pt idx="0">
                  <c:v>0</c:v>
                </c:pt>
                <c:pt idx="1">
                  <c:v>0.31666666666666665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4-4919-89B3-DF015447B249}"/>
            </c:ext>
          </c:extLst>
        </c:ser>
        <c:ser>
          <c:idx val="4"/>
          <c:order val="4"/>
          <c:tx>
            <c:strRef>
              <c:f>Sheet0!$AQ$100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Sheet0!$AL$101:$AL$105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Sheet0!$AQ$101:$AQ$105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0.1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4-4919-89B3-DF015447B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994624"/>
        <c:axId val="331866304"/>
      </c:barChart>
      <c:catAx>
        <c:axId val="3329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66304"/>
        <c:crosses val="autoZero"/>
        <c:auto val="1"/>
        <c:lblAlgn val="ctr"/>
        <c:lblOffset val="100"/>
        <c:noMultiLvlLbl val="0"/>
      </c:catAx>
      <c:valAx>
        <c:axId val="3318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and Sleep during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Sheet0!$AL$101</c:f>
              <c:strCache>
                <c:ptCount val="1"/>
                <c:pt idx="0">
                  <c:v>0-4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Sheet0!$AM$100:$AQ$100</c:f>
              <c:numCache>
                <c:formatCode>General</c:formatCod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numCache>
            </c:numRef>
          </c:cat>
          <c:val>
            <c:numRef>
              <c:f>Sheet0!$AM$101:$AQ$101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0-4C1A-BCF7-6BF1D90623B6}"/>
            </c:ext>
          </c:extLst>
        </c:ser>
        <c:ser>
          <c:idx val="1"/>
          <c:order val="1"/>
          <c:tx>
            <c:strRef>
              <c:f>Sheet0!$AL$102</c:f>
              <c:strCache>
                <c:ptCount val="1"/>
                <c:pt idx="0">
                  <c:v>4-6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Sheet0!$AM$100:$AQ$100</c:f>
              <c:numCache>
                <c:formatCode>General</c:formatCod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numCache>
            </c:numRef>
          </c:cat>
          <c:val>
            <c:numRef>
              <c:f>Sheet0!$AM$102:$AQ$102</c:f>
              <c:numCache>
                <c:formatCode>General</c:formatCode>
                <c:ptCount val="5"/>
                <c:pt idx="0">
                  <c:v>3.3333333333333333E-2</c:v>
                </c:pt>
                <c:pt idx="1">
                  <c:v>0.11666666666666667</c:v>
                </c:pt>
                <c:pt idx="2">
                  <c:v>0.3</c:v>
                </c:pt>
                <c:pt idx="3">
                  <c:v>0.31666666666666665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0-4C1A-BCF7-6BF1D90623B6}"/>
            </c:ext>
          </c:extLst>
        </c:ser>
        <c:ser>
          <c:idx val="2"/>
          <c:order val="2"/>
          <c:tx>
            <c:strRef>
              <c:f>Sheet0!$AL$103</c:f>
              <c:strCache>
                <c:ptCount val="1"/>
                <c:pt idx="0">
                  <c:v>6-8 Hours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Sheet0!$AM$100:$AQ$100</c:f>
              <c:numCache>
                <c:formatCode>General</c:formatCod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numCache>
            </c:numRef>
          </c:cat>
          <c:val>
            <c:numRef>
              <c:f>Sheet0!$AM$103:$AQ$103</c:f>
              <c:numCache>
                <c:formatCode>General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0-4C1A-BCF7-6BF1D90623B6}"/>
            </c:ext>
          </c:extLst>
        </c:ser>
        <c:ser>
          <c:idx val="3"/>
          <c:order val="3"/>
          <c:tx>
            <c:strRef>
              <c:f>Sheet0!$AL$104</c:f>
              <c:strCache>
                <c:ptCount val="1"/>
                <c:pt idx="0">
                  <c:v>8-10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Sheet0!$AM$100:$AQ$100</c:f>
              <c:numCache>
                <c:formatCode>General</c:formatCod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numCache>
            </c:numRef>
          </c:cat>
          <c:val>
            <c:numRef>
              <c:f>Sheet0!$AM$104:$AQ$104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00-4C1A-BCF7-6BF1D90623B6}"/>
            </c:ext>
          </c:extLst>
        </c:ser>
        <c:ser>
          <c:idx val="4"/>
          <c:order val="4"/>
          <c:tx>
            <c:strRef>
              <c:f>Sheet0!$AL$105</c:f>
              <c:strCache>
                <c:ptCount val="1"/>
                <c:pt idx="0">
                  <c:v>10+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Sheet0!$AM$100:$AQ$100</c:f>
              <c:numCache>
                <c:formatCode>General</c:formatCod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numCache>
            </c:numRef>
          </c:cat>
          <c:val>
            <c:numRef>
              <c:f>Sheet0!$AM$105:$AQ$105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00-4C1A-BCF7-6BF1D906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637648"/>
        <c:axId val="945739936"/>
      </c:lineChart>
      <c:catAx>
        <c:axId val="10556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39936"/>
        <c:crosses val="autoZero"/>
        <c:auto val="1"/>
        <c:lblAlgn val="ctr"/>
        <c:lblOffset val="100"/>
        <c:noMultiLvlLbl val="0"/>
      </c:catAx>
      <c:valAx>
        <c:axId val="9457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 and Sleep on the Weekends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Sheet0!$AM$109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Sheet0!$AL$110:$AL$114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Sheet0!$AM$110:$AM$114</c:f>
              <c:numCache>
                <c:formatCode>General</c:formatCode>
                <c:ptCount val="5"/>
                <c:pt idx="0">
                  <c:v>0.25</c:v>
                </c:pt>
                <c:pt idx="1">
                  <c:v>2.5000000000000001E-2</c:v>
                </c:pt>
                <c:pt idx="2">
                  <c:v>8.8235294117647065E-2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D-405D-86CC-01B09D3D49B7}"/>
            </c:ext>
          </c:extLst>
        </c:ser>
        <c:ser>
          <c:idx val="1"/>
          <c:order val="1"/>
          <c:tx>
            <c:strRef>
              <c:f>Sheet0!$AN$109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Sheet0!$AL$110:$AL$114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Sheet0!$AN$110:$AN$114</c:f>
              <c:numCache>
                <c:formatCode>General</c:formatCode>
                <c:ptCount val="5"/>
                <c:pt idx="0">
                  <c:v>0.25</c:v>
                </c:pt>
                <c:pt idx="1">
                  <c:v>0.1</c:v>
                </c:pt>
                <c:pt idx="2">
                  <c:v>0.11764705882352941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D-405D-86CC-01B09D3D49B7}"/>
            </c:ext>
          </c:extLst>
        </c:ser>
        <c:ser>
          <c:idx val="2"/>
          <c:order val="2"/>
          <c:tx>
            <c:strRef>
              <c:f>Sheet0!$AO$109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Sheet0!$AL$110:$AL$114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Sheet0!$AO$110:$AO$114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0.38235294117647056</c:v>
                </c:pt>
                <c:pt idx="3">
                  <c:v>0.2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D-405D-86CC-01B09D3D49B7}"/>
            </c:ext>
          </c:extLst>
        </c:ser>
        <c:ser>
          <c:idx val="3"/>
          <c:order val="3"/>
          <c:tx>
            <c:strRef>
              <c:f>Sheet0!$AP$109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Sheet0!$AL$110:$AL$114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Sheet0!$AP$110:$AP$114</c:f>
              <c:numCache>
                <c:formatCode>General</c:formatCode>
                <c:ptCount val="5"/>
                <c:pt idx="0">
                  <c:v>0.5</c:v>
                </c:pt>
                <c:pt idx="1">
                  <c:v>0.32500000000000001</c:v>
                </c:pt>
                <c:pt idx="2">
                  <c:v>0.23529411764705882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D-405D-86CC-01B09D3D49B7}"/>
            </c:ext>
          </c:extLst>
        </c:ser>
        <c:ser>
          <c:idx val="4"/>
          <c:order val="4"/>
          <c:tx>
            <c:strRef>
              <c:f>Sheet0!$AQ$109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Sheet0!$AL$110:$AL$114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Sheet0!$AQ$110:$AQ$114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0.11764705882352941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AD-405D-86CC-01B09D3D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439824"/>
        <c:axId val="333440304"/>
      </c:barChart>
      <c:catAx>
        <c:axId val="3334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40304"/>
        <c:crosses val="autoZero"/>
        <c:auto val="1"/>
        <c:lblAlgn val="ctr"/>
        <c:lblOffset val="100"/>
        <c:noMultiLvlLbl val="0"/>
      </c:catAx>
      <c:valAx>
        <c:axId val="3334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and Sleep on the Weekends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Sheet0!$AL$110</c:f>
              <c:strCache>
                <c:ptCount val="1"/>
                <c:pt idx="0">
                  <c:v>0-4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Sheet0!$AM$109:$AQ$109</c:f>
              <c:numCache>
                <c:formatCode>General</c:formatCod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numCache>
            </c:numRef>
          </c:cat>
          <c:val>
            <c:numRef>
              <c:f>Sheet0!$AM$110:$AQ$110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7-468C-BCB7-0E3FF0C3C2C0}"/>
            </c:ext>
          </c:extLst>
        </c:ser>
        <c:ser>
          <c:idx val="1"/>
          <c:order val="1"/>
          <c:tx>
            <c:strRef>
              <c:f>Sheet0!$AL$111</c:f>
              <c:strCache>
                <c:ptCount val="1"/>
                <c:pt idx="0">
                  <c:v>4-6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Sheet0!$AM$109:$AQ$109</c:f>
              <c:numCache>
                <c:formatCode>General</c:formatCod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numCache>
            </c:numRef>
          </c:cat>
          <c:val>
            <c:numRef>
              <c:f>Sheet0!$AM$111:$AQ$111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0.1</c:v>
                </c:pt>
                <c:pt idx="2">
                  <c:v>0.25</c:v>
                </c:pt>
                <c:pt idx="3">
                  <c:v>0.32500000000000001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7-468C-BCB7-0E3FF0C3C2C0}"/>
            </c:ext>
          </c:extLst>
        </c:ser>
        <c:ser>
          <c:idx val="2"/>
          <c:order val="2"/>
          <c:tx>
            <c:strRef>
              <c:f>Sheet0!$AL$112</c:f>
              <c:strCache>
                <c:ptCount val="1"/>
                <c:pt idx="0">
                  <c:v>6-8 Hours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Sheet0!$AM$109:$AQ$109</c:f>
              <c:numCache>
                <c:formatCode>General</c:formatCod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numCache>
            </c:numRef>
          </c:cat>
          <c:val>
            <c:numRef>
              <c:f>Sheet0!$AM$112:$AQ$112</c:f>
              <c:numCache>
                <c:formatCode>General</c:formatCode>
                <c:ptCount val="5"/>
                <c:pt idx="0">
                  <c:v>8.8235294117647065E-2</c:v>
                </c:pt>
                <c:pt idx="1">
                  <c:v>0.11764705882352941</c:v>
                </c:pt>
                <c:pt idx="2">
                  <c:v>0.38235294117647056</c:v>
                </c:pt>
                <c:pt idx="3">
                  <c:v>0.23529411764705882</c:v>
                </c:pt>
                <c:pt idx="4">
                  <c:v>0.11764705882352941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7-468C-BCB7-0E3FF0C3C2C0}"/>
            </c:ext>
          </c:extLst>
        </c:ser>
        <c:ser>
          <c:idx val="3"/>
          <c:order val="3"/>
          <c:tx>
            <c:strRef>
              <c:f>Sheet0!$AL$113</c:f>
              <c:strCache>
                <c:ptCount val="1"/>
                <c:pt idx="0">
                  <c:v>8-10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Sheet0!$AM$109:$AQ$109</c:f>
              <c:numCache>
                <c:formatCode>General</c:formatCod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numCache>
            </c:numRef>
          </c:cat>
          <c:val>
            <c:numRef>
              <c:f>Sheet0!$AM$113:$AQ$113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D7-468C-BCB7-0E3FF0C3C2C0}"/>
            </c:ext>
          </c:extLst>
        </c:ser>
        <c:ser>
          <c:idx val="4"/>
          <c:order val="4"/>
          <c:tx>
            <c:strRef>
              <c:f>Sheet0!$AL$114</c:f>
              <c:strCache>
                <c:ptCount val="1"/>
                <c:pt idx="0">
                  <c:v>10+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Sheet0!$AM$109:$AQ$109</c:f>
              <c:numCache>
                <c:formatCode>General</c:formatCod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numCache>
            </c:numRef>
          </c:cat>
          <c:val>
            <c:numRef>
              <c:f>Sheet0!$AM$114:$AQ$114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7-468C-BCB7-0E3FF0C3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367296"/>
        <c:axId val="933365856"/>
      </c:lineChart>
      <c:catAx>
        <c:axId val="9333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5856"/>
        <c:crosses val="autoZero"/>
        <c:auto val="1"/>
        <c:lblAlgn val="ctr"/>
        <c:lblOffset val="100"/>
        <c:noMultiLvlLbl val="0"/>
      </c:catAx>
      <c:valAx>
        <c:axId val="9333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Weekday Sleep</a:t>
            </a:r>
            <a:r>
              <a:rPr lang="en-US" baseline="0"/>
              <a:t> and Social Media Use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Sheet0!$BJ$91</c:f>
              <c:strCache>
                <c:ptCount val="1"/>
                <c:pt idx="0">
                  <c:v>0-2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Sheet0!$BI$92:$BI$96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Sheet0!$BJ$92:$BJ$96</c:f>
              <c:numCache>
                <c:formatCode>General</c:formatCode>
                <c:ptCount val="5"/>
                <c:pt idx="0">
                  <c:v>0</c:v>
                </c:pt>
                <c:pt idx="1">
                  <c:v>3.3333333333333333E-2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409-859A-9433A7BA1633}"/>
            </c:ext>
          </c:extLst>
        </c:ser>
        <c:ser>
          <c:idx val="1"/>
          <c:order val="1"/>
          <c:tx>
            <c:strRef>
              <c:f>Sheet0!$BK$91</c:f>
              <c:strCache>
                <c:ptCount val="1"/>
                <c:pt idx="0">
                  <c:v>2-4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Sheet0!$BI$92:$BI$96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Sheet0!$BK$92:$BK$96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0.35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1-4409-859A-9433A7BA1633}"/>
            </c:ext>
          </c:extLst>
        </c:ser>
        <c:ser>
          <c:idx val="2"/>
          <c:order val="2"/>
          <c:tx>
            <c:strRef>
              <c:f>Sheet0!$BL$91</c:f>
              <c:strCache>
                <c:ptCount val="1"/>
                <c:pt idx="0">
                  <c:v>4-6 Hours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Sheet0!$BI$92:$BI$96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Sheet0!$BL$92:$BL$96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1-4409-859A-9433A7BA1633}"/>
            </c:ext>
          </c:extLst>
        </c:ser>
        <c:ser>
          <c:idx val="3"/>
          <c:order val="3"/>
          <c:tx>
            <c:strRef>
              <c:f>Sheet0!$BM$91</c:f>
              <c:strCache>
                <c:ptCount val="1"/>
                <c:pt idx="0">
                  <c:v>6-8 Hours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Sheet0!$BI$92:$BI$96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Sheet0!$BM$92:$BM$96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1-4409-859A-9433A7BA1633}"/>
            </c:ext>
          </c:extLst>
        </c:ser>
        <c:ser>
          <c:idx val="4"/>
          <c:order val="4"/>
          <c:tx>
            <c:strRef>
              <c:f>Sheet0!$BN$91</c:f>
              <c:strCache>
                <c:ptCount val="1"/>
                <c:pt idx="0">
                  <c:v>8+ Hours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Sheet0!$BI$92:$BI$96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Sheet0!$BN$92:$BN$96</c:f>
              <c:numCache>
                <c:formatCode>General</c:formatCode>
                <c:ptCount val="5"/>
                <c:pt idx="0">
                  <c:v>0</c:v>
                </c:pt>
                <c:pt idx="1">
                  <c:v>1.6666666666666666E-2</c:v>
                </c:pt>
                <c:pt idx="2">
                  <c:v>0.05</c:v>
                </c:pt>
                <c:pt idx="3">
                  <c:v>1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1-4409-859A-9433A7BA1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682976"/>
        <c:axId val="1000670016"/>
      </c:barChart>
      <c:catAx>
        <c:axId val="10006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70016"/>
        <c:crosses val="autoZero"/>
        <c:auto val="1"/>
        <c:lblAlgn val="ctr"/>
        <c:lblOffset val="100"/>
        <c:noMultiLvlLbl val="0"/>
      </c:catAx>
      <c:valAx>
        <c:axId val="10006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Weekend Sleep and Social Media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Sheet0!$BJ$99</c:f>
              <c:strCache>
                <c:ptCount val="1"/>
                <c:pt idx="0">
                  <c:v>0-2 Hours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Sheet0!$BI$100:$BI$104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Sheet0!$BJ$100:$BJ$104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2.5000000000000001E-2</c:v>
                </c:pt>
                <c:pt idx="2">
                  <c:v>2.9411764705882353E-2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1-4175-A5F6-BE2283EEA562}"/>
            </c:ext>
          </c:extLst>
        </c:ser>
        <c:ser>
          <c:idx val="1"/>
          <c:order val="1"/>
          <c:tx>
            <c:strRef>
              <c:f>Sheet0!$BK$99</c:f>
              <c:strCache>
                <c:ptCount val="1"/>
                <c:pt idx="0">
                  <c:v>2-4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Sheet0!$BI$100:$BI$104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Sheet0!$BK$100:$BK$104</c:f>
              <c:numCache>
                <c:formatCode>General</c:formatCode>
                <c:ptCount val="5"/>
                <c:pt idx="0">
                  <c:v>0.25</c:v>
                </c:pt>
                <c:pt idx="1">
                  <c:v>0.3</c:v>
                </c:pt>
                <c:pt idx="2">
                  <c:v>0.26470588235294118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1-4175-A5F6-BE2283EEA562}"/>
            </c:ext>
          </c:extLst>
        </c:ser>
        <c:ser>
          <c:idx val="2"/>
          <c:order val="2"/>
          <c:tx>
            <c:strRef>
              <c:f>Sheet0!$BL$99</c:f>
              <c:strCache>
                <c:ptCount val="1"/>
                <c:pt idx="0">
                  <c:v>4-6 Hours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Sheet0!$BI$100:$BI$104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Sheet0!$BL$100:$BL$104</c:f>
              <c:numCache>
                <c:formatCode>General</c:formatCode>
                <c:ptCount val="5"/>
                <c:pt idx="0">
                  <c:v>0.25</c:v>
                </c:pt>
                <c:pt idx="1">
                  <c:v>0.4</c:v>
                </c:pt>
                <c:pt idx="2">
                  <c:v>0.38235294117647056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1-4175-A5F6-BE2283EEA562}"/>
            </c:ext>
          </c:extLst>
        </c:ser>
        <c:ser>
          <c:idx val="3"/>
          <c:order val="3"/>
          <c:tx>
            <c:strRef>
              <c:f>Sheet0!$BM$99</c:f>
              <c:strCache>
                <c:ptCount val="1"/>
                <c:pt idx="0">
                  <c:v>6-8 Hours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Sheet0!$BI$100:$BI$104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Sheet0!$BM$100:$BM$104</c:f>
              <c:numCache>
                <c:formatCode>General</c:formatCode>
                <c:ptCount val="5"/>
                <c:pt idx="0">
                  <c:v>0.25</c:v>
                </c:pt>
                <c:pt idx="1">
                  <c:v>0.27500000000000002</c:v>
                </c:pt>
                <c:pt idx="2">
                  <c:v>0.23529411764705882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91-4175-A5F6-BE2283EEA562}"/>
            </c:ext>
          </c:extLst>
        </c:ser>
        <c:ser>
          <c:idx val="4"/>
          <c:order val="4"/>
          <c:tx>
            <c:strRef>
              <c:f>Sheet0!$BN$99</c:f>
              <c:strCache>
                <c:ptCount val="1"/>
                <c:pt idx="0">
                  <c:v>8+ Hours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Sheet0!$BI$100:$BI$104</c:f>
              <c:strCache>
                <c:ptCount val="5"/>
                <c:pt idx="0">
                  <c:v>0-4 Hours</c:v>
                </c:pt>
                <c:pt idx="1">
                  <c:v>4-6 Hours</c:v>
                </c:pt>
                <c:pt idx="2">
                  <c:v>6-8 Hours</c:v>
                </c:pt>
                <c:pt idx="3">
                  <c:v>8-10 Hours</c:v>
                </c:pt>
                <c:pt idx="4">
                  <c:v>10+ Hours</c:v>
                </c:pt>
              </c:strCache>
            </c:strRef>
          </c:cat>
          <c:val>
            <c:numRef>
              <c:f>Sheet0!$BN$100:$BN$104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8.8235294117647065E-2</c:v>
                </c:pt>
                <c:pt idx="3">
                  <c:v>0.2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91-4175-A5F6-BE2283EEA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374368"/>
        <c:axId val="1086369088"/>
      </c:barChart>
      <c:catAx>
        <c:axId val="10863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69088"/>
        <c:crosses val="autoZero"/>
        <c:auto val="1"/>
        <c:lblAlgn val="ctr"/>
        <c:lblOffset val="100"/>
        <c:noMultiLvlLbl val="0"/>
      </c:catAx>
      <c:valAx>
        <c:axId val="10863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used App and Weekday Sleep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Sheet0!$AR$123</c:f>
              <c:strCache>
                <c:ptCount val="1"/>
                <c:pt idx="0">
                  <c:v>4-6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Sheet0!$AS$121:$AW$121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Sheet0!$AS$123:$AW$123</c:f>
              <c:numCache>
                <c:formatCode>General</c:formatCode>
                <c:ptCount val="5"/>
                <c:pt idx="0">
                  <c:v>28</c:v>
                </c:pt>
                <c:pt idx="1">
                  <c:v>25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5-4E48-A220-FDC63E93DC7E}"/>
            </c:ext>
          </c:extLst>
        </c:ser>
        <c:ser>
          <c:idx val="2"/>
          <c:order val="2"/>
          <c:tx>
            <c:strRef>
              <c:f>Sheet0!$AR$124</c:f>
              <c:strCache>
                <c:ptCount val="1"/>
                <c:pt idx="0">
                  <c:v>6-8 Hours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Sheet0!$AS$121:$AW$121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Sheet0!$AS$124:$AW$124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5-4E48-A220-FDC63E93DC7E}"/>
            </c:ext>
          </c:extLst>
        </c:ser>
        <c:ser>
          <c:idx val="3"/>
          <c:order val="3"/>
          <c:tx>
            <c:strRef>
              <c:f>Sheet0!$AR$125</c:f>
              <c:strCache>
                <c:ptCount val="1"/>
                <c:pt idx="0">
                  <c:v>8-10 Hours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Sheet0!$AS$121:$AW$121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Sheet0!$AS$125:$AW$125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5-4E48-A220-FDC63E93DC7E}"/>
            </c:ext>
          </c:extLst>
        </c:ser>
        <c:ser>
          <c:idx val="4"/>
          <c:order val="4"/>
          <c:tx>
            <c:strRef>
              <c:f>Sheet0!$AR$126</c:f>
              <c:strCache>
                <c:ptCount val="1"/>
                <c:pt idx="0">
                  <c:v>10+ Hours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Sheet0!$AS$121:$AW$121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Youtube</c:v>
                </c:pt>
                <c:pt idx="3">
                  <c:v>Snapchat</c:v>
                </c:pt>
                <c:pt idx="4">
                  <c:v>X/Twitter</c:v>
                </c:pt>
              </c:strCache>
            </c:strRef>
          </c:cat>
          <c:val>
            <c:numRef>
              <c:f>Sheet0!$AS$126:$AW$126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5-4E48-A220-FDC63E93D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969936"/>
        <c:axId val="926381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Sheet0!$AR$122</c15:sqref>
                        </c15:formulaRef>
                      </c:ext>
                    </c:extLst>
                    <c:strCache>
                      <c:ptCount val="1"/>
                      <c:pt idx="0">
                        <c:v>0-4 Hours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Sheet0!$AS$121:$AW$121</c15:sqref>
                        </c15:formulaRef>
                      </c:ext>
                    </c:extLst>
                    <c:strCache>
                      <c:ptCount val="5"/>
                      <c:pt idx="0">
                        <c:v>Instagram</c:v>
                      </c:pt>
                      <c:pt idx="1">
                        <c:v>Tiktok</c:v>
                      </c:pt>
                      <c:pt idx="2">
                        <c:v>Youtube</c:v>
                      </c:pt>
                      <c:pt idx="3">
                        <c:v>Snapchat</c:v>
                      </c:pt>
                      <c:pt idx="4">
                        <c:v>X/Twitter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Sheet0!$AS$122:$AW$122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EB5-4E48-A220-FDC63E93DC7E}"/>
                  </c:ext>
                </c:extLst>
              </c15:ser>
            </c15:filteredBarSeries>
          </c:ext>
        </c:extLst>
      </c:barChart>
      <c:catAx>
        <c:axId val="8379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81104"/>
        <c:crosses val="autoZero"/>
        <c:auto val="1"/>
        <c:lblAlgn val="ctr"/>
        <c:lblOffset val="100"/>
        <c:noMultiLvlLbl val="0"/>
      </c:catAx>
      <c:valAx>
        <c:axId val="9263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190500</xdr:colOff>
      <xdr:row>89</xdr:row>
      <xdr:rowOff>11061</xdr:rowOff>
    </xdr:from>
    <xdr:to>
      <xdr:col>57</xdr:col>
      <xdr:colOff>460887</xdr:colOff>
      <xdr:row>103</xdr:row>
      <xdr:rowOff>173293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5ADCD-3E96-F81C-8FD2-F18E056D7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190500</xdr:colOff>
      <xdr:row>104</xdr:row>
      <xdr:rowOff>97093</xdr:rowOff>
    </xdr:from>
    <xdr:to>
      <xdr:col>57</xdr:col>
      <xdr:colOff>460887</xdr:colOff>
      <xdr:row>119</xdr:row>
      <xdr:rowOff>74970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2257A-9B3C-AF30-AA35-9C7F89CDA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665233</xdr:colOff>
      <xdr:row>90</xdr:row>
      <xdr:rowOff>110893</xdr:rowOff>
    </xdr:from>
    <xdr:to>
      <xdr:col>36</xdr:col>
      <xdr:colOff>399672</xdr:colOff>
      <xdr:row>105</xdr:row>
      <xdr:rowOff>165858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EB952C-B4DC-1C62-F7A9-63B966DBA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167409</xdr:colOff>
      <xdr:row>91</xdr:row>
      <xdr:rowOff>77355</xdr:rowOff>
    </xdr:from>
    <xdr:to>
      <xdr:col>33</xdr:col>
      <xdr:colOff>386773</xdr:colOff>
      <xdr:row>106</xdr:row>
      <xdr:rowOff>49645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30DAFB-D4E8-7147-A400-982080EAD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685903</xdr:colOff>
      <xdr:row>106</xdr:row>
      <xdr:rowOff>65248</xdr:rowOff>
    </xdr:from>
    <xdr:to>
      <xdr:col>36</xdr:col>
      <xdr:colOff>412365</xdr:colOff>
      <xdr:row>121</xdr:row>
      <xdr:rowOff>29359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1EB078-4AB8-CE56-4334-89B120021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166077</xdr:colOff>
      <xdr:row>107</xdr:row>
      <xdr:rowOff>15630</xdr:rowOff>
    </xdr:from>
    <xdr:to>
      <xdr:col>33</xdr:col>
      <xdr:colOff>381000</xdr:colOff>
      <xdr:row>121</xdr:row>
      <xdr:rowOff>160215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D572B2-79BA-6C00-1843-01A867F8B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107463</xdr:colOff>
      <xdr:row>90</xdr:row>
      <xdr:rowOff>5861</xdr:rowOff>
    </xdr:from>
    <xdr:to>
      <xdr:col>74</xdr:col>
      <xdr:colOff>439616</xdr:colOff>
      <xdr:row>104</xdr:row>
      <xdr:rowOff>150446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8BFA931-4CE5-AD4B-4729-D435EA57F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67</xdr:col>
      <xdr:colOff>107462</xdr:colOff>
      <xdr:row>105</xdr:row>
      <xdr:rowOff>171939</xdr:rowOff>
    </xdr:from>
    <xdr:to>
      <xdr:col>74</xdr:col>
      <xdr:colOff>439616</xdr:colOff>
      <xdr:row>120</xdr:row>
      <xdr:rowOff>130908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E74FB20-C015-2D5C-BEAB-CB0419FA7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210552</xdr:colOff>
      <xdr:row>121</xdr:row>
      <xdr:rowOff>22057</xdr:rowOff>
    </xdr:from>
    <xdr:to>
      <xdr:col>42</xdr:col>
      <xdr:colOff>501315</xdr:colOff>
      <xdr:row>136</xdr:row>
      <xdr:rowOff>58152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378FBC-8240-D684-518A-640BB9884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220579</xdr:colOff>
      <xdr:row>137</xdr:row>
      <xdr:rowOff>42110</xdr:rowOff>
    </xdr:from>
    <xdr:to>
      <xdr:col>42</xdr:col>
      <xdr:colOff>511342</xdr:colOff>
      <xdr:row>152</xdr:row>
      <xdr:rowOff>78205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0BDD77E-3DAA-2CEB-DDA1-F73F7E503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1323473</xdr:colOff>
      <xdr:row>121</xdr:row>
      <xdr:rowOff>92242</xdr:rowOff>
    </xdr:from>
    <xdr:to>
      <xdr:col>35</xdr:col>
      <xdr:colOff>110289</xdr:colOff>
      <xdr:row>136</xdr:row>
      <xdr:rowOff>128337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ACEB59D-F3F7-32E7-7C81-454EDD61B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1303420</xdr:colOff>
      <xdr:row>137</xdr:row>
      <xdr:rowOff>62163</xdr:rowOff>
    </xdr:from>
    <xdr:to>
      <xdr:col>35</xdr:col>
      <xdr:colOff>90236</xdr:colOff>
      <xdr:row>152</xdr:row>
      <xdr:rowOff>98258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A0978C1-4593-C5FB-6665-A54E66F3A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140368</xdr:colOff>
      <xdr:row>90</xdr:row>
      <xdr:rowOff>80210</xdr:rowOff>
    </xdr:from>
    <xdr:to>
      <xdr:col>41</xdr:col>
      <xdr:colOff>220578</xdr:colOff>
      <xdr:row>100</xdr:row>
      <xdr:rowOff>80211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0C30CAF-4995-F994-506E-5E2A89DE5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62846</xdr:colOff>
      <xdr:row>121</xdr:row>
      <xdr:rowOff>128833</xdr:rowOff>
    </xdr:from>
    <xdr:to>
      <xdr:col>77</xdr:col>
      <xdr:colOff>345650</xdr:colOff>
      <xdr:row>136</xdr:row>
      <xdr:rowOff>161827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715B4A4-F567-D508-CC63-94A05CF5B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70700</xdr:colOff>
      <xdr:row>137</xdr:row>
      <xdr:rowOff>160256</xdr:rowOff>
    </xdr:from>
    <xdr:to>
      <xdr:col>77</xdr:col>
      <xdr:colOff>353504</xdr:colOff>
      <xdr:row>153</xdr:row>
      <xdr:rowOff>12569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BCAABBD-2390-A90D-F830-5AFF2C8C4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D71B-5BB4-4EC2-8F7F-C42418E0CDCD}">
  <dimension ref="A1:I18"/>
  <sheetViews>
    <sheetView workbookViewId="0">
      <selection activeCell="K18" sqref="K18"/>
    </sheetView>
  </sheetViews>
  <sheetFormatPr defaultRowHeight="14.4" x14ac:dyDescent="0.3"/>
  <cols>
    <col min="1" max="1" width="11.5546875" customWidth="1"/>
    <col min="2" max="2" width="13.33203125" customWidth="1"/>
    <col min="3" max="3" width="12.109375" customWidth="1"/>
  </cols>
  <sheetData>
    <row r="1" spans="1:9" x14ac:dyDescent="0.3">
      <c r="A1" t="s">
        <v>303</v>
      </c>
    </row>
    <row r="2" spans="1:9" ht="15" thickBot="1" x14ac:dyDescent="0.35"/>
    <row r="3" spans="1:9" x14ac:dyDescent="0.3">
      <c r="A3" s="7" t="s">
        <v>304</v>
      </c>
      <c r="B3" s="7"/>
    </row>
    <row r="4" spans="1:9" x14ac:dyDescent="0.3">
      <c r="A4" t="s">
        <v>305</v>
      </c>
      <c r="B4">
        <v>0.25170889640840582</v>
      </c>
    </row>
    <row r="5" spans="1:9" x14ac:dyDescent="0.3">
      <c r="A5" t="s">
        <v>306</v>
      </c>
      <c r="B5">
        <v>6.3357368531137576E-2</v>
      </c>
    </row>
    <row r="6" spans="1:9" x14ac:dyDescent="0.3">
      <c r="A6" t="s">
        <v>307</v>
      </c>
      <c r="B6">
        <v>5.233804345503331E-2</v>
      </c>
    </row>
    <row r="7" spans="1:9" x14ac:dyDescent="0.3">
      <c r="A7" t="s">
        <v>308</v>
      </c>
      <c r="B7">
        <v>0.7204500043425548</v>
      </c>
    </row>
    <row r="8" spans="1:9" ht="15" thickBot="1" x14ac:dyDescent="0.35">
      <c r="A8" s="5" t="s">
        <v>309</v>
      </c>
      <c r="B8" s="5">
        <v>87</v>
      </c>
    </row>
    <row r="10" spans="1:9" ht="15" thickBot="1" x14ac:dyDescent="0.35">
      <c r="A10" t="s">
        <v>310</v>
      </c>
    </row>
    <row r="11" spans="1:9" x14ac:dyDescent="0.3">
      <c r="A11" s="6"/>
      <c r="B11" s="6" t="s">
        <v>315</v>
      </c>
      <c r="C11" s="6" t="s">
        <v>316</v>
      </c>
      <c r="D11" s="6" t="s">
        <v>317</v>
      </c>
      <c r="E11" s="6" t="s">
        <v>318</v>
      </c>
      <c r="F11" s="6" t="s">
        <v>319</v>
      </c>
    </row>
    <row r="12" spans="1:9" x14ac:dyDescent="0.3">
      <c r="A12" t="s">
        <v>311</v>
      </c>
      <c r="B12">
        <v>1</v>
      </c>
      <c r="C12">
        <v>2.9843505315011711</v>
      </c>
      <c r="D12">
        <v>2.9843505315011711</v>
      </c>
      <c r="E12">
        <v>5.7496596292026929</v>
      </c>
      <c r="F12">
        <v>1.8681429912266907E-2</v>
      </c>
    </row>
    <row r="13" spans="1:9" x14ac:dyDescent="0.3">
      <c r="A13" t="s">
        <v>312</v>
      </c>
      <c r="B13">
        <v>85</v>
      </c>
      <c r="C13">
        <v>44.119097744360914</v>
      </c>
      <c r="D13">
        <v>0.51904820875718727</v>
      </c>
    </row>
    <row r="14" spans="1:9" ht="15" thickBot="1" x14ac:dyDescent="0.35">
      <c r="A14" s="5" t="s">
        <v>313</v>
      </c>
      <c r="B14" s="5">
        <v>86</v>
      </c>
      <c r="C14" s="5">
        <v>47.103448275862085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320</v>
      </c>
      <c r="C16" s="6" t="s">
        <v>308</v>
      </c>
      <c r="D16" s="6" t="s">
        <v>321</v>
      </c>
      <c r="E16" s="6" t="s">
        <v>322</v>
      </c>
      <c r="F16" s="6" t="s">
        <v>323</v>
      </c>
      <c r="G16" s="6" t="s">
        <v>324</v>
      </c>
      <c r="H16" s="6" t="s">
        <v>325</v>
      </c>
      <c r="I16" s="6" t="s">
        <v>326</v>
      </c>
    </row>
    <row r="17" spans="1:9" x14ac:dyDescent="0.3">
      <c r="A17" t="s">
        <v>314</v>
      </c>
      <c r="B17">
        <v>1.8051127819548873</v>
      </c>
      <c r="C17">
        <v>0.26533607127876824</v>
      </c>
      <c r="D17">
        <v>6.8031186760822804</v>
      </c>
      <c r="E17">
        <v>1.3493817872845146E-9</v>
      </c>
      <c r="F17">
        <v>1.2775535867352228</v>
      </c>
      <c r="G17">
        <v>2.3326719771745519</v>
      </c>
      <c r="H17">
        <v>1.2775535867352228</v>
      </c>
      <c r="I17">
        <v>2.3326719771745519</v>
      </c>
    </row>
    <row r="18" spans="1:9" ht="15" thickBot="1" x14ac:dyDescent="0.35">
      <c r="A18" s="5" t="s">
        <v>302</v>
      </c>
      <c r="B18" s="5">
        <v>0.19759398496240599</v>
      </c>
      <c r="C18" s="5">
        <v>8.2404827000995232E-2</v>
      </c>
      <c r="D18" s="5">
        <v>2.3978447883886655</v>
      </c>
      <c r="E18" s="5">
        <v>1.8681429912266994E-2</v>
      </c>
      <c r="F18" s="5">
        <v>3.3751112015114465E-2</v>
      </c>
      <c r="G18" s="5">
        <v>0.36143685790969748</v>
      </c>
      <c r="H18" s="5">
        <v>3.3751112015114465E-2</v>
      </c>
      <c r="I18" s="5">
        <v>0.36143685790969748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2A8C-70A3-4A65-87EC-DC95BFADF9FF}">
  <dimension ref="A1:I18"/>
  <sheetViews>
    <sheetView workbookViewId="0">
      <selection activeCell="E22" sqref="E22"/>
    </sheetView>
  </sheetViews>
  <sheetFormatPr defaultRowHeight="14.4" x14ac:dyDescent="0.3"/>
  <cols>
    <col min="1" max="1" width="17.33203125" customWidth="1"/>
    <col min="2" max="2" width="11.109375" customWidth="1"/>
    <col min="3" max="3" width="14.33203125" customWidth="1"/>
  </cols>
  <sheetData>
    <row r="1" spans="1:9" x14ac:dyDescent="0.3">
      <c r="A1" t="s">
        <v>303</v>
      </c>
    </row>
    <row r="2" spans="1:9" ht="15" thickBot="1" x14ac:dyDescent="0.35"/>
    <row r="3" spans="1:9" x14ac:dyDescent="0.3">
      <c r="A3" s="7" t="s">
        <v>304</v>
      </c>
      <c r="B3" s="7"/>
    </row>
    <row r="4" spans="1:9" x14ac:dyDescent="0.3">
      <c r="A4" t="s">
        <v>305</v>
      </c>
      <c r="B4">
        <v>0.12968403327192041</v>
      </c>
    </row>
    <row r="5" spans="1:9" x14ac:dyDescent="0.3">
      <c r="A5" t="s">
        <v>306</v>
      </c>
      <c r="B5">
        <v>1.681794848567256E-2</v>
      </c>
    </row>
    <row r="6" spans="1:9" x14ac:dyDescent="0.3">
      <c r="A6" t="s">
        <v>307</v>
      </c>
      <c r="B6">
        <v>5.2511008207981194E-3</v>
      </c>
    </row>
    <row r="7" spans="1:9" x14ac:dyDescent="0.3">
      <c r="A7" t="s">
        <v>308</v>
      </c>
      <c r="B7">
        <v>0.7719404660652589</v>
      </c>
    </row>
    <row r="8" spans="1:9" ht="15" thickBot="1" x14ac:dyDescent="0.35">
      <c r="A8" s="5" t="s">
        <v>309</v>
      </c>
      <c r="B8" s="5">
        <v>87</v>
      </c>
    </row>
    <row r="10" spans="1:9" ht="15" thickBot="1" x14ac:dyDescent="0.35">
      <c r="A10" t="s">
        <v>310</v>
      </c>
    </row>
    <row r="11" spans="1:9" x14ac:dyDescent="0.3">
      <c r="A11" s="6"/>
      <c r="B11" s="6" t="s">
        <v>315</v>
      </c>
      <c r="C11" s="6" t="s">
        <v>316</v>
      </c>
      <c r="D11" s="6" t="s">
        <v>317</v>
      </c>
      <c r="E11" s="6" t="s">
        <v>318</v>
      </c>
      <c r="F11" s="6" t="s">
        <v>319</v>
      </c>
    </row>
    <row r="12" spans="1:9" x14ac:dyDescent="0.3">
      <c r="A12" t="s">
        <v>311</v>
      </c>
      <c r="B12">
        <v>1</v>
      </c>
      <c r="C12">
        <v>0.86641431164120064</v>
      </c>
      <c r="D12">
        <v>0.86641431164120064</v>
      </c>
      <c r="E12">
        <v>1.4539785577659476</v>
      </c>
      <c r="F12">
        <v>0.2312364687487235</v>
      </c>
    </row>
    <row r="13" spans="1:9" x14ac:dyDescent="0.3">
      <c r="A13" t="s">
        <v>312</v>
      </c>
      <c r="B13">
        <v>85</v>
      </c>
      <c r="C13">
        <v>50.650827067669177</v>
      </c>
      <c r="D13">
        <v>0.59589208314904918</v>
      </c>
    </row>
    <row r="14" spans="1:9" ht="15" thickBot="1" x14ac:dyDescent="0.35">
      <c r="A14" s="5" t="s">
        <v>313</v>
      </c>
      <c r="B14" s="5">
        <v>86</v>
      </c>
      <c r="C14" s="5">
        <v>51.517241379310377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320</v>
      </c>
      <c r="C16" s="6" t="s">
        <v>308</v>
      </c>
      <c r="D16" s="6" t="s">
        <v>321</v>
      </c>
      <c r="E16" s="6" t="s">
        <v>322</v>
      </c>
      <c r="F16" s="6" t="s">
        <v>323</v>
      </c>
      <c r="G16" s="6" t="s">
        <v>324</v>
      </c>
      <c r="H16" s="6" t="s">
        <v>325</v>
      </c>
      <c r="I16" s="6" t="s">
        <v>326</v>
      </c>
    </row>
    <row r="17" spans="1:9" x14ac:dyDescent="0.3">
      <c r="A17" t="s">
        <v>314</v>
      </c>
      <c r="B17">
        <v>2.2237593984962412</v>
      </c>
      <c r="C17">
        <v>0.2842996034315643</v>
      </c>
      <c r="D17">
        <v>7.8218870925422781</v>
      </c>
      <c r="E17">
        <v>1.2904122167229524E-11</v>
      </c>
      <c r="F17">
        <v>1.6584956208847599</v>
      </c>
      <c r="G17">
        <v>2.7890231761077224</v>
      </c>
      <c r="H17">
        <v>1.6584956208847599</v>
      </c>
      <c r="I17">
        <v>2.7890231761077224</v>
      </c>
    </row>
    <row r="18" spans="1:9" ht="15" thickBot="1" x14ac:dyDescent="0.35">
      <c r="A18" s="5" t="s">
        <v>302</v>
      </c>
      <c r="B18" s="5">
        <v>0.10646616541353378</v>
      </c>
      <c r="C18" s="5">
        <v>8.8294288538763976E-2</v>
      </c>
      <c r="D18" s="5">
        <v>1.2058103324179545</v>
      </c>
      <c r="E18" s="5">
        <v>0.23123646874873119</v>
      </c>
      <c r="F18" s="5">
        <v>-6.9086534901624821E-2</v>
      </c>
      <c r="G18" s="5">
        <v>0.28201886572869239</v>
      </c>
      <c r="H18" s="5">
        <v>-6.9086534901624821E-2</v>
      </c>
      <c r="I18" s="5">
        <v>0.28201886572869239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69EC-6314-484F-AF4E-8F95FCC71A92}">
  <dimension ref="A1:I18"/>
  <sheetViews>
    <sheetView workbookViewId="0">
      <selection activeCell="C18" sqref="C18"/>
    </sheetView>
  </sheetViews>
  <sheetFormatPr defaultRowHeight="14.4" x14ac:dyDescent="0.3"/>
  <sheetData>
    <row r="1" spans="1:9" x14ac:dyDescent="0.3">
      <c r="A1" t="s">
        <v>303</v>
      </c>
    </row>
    <row r="2" spans="1:9" ht="15" thickBot="1" x14ac:dyDescent="0.35"/>
    <row r="3" spans="1:9" x14ac:dyDescent="0.3">
      <c r="A3" s="7" t="s">
        <v>304</v>
      </c>
      <c r="B3" s="7"/>
    </row>
    <row r="4" spans="1:9" x14ac:dyDescent="0.3">
      <c r="A4" t="s">
        <v>305</v>
      </c>
      <c r="B4">
        <v>0.42910129588787116</v>
      </c>
    </row>
    <row r="5" spans="1:9" x14ac:dyDescent="0.3">
      <c r="A5" t="s">
        <v>306</v>
      </c>
      <c r="B5">
        <v>0.18412792213265036</v>
      </c>
    </row>
    <row r="6" spans="1:9" x14ac:dyDescent="0.3">
      <c r="A6" t="s">
        <v>307</v>
      </c>
      <c r="B6">
        <v>0.17452942709891683</v>
      </c>
    </row>
    <row r="7" spans="1:9" x14ac:dyDescent="0.3">
      <c r="A7" t="s">
        <v>308</v>
      </c>
      <c r="B7">
        <v>0.7031983969911777</v>
      </c>
    </row>
    <row r="8" spans="1:9" ht="15" thickBot="1" x14ac:dyDescent="0.35">
      <c r="A8" s="5" t="s">
        <v>309</v>
      </c>
      <c r="B8" s="5">
        <v>87</v>
      </c>
    </row>
    <row r="10" spans="1:9" ht="15" thickBot="1" x14ac:dyDescent="0.35">
      <c r="A10" t="s">
        <v>310</v>
      </c>
    </row>
    <row r="11" spans="1:9" x14ac:dyDescent="0.3">
      <c r="A11" s="6"/>
      <c r="B11" s="6" t="s">
        <v>315</v>
      </c>
      <c r="C11" s="6" t="s">
        <v>316</v>
      </c>
      <c r="D11" s="6" t="s">
        <v>317</v>
      </c>
      <c r="E11" s="6" t="s">
        <v>318</v>
      </c>
      <c r="F11" s="6" t="s">
        <v>319</v>
      </c>
    </row>
    <row r="12" spans="1:9" x14ac:dyDescent="0.3">
      <c r="A12" t="s">
        <v>311</v>
      </c>
      <c r="B12">
        <v>1</v>
      </c>
      <c r="C12">
        <v>9.4857626091786145</v>
      </c>
      <c r="D12">
        <v>9.4857626091786145</v>
      </c>
      <c r="E12">
        <v>19.182999156173981</v>
      </c>
      <c r="F12">
        <v>3.3686494002671441E-5</v>
      </c>
    </row>
    <row r="13" spans="1:9" x14ac:dyDescent="0.3">
      <c r="A13" t="s">
        <v>312</v>
      </c>
      <c r="B13">
        <v>85</v>
      </c>
      <c r="C13">
        <v>42.031478770131763</v>
      </c>
      <c r="D13">
        <v>0.4944879855309619</v>
      </c>
    </row>
    <row r="14" spans="1:9" ht="15" thickBot="1" x14ac:dyDescent="0.35">
      <c r="A14" s="5" t="s">
        <v>313</v>
      </c>
      <c r="B14" s="5">
        <v>86</v>
      </c>
      <c r="C14" s="5">
        <v>51.517241379310377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320</v>
      </c>
      <c r="C16" s="6" t="s">
        <v>308</v>
      </c>
      <c r="D16" s="6" t="s">
        <v>321</v>
      </c>
      <c r="E16" s="6" t="s">
        <v>322</v>
      </c>
      <c r="F16" s="6" t="s">
        <v>323</v>
      </c>
      <c r="G16" s="6" t="s">
        <v>324</v>
      </c>
      <c r="H16" s="6" t="s">
        <v>325</v>
      </c>
      <c r="I16" s="6" t="s">
        <v>326</v>
      </c>
    </row>
    <row r="17" spans="1:9" x14ac:dyDescent="0.3">
      <c r="A17" t="s">
        <v>314</v>
      </c>
      <c r="B17">
        <v>1.4685212298682293</v>
      </c>
      <c r="C17">
        <v>0.25855133073668046</v>
      </c>
      <c r="D17">
        <v>5.6798053434264979</v>
      </c>
      <c r="E17">
        <v>1.8420450222748239E-7</v>
      </c>
      <c r="F17">
        <v>0.95445191652895767</v>
      </c>
      <c r="G17">
        <v>1.9825905432075008</v>
      </c>
      <c r="H17">
        <v>0.95445191652895767</v>
      </c>
      <c r="I17">
        <v>1.9825905432075008</v>
      </c>
    </row>
    <row r="18" spans="1:9" ht="15" thickBot="1" x14ac:dyDescent="0.35">
      <c r="A18" s="5" t="s">
        <v>300</v>
      </c>
      <c r="B18" s="5">
        <v>0.44875549048316221</v>
      </c>
      <c r="C18" s="5">
        <v>0.10245933229018873</v>
      </c>
      <c r="D18" s="5">
        <v>4.3798400834018905</v>
      </c>
      <c r="E18" s="5">
        <v>3.3686494002673135E-5</v>
      </c>
      <c r="F18" s="5">
        <v>0.24503888826903497</v>
      </c>
      <c r="G18" s="5">
        <v>0.65247209269728945</v>
      </c>
      <c r="H18" s="5">
        <v>0.24503888826903497</v>
      </c>
      <c r="I18" s="5">
        <v>0.65247209269728945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59"/>
  <sheetViews>
    <sheetView tabSelected="1" topLeftCell="AP81" zoomScale="46" workbookViewId="0">
      <selection activeCell="AX138" sqref="AX138"/>
    </sheetView>
  </sheetViews>
  <sheetFormatPr defaultRowHeight="14.4" x14ac:dyDescent="0.3"/>
  <cols>
    <col min="9" max="9" width="20.33203125" customWidth="1"/>
    <col min="20" max="20" width="42.5546875" customWidth="1"/>
    <col min="21" max="21" width="39.5546875" customWidth="1"/>
    <col min="22" max="22" width="41.21875" customWidth="1"/>
    <col min="23" max="23" width="16.5546875" customWidth="1"/>
    <col min="24" max="24" width="15.109375" customWidth="1"/>
    <col min="25" max="25" width="26.44140625" customWidth="1"/>
    <col min="26" max="26" width="24.77734375" customWidth="1"/>
    <col min="27" max="27" width="27" customWidth="1"/>
    <col min="28" max="28" width="29.88671875" customWidth="1"/>
    <col min="29" max="29" width="26.6640625" customWidth="1"/>
    <col min="30" max="30" width="25.21875" customWidth="1"/>
    <col min="31" max="31" width="21.44140625" customWidth="1"/>
    <col min="32" max="32" width="41.33203125" customWidth="1"/>
    <col min="33" max="33" width="43.33203125" customWidth="1"/>
    <col min="34" max="34" width="47" customWidth="1"/>
    <col min="35" max="35" width="35.77734375" customWidth="1"/>
    <col min="36" max="36" width="20.6640625" customWidth="1"/>
    <col min="44" max="44" width="7.21875" customWidth="1"/>
    <col min="45" max="45" width="11" customWidth="1"/>
    <col min="46" max="46" width="6.5546875" customWidth="1"/>
    <col min="47" max="47" width="7.88671875" customWidth="1"/>
    <col min="48" max="48" width="9" customWidth="1"/>
    <col min="49" max="49" width="16.88671875" customWidth="1"/>
    <col min="50" max="50" width="20.44140625" customWidth="1"/>
    <col min="51" max="51" width="18.5546875" customWidth="1"/>
    <col min="58" max="58" width="9.44140625" customWidth="1"/>
    <col min="59" max="59" width="9.77734375" customWidth="1"/>
    <col min="60" max="60" width="29.44140625" customWidth="1"/>
    <col min="61" max="61" width="9.33203125" customWidth="1"/>
    <col min="63" max="63" width="12.21875" customWidth="1"/>
    <col min="64" max="64" width="5.77734375" customWidth="1"/>
    <col min="65" max="65" width="7.6640625" customWidth="1"/>
    <col min="66" max="66" width="9.33203125" customWidth="1"/>
    <col min="67" max="67" width="6.6640625" customWidth="1"/>
    <col min="68" max="68" width="5.44140625" customWidth="1"/>
    <col min="69" max="69" width="5" customWidth="1"/>
  </cols>
  <sheetData>
    <row r="1" spans="1:63" x14ac:dyDescent="0.3">
      <c r="A1" s="3" t="s">
        <v>0</v>
      </c>
      <c r="B1" s="3" t="s">
        <v>0</v>
      </c>
      <c r="C1" s="3" t="s">
        <v>0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S1" s="3" t="s">
        <v>285</v>
      </c>
    </row>
    <row r="2" spans="1:63" x14ac:dyDescent="0.3">
      <c r="A2" s="3" t="s">
        <v>40</v>
      </c>
      <c r="B2" s="3" t="s">
        <v>41</v>
      </c>
      <c r="C2" s="3" t="s">
        <v>42</v>
      </c>
      <c r="D2" s="3" t="s">
        <v>43</v>
      </c>
      <c r="E2" s="3" t="s">
        <v>1</v>
      </c>
      <c r="F2" s="3" t="s">
        <v>2</v>
      </c>
      <c r="G2" s="3" t="s">
        <v>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55</v>
      </c>
      <c r="T2" s="3" t="s">
        <v>56</v>
      </c>
      <c r="U2" s="3" t="s">
        <v>57</v>
      </c>
      <c r="V2" s="3" t="s">
        <v>58</v>
      </c>
      <c r="W2" s="3" t="s">
        <v>59</v>
      </c>
      <c r="X2" s="3" t="s">
        <v>60</v>
      </c>
      <c r="Y2" s="3" t="s">
        <v>61</v>
      </c>
      <c r="Z2" s="3" t="s">
        <v>62</v>
      </c>
      <c r="AA2" s="3" t="s">
        <v>63</v>
      </c>
      <c r="AB2" s="3" t="s">
        <v>64</v>
      </c>
      <c r="AC2" s="3" t="s">
        <v>65</v>
      </c>
      <c r="AD2" s="3" t="s">
        <v>66</v>
      </c>
      <c r="AE2" s="3" t="s">
        <v>67</v>
      </c>
      <c r="AF2" s="3" t="s">
        <v>68</v>
      </c>
      <c r="AG2" s="3" t="s">
        <v>69</v>
      </c>
      <c r="AH2" s="3" t="s">
        <v>70</v>
      </c>
      <c r="AI2" s="3" t="s">
        <v>71</v>
      </c>
      <c r="AJ2" s="3" t="s">
        <v>72</v>
      </c>
      <c r="AK2" s="3" t="s">
        <v>73</v>
      </c>
      <c r="AL2" s="3" t="s">
        <v>74</v>
      </c>
      <c r="AM2" s="3" t="s">
        <v>75</v>
      </c>
      <c r="AN2" s="3" t="s">
        <v>76</v>
      </c>
      <c r="AO2" s="3" t="s">
        <v>77</v>
      </c>
      <c r="AP2" s="3" t="s">
        <v>78</v>
      </c>
      <c r="AQ2" s="3" t="s">
        <v>79</v>
      </c>
      <c r="AX2" t="s">
        <v>300</v>
      </c>
      <c r="AY2" t="s">
        <v>301</v>
      </c>
      <c r="AZ2" t="s">
        <v>302</v>
      </c>
      <c r="BB2" t="s">
        <v>342</v>
      </c>
      <c r="BE2" t="s">
        <v>348</v>
      </c>
      <c r="BF2" t="s">
        <v>352</v>
      </c>
      <c r="BG2" t="s">
        <v>353</v>
      </c>
    </row>
    <row r="3" spans="1:63" ht="28.8" x14ac:dyDescent="0.3">
      <c r="A3" s="1">
        <v>45595.497314814813</v>
      </c>
      <c r="B3" s="1">
        <v>45595.498888888891</v>
      </c>
      <c r="C3">
        <v>0</v>
      </c>
      <c r="D3" s="2" t="s">
        <v>80</v>
      </c>
      <c r="E3">
        <v>100</v>
      </c>
      <c r="F3">
        <v>135</v>
      </c>
      <c r="G3">
        <v>1</v>
      </c>
      <c r="H3" s="1">
        <v>45595.498898530095</v>
      </c>
      <c r="I3" s="2" t="s">
        <v>81</v>
      </c>
      <c r="J3" s="2" t="s">
        <v>82</v>
      </c>
      <c r="K3" s="2" t="s">
        <v>82</v>
      </c>
      <c r="L3" s="2" t="s">
        <v>82</v>
      </c>
      <c r="M3" s="2" t="s">
        <v>82</v>
      </c>
      <c r="N3">
        <v>42.389400000000002</v>
      </c>
      <c r="O3">
        <v>-72.526499999999999</v>
      </c>
      <c r="P3" s="2" t="s">
        <v>83</v>
      </c>
      <c r="Q3" s="2" t="s">
        <v>84</v>
      </c>
      <c r="R3">
        <v>2</v>
      </c>
      <c r="S3" s="2" t="s">
        <v>85</v>
      </c>
      <c r="T3">
        <v>4</v>
      </c>
      <c r="U3">
        <v>1</v>
      </c>
      <c r="V3" s="2" t="s">
        <v>82</v>
      </c>
      <c r="W3" s="2" t="s">
        <v>86</v>
      </c>
      <c r="X3" s="2" t="s">
        <v>82</v>
      </c>
      <c r="Y3">
        <v>3</v>
      </c>
      <c r="Z3">
        <v>3</v>
      </c>
      <c r="AA3">
        <v>6</v>
      </c>
      <c r="AB3">
        <v>2</v>
      </c>
      <c r="AC3">
        <v>2</v>
      </c>
      <c r="AD3">
        <v>2</v>
      </c>
      <c r="AE3">
        <v>3</v>
      </c>
      <c r="AF3">
        <v>1</v>
      </c>
      <c r="AG3" s="2" t="s">
        <v>82</v>
      </c>
      <c r="AH3">
        <v>2</v>
      </c>
      <c r="AI3">
        <v>1</v>
      </c>
      <c r="AJ3">
        <v>2</v>
      </c>
      <c r="AK3">
        <v>2</v>
      </c>
      <c r="AL3">
        <v>5</v>
      </c>
      <c r="AM3">
        <v>5</v>
      </c>
      <c r="AN3">
        <v>1</v>
      </c>
      <c r="AO3">
        <v>1</v>
      </c>
      <c r="AP3">
        <v>2</v>
      </c>
      <c r="AQ3">
        <v>1</v>
      </c>
      <c r="AS3">
        <f>IF(AND(ISNUMBER(VALUE(S3)), VALUE(S3)&gt;=1998, VALUE(S3)&lt;=2006), 2024 - VALUE(S3), 0)</f>
        <v>21</v>
      </c>
      <c r="AT3" s="2" t="s">
        <v>293</v>
      </c>
      <c r="AX3">
        <f>VALUE(Y3)</f>
        <v>3</v>
      </c>
      <c r="AY3">
        <f>VALUE(Z3)</f>
        <v>3</v>
      </c>
      <c r="AZ3">
        <f>VALUE(AE3)</f>
        <v>3</v>
      </c>
      <c r="BB3">
        <f>VALUE(AF3)</f>
        <v>1</v>
      </c>
      <c r="BC3">
        <f>VALUE(U3)</f>
        <v>1</v>
      </c>
      <c r="BD3">
        <f>AY3-AX3</f>
        <v>0</v>
      </c>
      <c r="BE3">
        <f>VALUE(AI3)</f>
        <v>1</v>
      </c>
      <c r="BF3">
        <f>VALUE(AJ3)</f>
        <v>2</v>
      </c>
      <c r="BG3">
        <f>VALUE(AN3)</f>
        <v>1</v>
      </c>
      <c r="BH3">
        <f>VALUE(AO3)</f>
        <v>1</v>
      </c>
      <c r="BI3">
        <f>VALUE(AA3)</f>
        <v>6</v>
      </c>
      <c r="BK3">
        <f>VALUE(U3)</f>
        <v>1</v>
      </c>
    </row>
    <row r="4" spans="1:63" ht="28.8" x14ac:dyDescent="0.3">
      <c r="A4" s="1">
        <v>45595.500520833331</v>
      </c>
      <c r="B4" s="1">
        <v>45595.501712962963</v>
      </c>
      <c r="C4">
        <v>0</v>
      </c>
      <c r="D4" s="2" t="s">
        <v>87</v>
      </c>
      <c r="E4">
        <v>100</v>
      </c>
      <c r="F4">
        <v>103</v>
      </c>
      <c r="G4">
        <v>1</v>
      </c>
      <c r="H4" s="1">
        <v>45595.5017233912</v>
      </c>
      <c r="I4" s="2" t="s">
        <v>88</v>
      </c>
      <c r="J4" s="2" t="s">
        <v>82</v>
      </c>
      <c r="K4" s="2" t="s">
        <v>82</v>
      </c>
      <c r="L4" s="2" t="s">
        <v>82</v>
      </c>
      <c r="M4" s="2" t="s">
        <v>82</v>
      </c>
      <c r="N4">
        <v>42.389400000000002</v>
      </c>
      <c r="O4">
        <v>-72.526499999999999</v>
      </c>
      <c r="P4" s="2" t="s">
        <v>83</v>
      </c>
      <c r="Q4" s="2" t="s">
        <v>84</v>
      </c>
      <c r="R4">
        <v>2</v>
      </c>
      <c r="S4" s="2" t="s">
        <v>85</v>
      </c>
      <c r="T4">
        <v>4</v>
      </c>
      <c r="U4">
        <v>9</v>
      </c>
      <c r="V4" s="2" t="s">
        <v>82</v>
      </c>
      <c r="W4" s="2" t="s">
        <v>89</v>
      </c>
      <c r="X4" s="2" t="s">
        <v>82</v>
      </c>
      <c r="Y4">
        <v>2</v>
      </c>
      <c r="Z4">
        <v>2</v>
      </c>
      <c r="AA4">
        <v>6</v>
      </c>
      <c r="AB4">
        <v>3</v>
      </c>
      <c r="AC4">
        <v>2</v>
      </c>
      <c r="AD4">
        <v>3</v>
      </c>
      <c r="AE4">
        <v>1</v>
      </c>
      <c r="AF4">
        <v>1</v>
      </c>
      <c r="AG4" s="2" t="s">
        <v>82</v>
      </c>
      <c r="AH4">
        <v>1</v>
      </c>
      <c r="AI4">
        <v>4</v>
      </c>
      <c r="AJ4">
        <v>3</v>
      </c>
      <c r="AK4">
        <v>2</v>
      </c>
      <c r="AL4">
        <v>1</v>
      </c>
      <c r="AM4">
        <v>4</v>
      </c>
      <c r="AN4">
        <v>4</v>
      </c>
      <c r="AO4">
        <v>4</v>
      </c>
      <c r="AP4">
        <v>3</v>
      </c>
      <c r="AQ4">
        <v>1</v>
      </c>
      <c r="AS4">
        <f t="shared" ref="AS4:AS67" si="0">IF(AND(ISNUMBER(VALUE(S4)), VALUE(S4)&gt;=1998, VALUE(S4)&lt;=2006), 2024 - VALUE(S4), 0)</f>
        <v>21</v>
      </c>
      <c r="AT4" s="2" t="s">
        <v>291</v>
      </c>
      <c r="AX4">
        <f t="shared" ref="AX4:AX67" si="1">VALUE(Y4)</f>
        <v>2</v>
      </c>
      <c r="AY4">
        <f t="shared" ref="AY4:AY67" si="2">VALUE(Z4)</f>
        <v>2</v>
      </c>
      <c r="AZ4">
        <f t="shared" ref="AZ4:AZ67" si="3">VALUE(AE4)</f>
        <v>1</v>
      </c>
      <c r="BB4">
        <f t="shared" ref="BB4:BB67" si="4">VALUE(AF4)</f>
        <v>1</v>
      </c>
      <c r="BC4">
        <f t="shared" ref="BC4:BC67" si="5">VALUE(U4)</f>
        <v>9</v>
      </c>
      <c r="BD4">
        <f t="shared" ref="BD4:BD67" si="6">AY4-AX4</f>
        <v>0</v>
      </c>
      <c r="BE4">
        <f t="shared" ref="BE4:BE67" si="7">VALUE(AI4)</f>
        <v>4</v>
      </c>
      <c r="BF4">
        <f t="shared" ref="BF4:BF67" si="8">VALUE(AJ4)</f>
        <v>3</v>
      </c>
      <c r="BG4">
        <f t="shared" ref="BG4:BG67" si="9">VALUE(AN4)</f>
        <v>4</v>
      </c>
      <c r="BH4">
        <f t="shared" ref="BH4:BH67" si="10">VALUE(AO4)</f>
        <v>4</v>
      </c>
      <c r="BI4">
        <f t="shared" ref="BI4:BI67" si="11">VALUE(AA4)</f>
        <v>6</v>
      </c>
      <c r="BK4">
        <f t="shared" ref="BK4:BK67" si="12">VALUE(U4)</f>
        <v>9</v>
      </c>
    </row>
    <row r="5" spans="1:63" ht="28.8" x14ac:dyDescent="0.3">
      <c r="A5" s="1">
        <v>45595.501192129632</v>
      </c>
      <c r="B5" s="1">
        <v>45595.50240740741</v>
      </c>
      <c r="C5">
        <v>0</v>
      </c>
      <c r="D5" s="2" t="s">
        <v>90</v>
      </c>
      <c r="E5">
        <v>100</v>
      </c>
      <c r="F5">
        <v>104</v>
      </c>
      <c r="G5">
        <v>1</v>
      </c>
      <c r="H5" s="1">
        <v>45595.502424560182</v>
      </c>
      <c r="I5" s="2" t="s">
        <v>91</v>
      </c>
      <c r="J5" s="2" t="s">
        <v>82</v>
      </c>
      <c r="K5" s="2" t="s">
        <v>82</v>
      </c>
      <c r="L5" s="2" t="s">
        <v>82</v>
      </c>
      <c r="M5" s="2" t="s">
        <v>82</v>
      </c>
      <c r="N5">
        <v>42.365400000000001</v>
      </c>
      <c r="O5">
        <v>-72.467100000000002</v>
      </c>
      <c r="P5" s="2" t="s">
        <v>83</v>
      </c>
      <c r="Q5" s="2" t="s">
        <v>84</v>
      </c>
      <c r="R5">
        <v>2</v>
      </c>
      <c r="S5" s="2" t="s">
        <v>85</v>
      </c>
      <c r="T5">
        <v>4</v>
      </c>
      <c r="U5">
        <v>1</v>
      </c>
      <c r="V5" s="2" t="s">
        <v>82</v>
      </c>
      <c r="W5" s="2" t="s">
        <v>92</v>
      </c>
      <c r="X5" s="2" t="s">
        <v>82</v>
      </c>
      <c r="Y5">
        <v>2</v>
      </c>
      <c r="Z5">
        <v>2</v>
      </c>
      <c r="AA5">
        <v>7</v>
      </c>
      <c r="AB5">
        <v>3</v>
      </c>
      <c r="AC5">
        <v>1</v>
      </c>
      <c r="AD5">
        <v>2</v>
      </c>
      <c r="AE5">
        <v>3</v>
      </c>
      <c r="AF5">
        <v>2</v>
      </c>
      <c r="AG5" s="2" t="s">
        <v>82</v>
      </c>
      <c r="AH5">
        <v>5</v>
      </c>
      <c r="AI5">
        <v>2</v>
      </c>
      <c r="AJ5">
        <v>2</v>
      </c>
      <c r="AK5">
        <v>2</v>
      </c>
      <c r="AL5">
        <v>3</v>
      </c>
      <c r="AM5">
        <v>4</v>
      </c>
      <c r="AN5">
        <v>4</v>
      </c>
      <c r="AO5">
        <v>3</v>
      </c>
      <c r="AP5">
        <v>2</v>
      </c>
      <c r="AQ5">
        <v>1</v>
      </c>
      <c r="AS5">
        <f t="shared" si="0"/>
        <v>21</v>
      </c>
      <c r="AT5" s="2" t="s">
        <v>291</v>
      </c>
      <c r="AX5">
        <f t="shared" si="1"/>
        <v>2</v>
      </c>
      <c r="AY5">
        <f t="shared" si="2"/>
        <v>2</v>
      </c>
      <c r="AZ5">
        <f t="shared" si="3"/>
        <v>3</v>
      </c>
      <c r="BB5">
        <f t="shared" si="4"/>
        <v>2</v>
      </c>
      <c r="BC5">
        <f t="shared" si="5"/>
        <v>1</v>
      </c>
      <c r="BD5">
        <f t="shared" si="6"/>
        <v>0</v>
      </c>
      <c r="BE5">
        <f t="shared" si="7"/>
        <v>2</v>
      </c>
      <c r="BF5">
        <f t="shared" si="8"/>
        <v>2</v>
      </c>
      <c r="BG5">
        <f t="shared" si="9"/>
        <v>4</v>
      </c>
      <c r="BH5">
        <f t="shared" si="10"/>
        <v>3</v>
      </c>
      <c r="BI5">
        <f t="shared" si="11"/>
        <v>7</v>
      </c>
      <c r="BK5">
        <f t="shared" si="12"/>
        <v>1</v>
      </c>
    </row>
    <row r="6" spans="1:63" ht="28.8" x14ac:dyDescent="0.3">
      <c r="A6" s="1">
        <v>45595.50172453704</v>
      </c>
      <c r="B6" s="1">
        <v>45595.503298611111</v>
      </c>
      <c r="C6">
        <v>0</v>
      </c>
      <c r="D6" s="2" t="s">
        <v>93</v>
      </c>
      <c r="E6">
        <v>100</v>
      </c>
      <c r="F6">
        <v>135</v>
      </c>
      <c r="G6">
        <v>1</v>
      </c>
      <c r="H6" s="1">
        <v>45595.503314062502</v>
      </c>
      <c r="I6" s="2" t="s">
        <v>94</v>
      </c>
      <c r="J6" s="2" t="s">
        <v>82</v>
      </c>
      <c r="K6" s="2" t="s">
        <v>82</v>
      </c>
      <c r="L6" s="2" t="s">
        <v>82</v>
      </c>
      <c r="M6" s="2" t="s">
        <v>82</v>
      </c>
      <c r="N6">
        <v>42.365400000000001</v>
      </c>
      <c r="O6">
        <v>-72.467100000000002</v>
      </c>
      <c r="P6" s="2" t="s">
        <v>83</v>
      </c>
      <c r="Q6" s="2" t="s">
        <v>84</v>
      </c>
      <c r="R6">
        <v>2</v>
      </c>
      <c r="S6" s="2" t="s">
        <v>85</v>
      </c>
      <c r="T6">
        <v>4</v>
      </c>
      <c r="U6">
        <v>4</v>
      </c>
      <c r="V6" s="2" t="s">
        <v>82</v>
      </c>
      <c r="W6" s="2" t="s">
        <v>95</v>
      </c>
      <c r="X6" s="2" t="s">
        <v>82</v>
      </c>
      <c r="Y6">
        <v>2</v>
      </c>
      <c r="Z6">
        <v>2</v>
      </c>
      <c r="AA6">
        <v>4</v>
      </c>
      <c r="AB6">
        <v>2</v>
      </c>
      <c r="AC6">
        <v>2</v>
      </c>
      <c r="AD6">
        <v>2</v>
      </c>
      <c r="AE6">
        <v>2</v>
      </c>
      <c r="AF6">
        <v>6</v>
      </c>
      <c r="AG6" s="2" t="s">
        <v>82</v>
      </c>
      <c r="AH6">
        <v>2</v>
      </c>
      <c r="AI6">
        <v>2</v>
      </c>
      <c r="AJ6">
        <v>2</v>
      </c>
      <c r="AK6">
        <v>2</v>
      </c>
      <c r="AL6">
        <v>1</v>
      </c>
      <c r="AM6">
        <v>4</v>
      </c>
      <c r="AN6">
        <v>4</v>
      </c>
      <c r="AO6">
        <v>3</v>
      </c>
      <c r="AP6">
        <v>4</v>
      </c>
      <c r="AQ6">
        <v>3</v>
      </c>
      <c r="AS6">
        <f t="shared" si="0"/>
        <v>21</v>
      </c>
      <c r="AT6" s="2" t="s">
        <v>291</v>
      </c>
      <c r="AX6">
        <f t="shared" si="1"/>
        <v>2</v>
      </c>
      <c r="AY6">
        <f t="shared" si="2"/>
        <v>2</v>
      </c>
      <c r="AZ6">
        <f t="shared" si="3"/>
        <v>2</v>
      </c>
      <c r="BB6">
        <f t="shared" si="4"/>
        <v>6</v>
      </c>
      <c r="BC6">
        <f t="shared" si="5"/>
        <v>4</v>
      </c>
      <c r="BD6">
        <f t="shared" si="6"/>
        <v>0</v>
      </c>
      <c r="BE6">
        <f t="shared" si="7"/>
        <v>2</v>
      </c>
      <c r="BF6">
        <f t="shared" si="8"/>
        <v>2</v>
      </c>
      <c r="BG6">
        <f t="shared" si="9"/>
        <v>4</v>
      </c>
      <c r="BH6">
        <f t="shared" si="10"/>
        <v>3</v>
      </c>
      <c r="BI6">
        <f t="shared" si="11"/>
        <v>4</v>
      </c>
      <c r="BK6">
        <f t="shared" si="12"/>
        <v>4</v>
      </c>
    </row>
    <row r="7" spans="1:63" ht="28.8" x14ac:dyDescent="0.3">
      <c r="A7" s="1">
        <v>45595.502824074072</v>
      </c>
      <c r="B7" s="1">
        <v>45595.50476851852</v>
      </c>
      <c r="C7">
        <v>0</v>
      </c>
      <c r="D7" s="2" t="s">
        <v>90</v>
      </c>
      <c r="E7">
        <v>100</v>
      </c>
      <c r="F7">
        <v>167</v>
      </c>
      <c r="G7">
        <v>1</v>
      </c>
      <c r="H7" s="1">
        <v>45595.504776273148</v>
      </c>
      <c r="I7" s="2" t="s">
        <v>96</v>
      </c>
      <c r="J7" s="2" t="s">
        <v>82</v>
      </c>
      <c r="K7" s="2" t="s">
        <v>82</v>
      </c>
      <c r="L7" s="2" t="s">
        <v>82</v>
      </c>
      <c r="M7" s="2" t="s">
        <v>82</v>
      </c>
      <c r="N7">
        <v>42.365400000000001</v>
      </c>
      <c r="O7">
        <v>-72.467100000000002</v>
      </c>
      <c r="P7" s="2" t="s">
        <v>83</v>
      </c>
      <c r="Q7" s="2" t="s">
        <v>84</v>
      </c>
      <c r="R7">
        <v>2</v>
      </c>
      <c r="S7" s="2" t="s">
        <v>85</v>
      </c>
      <c r="T7">
        <v>4</v>
      </c>
      <c r="U7">
        <v>1</v>
      </c>
      <c r="V7" s="2" t="s">
        <v>82</v>
      </c>
      <c r="W7" s="2" t="s">
        <v>97</v>
      </c>
      <c r="X7" s="2" t="s">
        <v>82</v>
      </c>
      <c r="Y7">
        <v>2</v>
      </c>
      <c r="Z7">
        <v>1</v>
      </c>
      <c r="AA7">
        <v>5</v>
      </c>
      <c r="AB7">
        <v>1</v>
      </c>
      <c r="AC7">
        <v>2</v>
      </c>
      <c r="AD7">
        <v>1</v>
      </c>
      <c r="AE7">
        <v>3</v>
      </c>
      <c r="AF7">
        <v>2</v>
      </c>
      <c r="AG7" s="2" t="s">
        <v>82</v>
      </c>
      <c r="AH7">
        <v>3</v>
      </c>
      <c r="AI7">
        <v>1</v>
      </c>
      <c r="AJ7">
        <v>1</v>
      </c>
      <c r="AK7">
        <v>1</v>
      </c>
      <c r="AL7">
        <v>3</v>
      </c>
      <c r="AM7">
        <v>5</v>
      </c>
      <c r="AN7">
        <v>3</v>
      </c>
      <c r="AO7">
        <v>2</v>
      </c>
      <c r="AP7">
        <v>4</v>
      </c>
      <c r="AQ7">
        <v>1</v>
      </c>
      <c r="AS7">
        <f t="shared" si="0"/>
        <v>21</v>
      </c>
      <c r="AT7" s="2" t="s">
        <v>291</v>
      </c>
      <c r="AX7">
        <f t="shared" si="1"/>
        <v>2</v>
      </c>
      <c r="AY7">
        <f t="shared" si="2"/>
        <v>1</v>
      </c>
      <c r="AZ7">
        <f t="shared" si="3"/>
        <v>3</v>
      </c>
      <c r="BB7">
        <f t="shared" si="4"/>
        <v>2</v>
      </c>
      <c r="BC7">
        <f t="shared" si="5"/>
        <v>1</v>
      </c>
      <c r="BD7">
        <f t="shared" si="6"/>
        <v>-1</v>
      </c>
      <c r="BE7">
        <f t="shared" si="7"/>
        <v>1</v>
      </c>
      <c r="BF7">
        <f t="shared" si="8"/>
        <v>1</v>
      </c>
      <c r="BG7">
        <f t="shared" si="9"/>
        <v>3</v>
      </c>
      <c r="BH7">
        <f t="shared" si="10"/>
        <v>2</v>
      </c>
      <c r="BI7">
        <f t="shared" si="11"/>
        <v>5</v>
      </c>
      <c r="BK7">
        <f t="shared" si="12"/>
        <v>1</v>
      </c>
    </row>
    <row r="8" spans="1:63" ht="36.6" customHeight="1" x14ac:dyDescent="0.3">
      <c r="A8" s="1">
        <v>45595.504710648151</v>
      </c>
      <c r="B8" s="1">
        <v>45595.506111111114</v>
      </c>
      <c r="C8">
        <v>0</v>
      </c>
      <c r="D8" s="2" t="s">
        <v>98</v>
      </c>
      <c r="E8">
        <v>100</v>
      </c>
      <c r="F8">
        <v>120</v>
      </c>
      <c r="G8">
        <v>1</v>
      </c>
      <c r="H8" s="1">
        <v>45595.506123344909</v>
      </c>
      <c r="I8" s="2" t="s">
        <v>99</v>
      </c>
      <c r="J8" s="2" t="s">
        <v>82</v>
      </c>
      <c r="K8" s="2" t="s">
        <v>82</v>
      </c>
      <c r="L8" s="2" t="s">
        <v>82</v>
      </c>
      <c r="M8" s="2" t="s">
        <v>82</v>
      </c>
      <c r="N8">
        <v>42.466500000000003</v>
      </c>
      <c r="O8">
        <v>-75.043800000000005</v>
      </c>
      <c r="P8" s="2" t="s">
        <v>83</v>
      </c>
      <c r="Q8" s="2" t="s">
        <v>84</v>
      </c>
      <c r="R8">
        <v>2</v>
      </c>
      <c r="S8" s="2" t="s">
        <v>100</v>
      </c>
      <c r="T8">
        <v>2</v>
      </c>
      <c r="U8">
        <v>10</v>
      </c>
      <c r="V8" s="2" t="s">
        <v>101</v>
      </c>
      <c r="W8" s="2" t="s">
        <v>95</v>
      </c>
      <c r="X8" s="2" t="s">
        <v>82</v>
      </c>
      <c r="Y8">
        <v>2</v>
      </c>
      <c r="Z8">
        <v>1</v>
      </c>
      <c r="AA8">
        <v>5</v>
      </c>
      <c r="AB8">
        <v>2</v>
      </c>
      <c r="AC8">
        <v>1</v>
      </c>
      <c r="AD8">
        <v>3</v>
      </c>
      <c r="AE8">
        <v>2</v>
      </c>
      <c r="AF8">
        <v>2</v>
      </c>
      <c r="AG8" s="2" t="s">
        <v>82</v>
      </c>
      <c r="AH8">
        <v>5</v>
      </c>
      <c r="AI8">
        <v>1</v>
      </c>
      <c r="AJ8">
        <v>1</v>
      </c>
      <c r="AK8">
        <v>1</v>
      </c>
      <c r="AL8">
        <v>2</v>
      </c>
      <c r="AM8">
        <v>1</v>
      </c>
      <c r="AN8">
        <v>1</v>
      </c>
      <c r="AO8">
        <v>1</v>
      </c>
      <c r="AP8">
        <v>3</v>
      </c>
      <c r="AQ8">
        <v>1</v>
      </c>
      <c r="AS8">
        <f t="shared" si="0"/>
        <v>19</v>
      </c>
      <c r="AT8" s="2" t="s">
        <v>291</v>
      </c>
      <c r="AX8">
        <f t="shared" si="1"/>
        <v>2</v>
      </c>
      <c r="AY8">
        <f t="shared" si="2"/>
        <v>1</v>
      </c>
      <c r="AZ8">
        <f t="shared" si="3"/>
        <v>2</v>
      </c>
      <c r="BB8">
        <f t="shared" si="4"/>
        <v>2</v>
      </c>
      <c r="BC8">
        <f t="shared" si="5"/>
        <v>10</v>
      </c>
      <c r="BD8">
        <f t="shared" si="6"/>
        <v>-1</v>
      </c>
      <c r="BE8">
        <f t="shared" si="7"/>
        <v>1</v>
      </c>
      <c r="BF8">
        <f t="shared" si="8"/>
        <v>1</v>
      </c>
      <c r="BG8">
        <f t="shared" si="9"/>
        <v>1</v>
      </c>
      <c r="BH8">
        <f t="shared" si="10"/>
        <v>1</v>
      </c>
      <c r="BI8">
        <f t="shared" si="11"/>
        <v>5</v>
      </c>
      <c r="BK8">
        <f t="shared" si="12"/>
        <v>10</v>
      </c>
    </row>
    <row r="9" spans="1:63" ht="28.8" x14ac:dyDescent="0.3">
      <c r="A9" s="1">
        <v>45595.505532407406</v>
      </c>
      <c r="B9" s="1">
        <v>45595.507118055553</v>
      </c>
      <c r="C9">
        <v>0</v>
      </c>
      <c r="D9" s="2" t="s">
        <v>80</v>
      </c>
      <c r="E9">
        <v>100</v>
      </c>
      <c r="F9">
        <v>137</v>
      </c>
      <c r="G9">
        <v>1</v>
      </c>
      <c r="H9" s="1">
        <v>45595.507134421299</v>
      </c>
      <c r="I9" s="2" t="s">
        <v>102</v>
      </c>
      <c r="J9" s="2" t="s">
        <v>82</v>
      </c>
      <c r="K9" s="2" t="s">
        <v>82</v>
      </c>
      <c r="L9" s="2" t="s">
        <v>82</v>
      </c>
      <c r="M9" s="2" t="s">
        <v>82</v>
      </c>
      <c r="N9">
        <v>42.389400000000002</v>
      </c>
      <c r="O9">
        <v>-72.526499999999999</v>
      </c>
      <c r="P9" s="2" t="s">
        <v>83</v>
      </c>
      <c r="Q9" s="2" t="s">
        <v>84</v>
      </c>
      <c r="R9">
        <v>2</v>
      </c>
      <c r="S9" s="2" t="s">
        <v>85</v>
      </c>
      <c r="T9">
        <v>4</v>
      </c>
      <c r="U9">
        <v>7</v>
      </c>
      <c r="V9" s="2" t="s">
        <v>82</v>
      </c>
      <c r="W9" s="2" t="s">
        <v>103</v>
      </c>
      <c r="X9" s="2" t="s">
        <v>82</v>
      </c>
      <c r="Y9">
        <v>2</v>
      </c>
      <c r="Z9">
        <v>3</v>
      </c>
      <c r="AA9">
        <v>6</v>
      </c>
      <c r="AB9">
        <v>3</v>
      </c>
      <c r="AC9">
        <v>2</v>
      </c>
      <c r="AD9">
        <v>1</v>
      </c>
      <c r="AE9">
        <v>2</v>
      </c>
      <c r="AF9">
        <v>4</v>
      </c>
      <c r="AG9" s="2" t="s">
        <v>82</v>
      </c>
      <c r="AH9">
        <v>1</v>
      </c>
      <c r="AI9">
        <v>5</v>
      </c>
      <c r="AJ9">
        <v>1</v>
      </c>
      <c r="AK9">
        <v>4</v>
      </c>
      <c r="AL9">
        <v>1</v>
      </c>
      <c r="AM9">
        <v>1</v>
      </c>
      <c r="AN9">
        <v>2</v>
      </c>
      <c r="AO9">
        <v>3</v>
      </c>
      <c r="AP9">
        <v>3</v>
      </c>
      <c r="AQ9">
        <v>2</v>
      </c>
      <c r="AS9">
        <f t="shared" si="0"/>
        <v>21</v>
      </c>
      <c r="AT9" s="2" t="s">
        <v>291</v>
      </c>
      <c r="AX9">
        <f t="shared" si="1"/>
        <v>2</v>
      </c>
      <c r="AY9">
        <f t="shared" si="2"/>
        <v>3</v>
      </c>
      <c r="AZ9">
        <f t="shared" si="3"/>
        <v>2</v>
      </c>
      <c r="BB9">
        <f t="shared" si="4"/>
        <v>4</v>
      </c>
      <c r="BC9">
        <f t="shared" si="5"/>
        <v>7</v>
      </c>
      <c r="BD9">
        <f t="shared" si="6"/>
        <v>1</v>
      </c>
      <c r="BE9">
        <f t="shared" si="7"/>
        <v>5</v>
      </c>
      <c r="BF9">
        <f t="shared" si="8"/>
        <v>1</v>
      </c>
      <c r="BG9">
        <f t="shared" si="9"/>
        <v>2</v>
      </c>
      <c r="BH9">
        <f t="shared" si="10"/>
        <v>3</v>
      </c>
      <c r="BI9">
        <f t="shared" si="11"/>
        <v>6</v>
      </c>
      <c r="BK9">
        <f t="shared" si="12"/>
        <v>7</v>
      </c>
    </row>
    <row r="10" spans="1:63" ht="28.8" x14ac:dyDescent="0.3">
      <c r="A10" s="1">
        <v>45595.505185185182</v>
      </c>
      <c r="B10" s="1">
        <v>45595.507407407407</v>
      </c>
      <c r="C10">
        <v>0</v>
      </c>
      <c r="D10" s="2" t="s">
        <v>104</v>
      </c>
      <c r="E10">
        <v>100</v>
      </c>
      <c r="F10">
        <v>192</v>
      </c>
      <c r="G10">
        <v>1</v>
      </c>
      <c r="H10" s="1">
        <v>45595.507419502312</v>
      </c>
      <c r="I10" s="2" t="s">
        <v>105</v>
      </c>
      <c r="J10" s="2" t="s">
        <v>82</v>
      </c>
      <c r="K10" s="2" t="s">
        <v>82</v>
      </c>
      <c r="L10" s="2" t="s">
        <v>82</v>
      </c>
      <c r="M10" s="2" t="s">
        <v>82</v>
      </c>
      <c r="N10">
        <v>42.504300000000001</v>
      </c>
      <c r="O10">
        <v>-72.331999999999994</v>
      </c>
      <c r="P10" s="2" t="s">
        <v>83</v>
      </c>
      <c r="Q10" s="2" t="s">
        <v>84</v>
      </c>
      <c r="R10">
        <v>2</v>
      </c>
      <c r="S10" s="2" t="s">
        <v>106</v>
      </c>
      <c r="T10">
        <v>4</v>
      </c>
      <c r="U10">
        <v>6</v>
      </c>
      <c r="V10" s="2" t="s">
        <v>82</v>
      </c>
      <c r="W10" s="2" t="s">
        <v>95</v>
      </c>
      <c r="X10" s="2" t="s">
        <v>82</v>
      </c>
      <c r="Y10">
        <v>2</v>
      </c>
      <c r="Z10">
        <v>2</v>
      </c>
      <c r="AA10">
        <v>7</v>
      </c>
      <c r="AB10">
        <v>2</v>
      </c>
      <c r="AC10">
        <v>1</v>
      </c>
      <c r="AD10">
        <v>2</v>
      </c>
      <c r="AE10">
        <v>2</v>
      </c>
      <c r="AF10">
        <v>2</v>
      </c>
      <c r="AG10" s="2" t="s">
        <v>82</v>
      </c>
      <c r="AH10">
        <v>1</v>
      </c>
      <c r="AI10">
        <v>5</v>
      </c>
      <c r="AJ10">
        <v>2</v>
      </c>
      <c r="AK10">
        <v>2</v>
      </c>
      <c r="AL10">
        <v>4</v>
      </c>
      <c r="AM10">
        <v>1</v>
      </c>
      <c r="AN10">
        <v>4</v>
      </c>
      <c r="AO10">
        <v>4</v>
      </c>
      <c r="AP10">
        <v>1</v>
      </c>
      <c r="AQ10">
        <v>1</v>
      </c>
      <c r="AS10">
        <f t="shared" si="0"/>
        <v>22</v>
      </c>
      <c r="AT10" s="2" t="s">
        <v>291</v>
      </c>
      <c r="AX10">
        <f t="shared" si="1"/>
        <v>2</v>
      </c>
      <c r="AY10">
        <f t="shared" si="2"/>
        <v>2</v>
      </c>
      <c r="AZ10">
        <f t="shared" si="3"/>
        <v>2</v>
      </c>
      <c r="BB10">
        <f t="shared" si="4"/>
        <v>2</v>
      </c>
      <c r="BC10">
        <f t="shared" si="5"/>
        <v>6</v>
      </c>
      <c r="BD10">
        <f t="shared" si="6"/>
        <v>0</v>
      </c>
      <c r="BE10">
        <f t="shared" si="7"/>
        <v>5</v>
      </c>
      <c r="BF10">
        <f t="shared" si="8"/>
        <v>2</v>
      </c>
      <c r="BG10">
        <f t="shared" si="9"/>
        <v>4</v>
      </c>
      <c r="BH10">
        <f t="shared" si="10"/>
        <v>4</v>
      </c>
      <c r="BI10">
        <f t="shared" si="11"/>
        <v>7</v>
      </c>
      <c r="BK10">
        <f t="shared" si="12"/>
        <v>6</v>
      </c>
    </row>
    <row r="11" spans="1:63" ht="28.8" x14ac:dyDescent="0.3">
      <c r="A11" s="1">
        <v>45595.506597222222</v>
      </c>
      <c r="B11" s="1">
        <v>45595.5080787037</v>
      </c>
      <c r="C11">
        <v>0</v>
      </c>
      <c r="D11" s="2" t="s">
        <v>107</v>
      </c>
      <c r="E11">
        <v>100</v>
      </c>
      <c r="F11">
        <v>128</v>
      </c>
      <c r="G11">
        <v>1</v>
      </c>
      <c r="H11" s="1">
        <v>45595.508093449076</v>
      </c>
      <c r="I11" s="2" t="s">
        <v>108</v>
      </c>
      <c r="J11" s="2" t="s">
        <v>82</v>
      </c>
      <c r="K11" s="2" t="s">
        <v>82</v>
      </c>
      <c r="L11" s="2" t="s">
        <v>82</v>
      </c>
      <c r="M11" s="2" t="s">
        <v>82</v>
      </c>
      <c r="N11">
        <v>42.365400000000001</v>
      </c>
      <c r="O11">
        <v>-72.467100000000002</v>
      </c>
      <c r="P11" s="2" t="s">
        <v>83</v>
      </c>
      <c r="Q11" s="2" t="s">
        <v>84</v>
      </c>
      <c r="R11">
        <v>1</v>
      </c>
      <c r="S11" s="2" t="s">
        <v>85</v>
      </c>
      <c r="T11">
        <v>4</v>
      </c>
      <c r="U11">
        <v>1</v>
      </c>
      <c r="V11" s="2" t="s">
        <v>82</v>
      </c>
      <c r="W11" s="2" t="s">
        <v>95</v>
      </c>
      <c r="X11" s="2" t="s">
        <v>82</v>
      </c>
      <c r="Y11">
        <v>2</v>
      </c>
      <c r="Z11">
        <v>2</v>
      </c>
      <c r="AA11">
        <v>4</v>
      </c>
      <c r="AB11">
        <v>2</v>
      </c>
      <c r="AC11">
        <v>1</v>
      </c>
      <c r="AD11">
        <v>3</v>
      </c>
      <c r="AE11">
        <v>4</v>
      </c>
      <c r="AF11">
        <v>2</v>
      </c>
      <c r="AG11" s="2" t="s">
        <v>82</v>
      </c>
      <c r="AH11">
        <v>5</v>
      </c>
      <c r="AI11">
        <v>2</v>
      </c>
      <c r="AJ11">
        <v>2</v>
      </c>
      <c r="AK11">
        <v>2</v>
      </c>
      <c r="AL11">
        <v>4</v>
      </c>
      <c r="AM11">
        <v>5</v>
      </c>
      <c r="AN11">
        <v>2</v>
      </c>
      <c r="AO11">
        <v>4</v>
      </c>
      <c r="AP11">
        <v>4</v>
      </c>
      <c r="AQ11">
        <v>1</v>
      </c>
      <c r="AS11">
        <f t="shared" si="0"/>
        <v>21</v>
      </c>
      <c r="AT11" s="2" t="s">
        <v>291</v>
      </c>
      <c r="AX11">
        <f t="shared" si="1"/>
        <v>2</v>
      </c>
      <c r="AY11">
        <f t="shared" si="2"/>
        <v>2</v>
      </c>
      <c r="AZ11">
        <f t="shared" si="3"/>
        <v>4</v>
      </c>
      <c r="BB11">
        <f t="shared" si="4"/>
        <v>2</v>
      </c>
      <c r="BC11">
        <f t="shared" si="5"/>
        <v>1</v>
      </c>
      <c r="BD11">
        <f t="shared" si="6"/>
        <v>0</v>
      </c>
      <c r="BE11">
        <f t="shared" si="7"/>
        <v>2</v>
      </c>
      <c r="BF11">
        <f t="shared" si="8"/>
        <v>2</v>
      </c>
      <c r="BG11">
        <f t="shared" si="9"/>
        <v>2</v>
      </c>
      <c r="BH11">
        <f t="shared" si="10"/>
        <v>4</v>
      </c>
      <c r="BI11">
        <f t="shared" si="11"/>
        <v>4</v>
      </c>
      <c r="BK11">
        <f t="shared" si="12"/>
        <v>1</v>
      </c>
    </row>
    <row r="12" spans="1:63" ht="28.8" x14ac:dyDescent="0.3">
      <c r="A12" s="1">
        <v>45595.505289351851</v>
      </c>
      <c r="B12" s="1">
        <v>45595.508935185186</v>
      </c>
      <c r="C12">
        <v>0</v>
      </c>
      <c r="D12" s="2" t="s">
        <v>109</v>
      </c>
      <c r="E12">
        <v>100</v>
      </c>
      <c r="F12">
        <v>315</v>
      </c>
      <c r="G12">
        <v>1</v>
      </c>
      <c r="H12" s="1">
        <v>45595.508948553237</v>
      </c>
      <c r="I12" s="2" t="s">
        <v>110</v>
      </c>
      <c r="J12" s="2" t="s">
        <v>82</v>
      </c>
      <c r="K12" s="2" t="s">
        <v>82</v>
      </c>
      <c r="L12" s="2" t="s">
        <v>82</v>
      </c>
      <c r="M12" s="2" t="s">
        <v>82</v>
      </c>
      <c r="N12">
        <v>42.349800000000002</v>
      </c>
      <c r="O12">
        <v>-71.076499999999996</v>
      </c>
      <c r="P12" s="2" t="s">
        <v>83</v>
      </c>
      <c r="Q12" s="2" t="s">
        <v>84</v>
      </c>
      <c r="R12">
        <v>1</v>
      </c>
      <c r="S12" s="2" t="s">
        <v>85</v>
      </c>
      <c r="T12">
        <v>4</v>
      </c>
      <c r="U12">
        <v>1</v>
      </c>
      <c r="V12" s="2" t="s">
        <v>82</v>
      </c>
      <c r="W12" s="2" t="s">
        <v>111</v>
      </c>
      <c r="X12" s="2" t="s">
        <v>82</v>
      </c>
      <c r="Y12">
        <v>2</v>
      </c>
      <c r="Z12">
        <v>2</v>
      </c>
      <c r="AA12">
        <v>5</v>
      </c>
      <c r="AB12">
        <v>2</v>
      </c>
      <c r="AC12">
        <v>1</v>
      </c>
      <c r="AD12">
        <v>2</v>
      </c>
      <c r="AE12">
        <v>3</v>
      </c>
      <c r="AF12">
        <v>1</v>
      </c>
      <c r="AG12" s="2" t="s">
        <v>82</v>
      </c>
      <c r="AH12">
        <v>1</v>
      </c>
      <c r="AI12">
        <v>5</v>
      </c>
      <c r="AJ12">
        <v>1</v>
      </c>
      <c r="AK12">
        <v>1</v>
      </c>
      <c r="AL12">
        <v>5</v>
      </c>
      <c r="AM12">
        <v>4</v>
      </c>
      <c r="AN12">
        <v>3</v>
      </c>
      <c r="AO12">
        <v>1</v>
      </c>
      <c r="AP12">
        <v>5</v>
      </c>
      <c r="AQ12">
        <v>1</v>
      </c>
      <c r="AS12">
        <f t="shared" si="0"/>
        <v>21</v>
      </c>
      <c r="AT12" s="2" t="s">
        <v>291</v>
      </c>
      <c r="AX12">
        <f t="shared" si="1"/>
        <v>2</v>
      </c>
      <c r="AY12">
        <f t="shared" si="2"/>
        <v>2</v>
      </c>
      <c r="AZ12">
        <f t="shared" si="3"/>
        <v>3</v>
      </c>
      <c r="BB12">
        <f t="shared" si="4"/>
        <v>1</v>
      </c>
      <c r="BC12">
        <f t="shared" si="5"/>
        <v>1</v>
      </c>
      <c r="BD12">
        <f t="shared" si="6"/>
        <v>0</v>
      </c>
      <c r="BE12">
        <f t="shared" si="7"/>
        <v>5</v>
      </c>
      <c r="BF12">
        <f t="shared" si="8"/>
        <v>1</v>
      </c>
      <c r="BG12">
        <f t="shared" si="9"/>
        <v>3</v>
      </c>
      <c r="BH12">
        <f t="shared" si="10"/>
        <v>1</v>
      </c>
      <c r="BI12">
        <f t="shared" si="11"/>
        <v>5</v>
      </c>
      <c r="BK12">
        <f t="shared" si="12"/>
        <v>1</v>
      </c>
    </row>
    <row r="13" spans="1:63" ht="51" customHeight="1" x14ac:dyDescent="0.3">
      <c r="A13" s="1">
        <v>45595.507141203707</v>
      </c>
      <c r="B13" s="1">
        <v>45595.509606481479</v>
      </c>
      <c r="C13">
        <v>0</v>
      </c>
      <c r="D13" s="2" t="s">
        <v>112</v>
      </c>
      <c r="E13">
        <v>100</v>
      </c>
      <c r="F13">
        <v>212</v>
      </c>
      <c r="G13">
        <v>1</v>
      </c>
      <c r="H13" s="1">
        <v>45595.509613622686</v>
      </c>
      <c r="I13" s="2" t="s">
        <v>113</v>
      </c>
      <c r="J13" s="2" t="s">
        <v>82</v>
      </c>
      <c r="K13" s="2" t="s">
        <v>82</v>
      </c>
      <c r="L13" s="2" t="s">
        <v>82</v>
      </c>
      <c r="M13" s="2" t="s">
        <v>82</v>
      </c>
      <c r="N13">
        <v>42.910200000000003</v>
      </c>
      <c r="O13">
        <v>-78.662499999999994</v>
      </c>
      <c r="P13" s="2" t="s">
        <v>83</v>
      </c>
      <c r="Q13" s="2" t="s">
        <v>84</v>
      </c>
      <c r="R13">
        <v>2</v>
      </c>
      <c r="S13" s="2" t="s">
        <v>85</v>
      </c>
      <c r="T13">
        <v>4</v>
      </c>
      <c r="U13">
        <v>10</v>
      </c>
      <c r="V13" s="2" t="s">
        <v>114</v>
      </c>
      <c r="W13" s="2" t="s">
        <v>103</v>
      </c>
      <c r="X13" s="2" t="s">
        <v>82</v>
      </c>
      <c r="Y13">
        <v>2</v>
      </c>
      <c r="Z13">
        <v>2</v>
      </c>
      <c r="AA13">
        <v>4</v>
      </c>
      <c r="AB13">
        <v>3</v>
      </c>
      <c r="AC13">
        <v>1</v>
      </c>
      <c r="AD13">
        <v>3</v>
      </c>
      <c r="AE13">
        <v>2</v>
      </c>
      <c r="AF13">
        <v>2</v>
      </c>
      <c r="AG13" s="2" t="s">
        <v>82</v>
      </c>
      <c r="AH13">
        <v>2</v>
      </c>
      <c r="AI13">
        <v>2</v>
      </c>
      <c r="AJ13">
        <v>1</v>
      </c>
      <c r="AK13">
        <v>1</v>
      </c>
      <c r="AL13">
        <v>2</v>
      </c>
      <c r="AM13">
        <v>2</v>
      </c>
      <c r="AN13">
        <v>2</v>
      </c>
      <c r="AO13">
        <v>2</v>
      </c>
      <c r="AP13">
        <v>4</v>
      </c>
      <c r="AQ13">
        <v>1</v>
      </c>
      <c r="AS13">
        <f t="shared" si="0"/>
        <v>21</v>
      </c>
      <c r="AT13" s="2" t="s">
        <v>291</v>
      </c>
      <c r="AX13">
        <f t="shared" si="1"/>
        <v>2</v>
      </c>
      <c r="AY13">
        <f t="shared" si="2"/>
        <v>2</v>
      </c>
      <c r="AZ13">
        <f t="shared" si="3"/>
        <v>2</v>
      </c>
      <c r="BB13">
        <f t="shared" si="4"/>
        <v>2</v>
      </c>
      <c r="BC13">
        <f t="shared" si="5"/>
        <v>10</v>
      </c>
      <c r="BD13">
        <f t="shared" si="6"/>
        <v>0</v>
      </c>
      <c r="BE13">
        <f t="shared" si="7"/>
        <v>2</v>
      </c>
      <c r="BF13">
        <f t="shared" si="8"/>
        <v>1</v>
      </c>
      <c r="BG13">
        <f t="shared" si="9"/>
        <v>2</v>
      </c>
      <c r="BH13">
        <f t="shared" si="10"/>
        <v>2</v>
      </c>
      <c r="BI13">
        <f t="shared" si="11"/>
        <v>4</v>
      </c>
      <c r="BK13">
        <f t="shared" si="12"/>
        <v>10</v>
      </c>
    </row>
    <row r="14" spans="1:63" ht="28.8" x14ac:dyDescent="0.3">
      <c r="A14" s="1">
        <v>45595.510115740741</v>
      </c>
      <c r="B14" s="1">
        <v>45595.511550925927</v>
      </c>
      <c r="C14">
        <v>0</v>
      </c>
      <c r="D14" s="2" t="s">
        <v>115</v>
      </c>
      <c r="E14">
        <v>100</v>
      </c>
      <c r="F14">
        <v>124</v>
      </c>
      <c r="G14">
        <v>1</v>
      </c>
      <c r="H14" s="1">
        <v>45595.511561307867</v>
      </c>
      <c r="I14" s="2" t="s">
        <v>116</v>
      </c>
      <c r="J14" s="2" t="s">
        <v>82</v>
      </c>
      <c r="K14" s="2" t="s">
        <v>82</v>
      </c>
      <c r="L14" s="2" t="s">
        <v>82</v>
      </c>
      <c r="M14" s="2" t="s">
        <v>82</v>
      </c>
      <c r="N14">
        <v>42.389400000000002</v>
      </c>
      <c r="O14">
        <v>-72.526499999999999</v>
      </c>
      <c r="P14" s="2" t="s">
        <v>83</v>
      </c>
      <c r="Q14" s="2" t="s">
        <v>84</v>
      </c>
      <c r="R14">
        <v>2</v>
      </c>
      <c r="S14" s="2" t="s">
        <v>106</v>
      </c>
      <c r="T14">
        <v>4</v>
      </c>
      <c r="U14">
        <v>7</v>
      </c>
      <c r="V14" s="2" t="s">
        <v>82</v>
      </c>
      <c r="W14" s="2" t="s">
        <v>97</v>
      </c>
      <c r="X14" s="2" t="s">
        <v>82</v>
      </c>
      <c r="Y14">
        <v>2</v>
      </c>
      <c r="Z14">
        <v>2</v>
      </c>
      <c r="AA14">
        <v>3</v>
      </c>
      <c r="AB14">
        <v>1</v>
      </c>
      <c r="AC14">
        <v>1</v>
      </c>
      <c r="AD14">
        <v>1</v>
      </c>
      <c r="AE14">
        <v>4</v>
      </c>
      <c r="AF14">
        <v>2</v>
      </c>
      <c r="AG14" s="2" t="s">
        <v>82</v>
      </c>
      <c r="AH14">
        <v>1</v>
      </c>
      <c r="AI14">
        <v>5</v>
      </c>
      <c r="AJ14">
        <v>1</v>
      </c>
      <c r="AK14">
        <v>1</v>
      </c>
      <c r="AL14">
        <v>2</v>
      </c>
      <c r="AM14">
        <v>2</v>
      </c>
      <c r="AN14">
        <v>3</v>
      </c>
      <c r="AO14">
        <v>4</v>
      </c>
      <c r="AP14">
        <v>2</v>
      </c>
      <c r="AQ14">
        <v>2</v>
      </c>
      <c r="AS14">
        <f t="shared" si="0"/>
        <v>22</v>
      </c>
      <c r="AT14" s="2" t="s">
        <v>291</v>
      </c>
      <c r="AX14">
        <f t="shared" si="1"/>
        <v>2</v>
      </c>
      <c r="AY14">
        <f t="shared" si="2"/>
        <v>2</v>
      </c>
      <c r="AZ14">
        <f t="shared" si="3"/>
        <v>4</v>
      </c>
      <c r="BB14">
        <f t="shared" si="4"/>
        <v>2</v>
      </c>
      <c r="BC14">
        <f t="shared" si="5"/>
        <v>7</v>
      </c>
      <c r="BD14">
        <f t="shared" si="6"/>
        <v>0</v>
      </c>
      <c r="BE14">
        <f t="shared" si="7"/>
        <v>5</v>
      </c>
      <c r="BF14">
        <f t="shared" si="8"/>
        <v>1</v>
      </c>
      <c r="BG14">
        <f t="shared" si="9"/>
        <v>3</v>
      </c>
      <c r="BH14">
        <f t="shared" si="10"/>
        <v>4</v>
      </c>
      <c r="BI14">
        <f t="shared" si="11"/>
        <v>3</v>
      </c>
      <c r="BK14">
        <f t="shared" si="12"/>
        <v>7</v>
      </c>
    </row>
    <row r="15" spans="1:63" ht="28.8" x14ac:dyDescent="0.3">
      <c r="A15" s="1">
        <v>45595.51599537037</v>
      </c>
      <c r="B15" s="1">
        <v>45595.518252314818</v>
      </c>
      <c r="C15">
        <v>0</v>
      </c>
      <c r="D15" s="2" t="s">
        <v>117</v>
      </c>
      <c r="E15">
        <v>100</v>
      </c>
      <c r="F15">
        <v>194</v>
      </c>
      <c r="G15">
        <v>1</v>
      </c>
      <c r="H15" s="1">
        <v>45595.518269641201</v>
      </c>
      <c r="I15" s="2" t="s">
        <v>118</v>
      </c>
      <c r="J15" s="2" t="s">
        <v>82</v>
      </c>
      <c r="K15" s="2" t="s">
        <v>82</v>
      </c>
      <c r="L15" s="2" t="s">
        <v>82</v>
      </c>
      <c r="M15" s="2" t="s">
        <v>82</v>
      </c>
      <c r="N15">
        <v>42.789000000000001</v>
      </c>
      <c r="O15">
        <v>-73.975899999999996</v>
      </c>
      <c r="P15" s="2" t="s">
        <v>83</v>
      </c>
      <c r="Q15" s="2" t="s">
        <v>84</v>
      </c>
      <c r="R15">
        <v>2</v>
      </c>
      <c r="S15" s="2" t="s">
        <v>119</v>
      </c>
      <c r="T15">
        <v>3</v>
      </c>
      <c r="U15">
        <v>10</v>
      </c>
      <c r="V15" s="2" t="s">
        <v>82</v>
      </c>
      <c r="W15" s="2" t="s">
        <v>103</v>
      </c>
      <c r="X15" s="2" t="s">
        <v>82</v>
      </c>
      <c r="Y15">
        <v>2</v>
      </c>
      <c r="Z15">
        <v>2</v>
      </c>
      <c r="AA15">
        <v>5</v>
      </c>
      <c r="AB15">
        <v>1</v>
      </c>
      <c r="AC15">
        <v>3</v>
      </c>
      <c r="AD15">
        <v>1</v>
      </c>
      <c r="AE15">
        <v>4</v>
      </c>
      <c r="AF15">
        <v>6</v>
      </c>
      <c r="AG15" s="2" t="s">
        <v>82</v>
      </c>
      <c r="AH15">
        <v>5</v>
      </c>
      <c r="AI15">
        <v>3</v>
      </c>
      <c r="AJ15">
        <v>1</v>
      </c>
      <c r="AK15">
        <v>2</v>
      </c>
      <c r="AL15">
        <v>5</v>
      </c>
      <c r="AM15">
        <v>2</v>
      </c>
      <c r="AN15">
        <v>2</v>
      </c>
      <c r="AO15">
        <v>4</v>
      </c>
      <c r="AP15">
        <v>2</v>
      </c>
      <c r="AQ15">
        <v>1</v>
      </c>
      <c r="AS15">
        <f t="shared" si="0"/>
        <v>20</v>
      </c>
      <c r="AT15" s="2" t="s">
        <v>291</v>
      </c>
      <c r="AX15">
        <f t="shared" si="1"/>
        <v>2</v>
      </c>
      <c r="AY15">
        <f t="shared" si="2"/>
        <v>2</v>
      </c>
      <c r="AZ15">
        <f t="shared" si="3"/>
        <v>4</v>
      </c>
      <c r="BB15">
        <f t="shared" si="4"/>
        <v>6</v>
      </c>
      <c r="BC15">
        <f t="shared" si="5"/>
        <v>10</v>
      </c>
      <c r="BD15">
        <f t="shared" si="6"/>
        <v>0</v>
      </c>
      <c r="BE15">
        <f t="shared" si="7"/>
        <v>3</v>
      </c>
      <c r="BF15">
        <f t="shared" si="8"/>
        <v>1</v>
      </c>
      <c r="BG15">
        <f t="shared" si="9"/>
        <v>2</v>
      </c>
      <c r="BH15">
        <f t="shared" si="10"/>
        <v>4</v>
      </c>
      <c r="BI15">
        <f t="shared" si="11"/>
        <v>5</v>
      </c>
      <c r="BK15">
        <f t="shared" si="12"/>
        <v>10</v>
      </c>
    </row>
    <row r="16" spans="1:63" ht="28.8" x14ac:dyDescent="0.3">
      <c r="A16" s="1">
        <v>45595.521111111113</v>
      </c>
      <c r="B16" s="1">
        <v>45595.524074074077</v>
      </c>
      <c r="C16">
        <v>0</v>
      </c>
      <c r="D16" s="2" t="s">
        <v>107</v>
      </c>
      <c r="E16">
        <v>100</v>
      </c>
      <c r="F16">
        <v>256</v>
      </c>
      <c r="G16">
        <v>1</v>
      </c>
      <c r="H16" s="1">
        <v>45595.524090208331</v>
      </c>
      <c r="I16" s="2" t="s">
        <v>120</v>
      </c>
      <c r="J16" s="2" t="s">
        <v>82</v>
      </c>
      <c r="K16" s="2" t="s">
        <v>82</v>
      </c>
      <c r="L16" s="2" t="s">
        <v>82</v>
      </c>
      <c r="M16" s="2" t="s">
        <v>82</v>
      </c>
      <c r="N16">
        <v>42.365400000000001</v>
      </c>
      <c r="O16">
        <v>-72.467100000000002</v>
      </c>
      <c r="P16" s="2" t="s">
        <v>83</v>
      </c>
      <c r="Q16" s="2" t="s">
        <v>84</v>
      </c>
      <c r="R16">
        <v>1</v>
      </c>
      <c r="S16" s="2" t="s">
        <v>121</v>
      </c>
      <c r="T16">
        <v>4</v>
      </c>
      <c r="U16">
        <v>1</v>
      </c>
      <c r="V16" s="2" t="s">
        <v>82</v>
      </c>
      <c r="W16" s="2" t="s">
        <v>92</v>
      </c>
      <c r="X16" s="2" t="s">
        <v>82</v>
      </c>
      <c r="Y16">
        <v>2</v>
      </c>
      <c r="Z16">
        <v>2</v>
      </c>
      <c r="AA16">
        <v>4</v>
      </c>
      <c r="AB16">
        <v>2</v>
      </c>
      <c r="AC16">
        <v>2</v>
      </c>
      <c r="AD16">
        <v>3</v>
      </c>
      <c r="AE16">
        <v>2</v>
      </c>
      <c r="AF16">
        <v>2</v>
      </c>
      <c r="AG16" s="2" t="s">
        <v>82</v>
      </c>
      <c r="AH16">
        <v>5</v>
      </c>
      <c r="AI16">
        <v>3</v>
      </c>
      <c r="AJ16">
        <v>2</v>
      </c>
      <c r="AK16">
        <v>2</v>
      </c>
      <c r="AL16">
        <v>2</v>
      </c>
      <c r="AM16">
        <v>1</v>
      </c>
      <c r="AN16">
        <v>4</v>
      </c>
      <c r="AO16">
        <v>4</v>
      </c>
      <c r="AP16">
        <v>4</v>
      </c>
      <c r="AQ16">
        <v>1</v>
      </c>
      <c r="AS16">
        <v>0</v>
      </c>
      <c r="AT16" s="2" t="s">
        <v>291</v>
      </c>
      <c r="AX16">
        <f t="shared" si="1"/>
        <v>2</v>
      </c>
      <c r="AY16">
        <f t="shared" si="2"/>
        <v>2</v>
      </c>
      <c r="AZ16">
        <f t="shared" si="3"/>
        <v>2</v>
      </c>
      <c r="BB16">
        <f t="shared" si="4"/>
        <v>2</v>
      </c>
      <c r="BC16">
        <f t="shared" si="5"/>
        <v>1</v>
      </c>
      <c r="BD16">
        <f t="shared" si="6"/>
        <v>0</v>
      </c>
      <c r="BE16">
        <f t="shared" si="7"/>
        <v>3</v>
      </c>
      <c r="BF16">
        <f t="shared" si="8"/>
        <v>2</v>
      </c>
      <c r="BG16">
        <f t="shared" si="9"/>
        <v>4</v>
      </c>
      <c r="BH16">
        <f t="shared" si="10"/>
        <v>4</v>
      </c>
      <c r="BI16">
        <f t="shared" si="11"/>
        <v>4</v>
      </c>
      <c r="BK16">
        <f t="shared" si="12"/>
        <v>1</v>
      </c>
    </row>
    <row r="17" spans="1:63" ht="28.8" x14ac:dyDescent="0.3">
      <c r="A17" s="1">
        <v>45595.522743055553</v>
      </c>
      <c r="B17" s="1">
        <v>45595.524305555555</v>
      </c>
      <c r="C17">
        <v>0</v>
      </c>
      <c r="D17" s="2" t="s">
        <v>122</v>
      </c>
      <c r="E17">
        <v>100</v>
      </c>
      <c r="F17">
        <v>135</v>
      </c>
      <c r="G17">
        <v>1</v>
      </c>
      <c r="H17" s="1">
        <v>45595.524319618053</v>
      </c>
      <c r="I17" s="2" t="s">
        <v>123</v>
      </c>
      <c r="J17" s="2" t="s">
        <v>82</v>
      </c>
      <c r="K17" s="2" t="s">
        <v>82</v>
      </c>
      <c r="L17" s="2" t="s">
        <v>82</v>
      </c>
      <c r="M17" s="2" t="s">
        <v>82</v>
      </c>
      <c r="N17">
        <v>41.823300000000003</v>
      </c>
      <c r="O17">
        <v>-71.441000000000003</v>
      </c>
      <c r="P17" s="2" t="s">
        <v>83</v>
      </c>
      <c r="Q17" s="2" t="s">
        <v>84</v>
      </c>
      <c r="R17">
        <v>1</v>
      </c>
      <c r="S17" s="2" t="s">
        <v>124</v>
      </c>
      <c r="T17">
        <v>4</v>
      </c>
      <c r="U17">
        <v>9</v>
      </c>
      <c r="V17" s="2" t="s">
        <v>82</v>
      </c>
      <c r="W17" s="2" t="s">
        <v>111</v>
      </c>
      <c r="X17" s="2" t="s">
        <v>82</v>
      </c>
      <c r="Y17">
        <v>2</v>
      </c>
      <c r="Z17">
        <v>2</v>
      </c>
      <c r="AA17">
        <v>5</v>
      </c>
      <c r="AB17">
        <v>2</v>
      </c>
      <c r="AC17">
        <v>1</v>
      </c>
      <c r="AD17">
        <v>3</v>
      </c>
      <c r="AE17">
        <v>4</v>
      </c>
      <c r="AF17">
        <v>1</v>
      </c>
      <c r="AG17" s="2" t="s">
        <v>82</v>
      </c>
      <c r="AH17">
        <v>2</v>
      </c>
      <c r="AI17">
        <v>3</v>
      </c>
      <c r="AJ17">
        <v>1</v>
      </c>
      <c r="AK17">
        <v>1</v>
      </c>
      <c r="AL17">
        <v>2</v>
      </c>
      <c r="AM17">
        <v>3</v>
      </c>
      <c r="AN17">
        <v>4</v>
      </c>
      <c r="AO17">
        <v>2</v>
      </c>
      <c r="AP17">
        <v>2</v>
      </c>
      <c r="AQ17">
        <v>3</v>
      </c>
      <c r="AS17">
        <f t="shared" si="0"/>
        <v>0</v>
      </c>
      <c r="AT17" s="2" t="s">
        <v>291</v>
      </c>
      <c r="AX17">
        <f t="shared" si="1"/>
        <v>2</v>
      </c>
      <c r="AY17">
        <f t="shared" si="2"/>
        <v>2</v>
      </c>
      <c r="AZ17">
        <f t="shared" si="3"/>
        <v>4</v>
      </c>
      <c r="BB17">
        <f t="shared" si="4"/>
        <v>1</v>
      </c>
      <c r="BC17">
        <f t="shared" si="5"/>
        <v>9</v>
      </c>
      <c r="BD17">
        <f t="shared" si="6"/>
        <v>0</v>
      </c>
      <c r="BE17">
        <f t="shared" si="7"/>
        <v>3</v>
      </c>
      <c r="BF17">
        <f t="shared" si="8"/>
        <v>1</v>
      </c>
      <c r="BG17">
        <f t="shared" si="9"/>
        <v>4</v>
      </c>
      <c r="BH17">
        <f t="shared" si="10"/>
        <v>2</v>
      </c>
      <c r="BI17">
        <f t="shared" si="11"/>
        <v>5</v>
      </c>
      <c r="BK17">
        <f t="shared" si="12"/>
        <v>9</v>
      </c>
    </row>
    <row r="18" spans="1:63" ht="28.8" x14ac:dyDescent="0.3">
      <c r="A18" s="1">
        <v>45595.507534722223</v>
      </c>
      <c r="B18" s="1">
        <v>45595.524733796294</v>
      </c>
      <c r="C18">
        <v>0</v>
      </c>
      <c r="D18" s="2" t="s">
        <v>125</v>
      </c>
      <c r="E18">
        <v>100</v>
      </c>
      <c r="F18">
        <v>1485</v>
      </c>
      <c r="G18">
        <v>1</v>
      </c>
      <c r="H18" s="1">
        <v>45595.524740717592</v>
      </c>
      <c r="I18" s="2" t="s">
        <v>126</v>
      </c>
      <c r="J18" s="2" t="s">
        <v>82</v>
      </c>
      <c r="K18" s="2" t="s">
        <v>82</v>
      </c>
      <c r="L18" s="2" t="s">
        <v>82</v>
      </c>
      <c r="M18" s="2" t="s">
        <v>82</v>
      </c>
      <c r="N18">
        <v>40.797400000000003</v>
      </c>
      <c r="O18">
        <v>-73.406300000000002</v>
      </c>
      <c r="P18" s="2" t="s">
        <v>83</v>
      </c>
      <c r="Q18" s="2" t="s">
        <v>84</v>
      </c>
      <c r="R18">
        <v>2</v>
      </c>
      <c r="S18" s="2" t="s">
        <v>119</v>
      </c>
      <c r="T18">
        <v>3</v>
      </c>
      <c r="U18">
        <v>10</v>
      </c>
      <c r="V18" s="2" t="s">
        <v>127</v>
      </c>
      <c r="W18" s="2" t="s">
        <v>97</v>
      </c>
      <c r="X18" s="2" t="s">
        <v>82</v>
      </c>
      <c r="Y18">
        <v>2</v>
      </c>
      <c r="Z18">
        <v>2</v>
      </c>
      <c r="AA18">
        <v>6</v>
      </c>
      <c r="AB18">
        <v>2</v>
      </c>
      <c r="AC18">
        <v>1</v>
      </c>
      <c r="AD18">
        <v>1</v>
      </c>
      <c r="AE18">
        <v>4</v>
      </c>
      <c r="AF18">
        <v>1</v>
      </c>
      <c r="AG18" s="2" t="s">
        <v>82</v>
      </c>
      <c r="AH18">
        <v>5</v>
      </c>
      <c r="AI18">
        <v>1</v>
      </c>
      <c r="AJ18">
        <v>1</v>
      </c>
      <c r="AK18">
        <v>1</v>
      </c>
      <c r="AL18">
        <v>3</v>
      </c>
      <c r="AM18">
        <v>1</v>
      </c>
      <c r="AN18">
        <v>1</v>
      </c>
      <c r="AO18">
        <v>1</v>
      </c>
      <c r="AP18">
        <v>1</v>
      </c>
      <c r="AQ18">
        <v>1</v>
      </c>
      <c r="AS18">
        <f t="shared" si="0"/>
        <v>20</v>
      </c>
      <c r="AT18" s="2" t="s">
        <v>291</v>
      </c>
      <c r="AX18">
        <f t="shared" si="1"/>
        <v>2</v>
      </c>
      <c r="AY18">
        <f t="shared" si="2"/>
        <v>2</v>
      </c>
      <c r="AZ18">
        <f t="shared" si="3"/>
        <v>4</v>
      </c>
      <c r="BB18">
        <f t="shared" si="4"/>
        <v>1</v>
      </c>
      <c r="BC18">
        <f t="shared" si="5"/>
        <v>10</v>
      </c>
      <c r="BD18">
        <f t="shared" si="6"/>
        <v>0</v>
      </c>
      <c r="BE18">
        <f t="shared" si="7"/>
        <v>1</v>
      </c>
      <c r="BF18">
        <f t="shared" si="8"/>
        <v>1</v>
      </c>
      <c r="BG18">
        <f t="shared" si="9"/>
        <v>1</v>
      </c>
      <c r="BH18">
        <f t="shared" si="10"/>
        <v>1</v>
      </c>
      <c r="BI18">
        <f t="shared" si="11"/>
        <v>6</v>
      </c>
      <c r="BK18">
        <f t="shared" si="12"/>
        <v>10</v>
      </c>
    </row>
    <row r="19" spans="1:63" ht="28.8" x14ac:dyDescent="0.3">
      <c r="A19" s="1">
        <v>45595.529791666668</v>
      </c>
      <c r="B19" s="1">
        <v>45595.532777777778</v>
      </c>
      <c r="C19">
        <v>0</v>
      </c>
      <c r="D19" s="2" t="s">
        <v>128</v>
      </c>
      <c r="E19">
        <v>100</v>
      </c>
      <c r="F19">
        <v>258</v>
      </c>
      <c r="G19">
        <v>1</v>
      </c>
      <c r="H19" s="1">
        <v>45595.532787025462</v>
      </c>
      <c r="I19" s="2" t="s">
        <v>129</v>
      </c>
      <c r="J19" s="2" t="s">
        <v>82</v>
      </c>
      <c r="K19" s="2" t="s">
        <v>82</v>
      </c>
      <c r="L19" s="2" t="s">
        <v>82</v>
      </c>
      <c r="M19" s="2" t="s">
        <v>82</v>
      </c>
      <c r="N19">
        <v>42.389400000000002</v>
      </c>
      <c r="O19">
        <v>-72.526499999999999</v>
      </c>
      <c r="P19" s="2" t="s">
        <v>83</v>
      </c>
      <c r="Q19" s="2" t="s">
        <v>84</v>
      </c>
      <c r="R19">
        <v>1</v>
      </c>
      <c r="S19" s="2" t="s">
        <v>106</v>
      </c>
      <c r="T19">
        <v>5</v>
      </c>
      <c r="U19">
        <v>4</v>
      </c>
      <c r="V19" s="2" t="s">
        <v>82</v>
      </c>
      <c r="W19" s="2" t="s">
        <v>92</v>
      </c>
      <c r="X19" s="2" t="s">
        <v>82</v>
      </c>
      <c r="Y19">
        <v>2</v>
      </c>
      <c r="Z19">
        <v>3</v>
      </c>
      <c r="AA19">
        <v>7</v>
      </c>
      <c r="AB19">
        <v>2</v>
      </c>
      <c r="AC19">
        <v>1</v>
      </c>
      <c r="AD19">
        <v>3</v>
      </c>
      <c r="AE19">
        <v>4</v>
      </c>
      <c r="AF19">
        <v>1</v>
      </c>
      <c r="AG19" s="2" t="s">
        <v>82</v>
      </c>
      <c r="AH19">
        <v>3</v>
      </c>
      <c r="AI19">
        <v>2</v>
      </c>
      <c r="AJ19">
        <v>2</v>
      </c>
      <c r="AK19">
        <v>1</v>
      </c>
      <c r="AL19">
        <v>1</v>
      </c>
      <c r="AM19">
        <v>1</v>
      </c>
      <c r="AN19">
        <v>1</v>
      </c>
      <c r="AO19">
        <v>3</v>
      </c>
      <c r="AP19">
        <v>4</v>
      </c>
      <c r="AQ19">
        <v>1</v>
      </c>
      <c r="AS19">
        <f t="shared" si="0"/>
        <v>22</v>
      </c>
      <c r="AT19" s="2" t="s">
        <v>291</v>
      </c>
      <c r="AX19">
        <f t="shared" si="1"/>
        <v>2</v>
      </c>
      <c r="AY19">
        <f t="shared" si="2"/>
        <v>3</v>
      </c>
      <c r="AZ19">
        <f t="shared" si="3"/>
        <v>4</v>
      </c>
      <c r="BB19">
        <f t="shared" si="4"/>
        <v>1</v>
      </c>
      <c r="BC19">
        <f t="shared" si="5"/>
        <v>4</v>
      </c>
      <c r="BD19">
        <f t="shared" si="6"/>
        <v>1</v>
      </c>
      <c r="BE19">
        <f t="shared" si="7"/>
        <v>2</v>
      </c>
      <c r="BF19">
        <f t="shared" si="8"/>
        <v>2</v>
      </c>
      <c r="BG19">
        <f t="shared" si="9"/>
        <v>1</v>
      </c>
      <c r="BH19">
        <f t="shared" si="10"/>
        <v>3</v>
      </c>
      <c r="BI19">
        <f t="shared" si="11"/>
        <v>7</v>
      </c>
      <c r="BK19">
        <f t="shared" si="12"/>
        <v>4</v>
      </c>
    </row>
    <row r="20" spans="1:63" ht="28.8" x14ac:dyDescent="0.3">
      <c r="A20" s="1">
        <v>45595.542824074073</v>
      </c>
      <c r="B20" s="1">
        <v>45595.544085648151</v>
      </c>
      <c r="C20">
        <v>0</v>
      </c>
      <c r="D20" s="2" t="s">
        <v>130</v>
      </c>
      <c r="E20">
        <v>100</v>
      </c>
      <c r="F20">
        <v>108</v>
      </c>
      <c r="G20">
        <v>1</v>
      </c>
      <c r="H20" s="1">
        <v>45595.544093217592</v>
      </c>
      <c r="I20" s="2" t="s">
        <v>131</v>
      </c>
      <c r="J20" s="2" t="s">
        <v>82</v>
      </c>
      <c r="K20" s="2" t="s">
        <v>82</v>
      </c>
      <c r="L20" s="2" t="s">
        <v>82</v>
      </c>
      <c r="M20" s="2" t="s">
        <v>82</v>
      </c>
      <c r="N20">
        <v>42.466500000000003</v>
      </c>
      <c r="O20">
        <v>-75.043800000000005</v>
      </c>
      <c r="P20" s="2" t="s">
        <v>83</v>
      </c>
      <c r="Q20" s="2" t="s">
        <v>84</v>
      </c>
      <c r="R20">
        <v>2</v>
      </c>
      <c r="S20" s="2" t="s">
        <v>100</v>
      </c>
      <c r="T20">
        <v>2</v>
      </c>
      <c r="U20">
        <v>10</v>
      </c>
      <c r="V20" s="2" t="s">
        <v>82</v>
      </c>
      <c r="W20" s="2" t="s">
        <v>97</v>
      </c>
      <c r="X20" s="2" t="s">
        <v>82</v>
      </c>
      <c r="Y20">
        <v>2</v>
      </c>
      <c r="Z20">
        <v>3</v>
      </c>
      <c r="AA20">
        <v>2</v>
      </c>
      <c r="AB20">
        <v>1</v>
      </c>
      <c r="AC20">
        <v>4</v>
      </c>
      <c r="AD20">
        <v>4</v>
      </c>
      <c r="AE20">
        <v>3</v>
      </c>
      <c r="AF20">
        <v>1</v>
      </c>
      <c r="AG20" s="2" t="s">
        <v>82</v>
      </c>
      <c r="AH20">
        <v>5</v>
      </c>
      <c r="AI20">
        <v>5</v>
      </c>
      <c r="AJ20">
        <v>2</v>
      </c>
      <c r="AK20">
        <v>2</v>
      </c>
      <c r="AL20">
        <v>4</v>
      </c>
      <c r="AM20">
        <v>2</v>
      </c>
      <c r="AN20">
        <v>4</v>
      </c>
      <c r="AO20">
        <v>4</v>
      </c>
      <c r="AP20">
        <v>4</v>
      </c>
      <c r="AQ20">
        <v>4</v>
      </c>
      <c r="AS20">
        <f t="shared" si="0"/>
        <v>19</v>
      </c>
      <c r="AT20" s="2" t="s">
        <v>291</v>
      </c>
      <c r="AX20">
        <f t="shared" si="1"/>
        <v>2</v>
      </c>
      <c r="AY20">
        <f t="shared" si="2"/>
        <v>3</v>
      </c>
      <c r="AZ20">
        <f t="shared" si="3"/>
        <v>3</v>
      </c>
      <c r="BB20">
        <f t="shared" si="4"/>
        <v>1</v>
      </c>
      <c r="BC20">
        <f t="shared" si="5"/>
        <v>10</v>
      </c>
      <c r="BD20">
        <f t="shared" si="6"/>
        <v>1</v>
      </c>
      <c r="BE20">
        <f t="shared" si="7"/>
        <v>5</v>
      </c>
      <c r="BF20">
        <f t="shared" si="8"/>
        <v>2</v>
      </c>
      <c r="BG20">
        <f t="shared" si="9"/>
        <v>4</v>
      </c>
      <c r="BH20">
        <f t="shared" si="10"/>
        <v>4</v>
      </c>
      <c r="BI20">
        <f t="shared" si="11"/>
        <v>2</v>
      </c>
      <c r="BK20">
        <f t="shared" si="12"/>
        <v>10</v>
      </c>
    </row>
    <row r="21" spans="1:63" ht="28.8" x14ac:dyDescent="0.3">
      <c r="A21" s="1">
        <v>45595.559687499997</v>
      </c>
      <c r="B21" s="1">
        <v>45595.56287037037</v>
      </c>
      <c r="C21">
        <v>0</v>
      </c>
      <c r="D21" s="2" t="s">
        <v>132</v>
      </c>
      <c r="E21">
        <v>100</v>
      </c>
      <c r="F21">
        <v>274</v>
      </c>
      <c r="G21">
        <v>1</v>
      </c>
      <c r="H21" s="1">
        <v>45595.562877314813</v>
      </c>
      <c r="I21" s="2" t="s">
        <v>133</v>
      </c>
      <c r="J21" s="2" t="s">
        <v>82</v>
      </c>
      <c r="K21" s="2" t="s">
        <v>82</v>
      </c>
      <c r="L21" s="2" t="s">
        <v>82</v>
      </c>
      <c r="M21" s="2" t="s">
        <v>82</v>
      </c>
      <c r="N21">
        <v>42.466500000000003</v>
      </c>
      <c r="O21">
        <v>-75.043800000000005</v>
      </c>
      <c r="P21" s="2" t="s">
        <v>83</v>
      </c>
      <c r="Q21" s="2" t="s">
        <v>84</v>
      </c>
      <c r="R21">
        <v>2</v>
      </c>
      <c r="S21" s="2" t="s">
        <v>100</v>
      </c>
      <c r="T21">
        <v>1</v>
      </c>
      <c r="U21">
        <v>10</v>
      </c>
      <c r="V21" s="2" t="s">
        <v>82</v>
      </c>
      <c r="W21" s="2" t="s">
        <v>103</v>
      </c>
      <c r="X21" s="2" t="s">
        <v>82</v>
      </c>
      <c r="Y21">
        <v>2</v>
      </c>
      <c r="Z21">
        <v>2</v>
      </c>
      <c r="AA21">
        <v>4</v>
      </c>
      <c r="AB21">
        <v>2</v>
      </c>
      <c r="AC21">
        <v>2</v>
      </c>
      <c r="AD21">
        <v>2</v>
      </c>
      <c r="AE21">
        <v>4</v>
      </c>
      <c r="AF21">
        <v>2</v>
      </c>
      <c r="AG21" s="2" t="s">
        <v>82</v>
      </c>
      <c r="AH21">
        <v>5</v>
      </c>
      <c r="AI21">
        <v>1</v>
      </c>
      <c r="AJ21">
        <v>2</v>
      </c>
      <c r="AK21">
        <v>2</v>
      </c>
      <c r="AL21">
        <v>3</v>
      </c>
      <c r="AM21">
        <v>2</v>
      </c>
      <c r="AN21">
        <v>1</v>
      </c>
      <c r="AO21">
        <v>1</v>
      </c>
      <c r="AP21">
        <v>5</v>
      </c>
      <c r="AQ21">
        <v>1</v>
      </c>
      <c r="AS21">
        <f t="shared" si="0"/>
        <v>19</v>
      </c>
      <c r="AT21" s="2" t="s">
        <v>291</v>
      </c>
      <c r="AX21">
        <f t="shared" si="1"/>
        <v>2</v>
      </c>
      <c r="AY21">
        <f t="shared" si="2"/>
        <v>2</v>
      </c>
      <c r="AZ21">
        <f t="shared" si="3"/>
        <v>4</v>
      </c>
      <c r="BB21">
        <f t="shared" si="4"/>
        <v>2</v>
      </c>
      <c r="BC21">
        <f t="shared" si="5"/>
        <v>10</v>
      </c>
      <c r="BD21">
        <f t="shared" si="6"/>
        <v>0</v>
      </c>
      <c r="BE21">
        <f t="shared" si="7"/>
        <v>1</v>
      </c>
      <c r="BF21">
        <f t="shared" si="8"/>
        <v>2</v>
      </c>
      <c r="BG21">
        <f t="shared" si="9"/>
        <v>1</v>
      </c>
      <c r="BH21">
        <f t="shared" si="10"/>
        <v>1</v>
      </c>
      <c r="BI21">
        <f t="shared" si="11"/>
        <v>4</v>
      </c>
      <c r="BK21">
        <f t="shared" si="12"/>
        <v>10</v>
      </c>
    </row>
    <row r="22" spans="1:63" ht="28.8" x14ac:dyDescent="0.3">
      <c r="A22" s="1">
        <v>45595.58221064815</v>
      </c>
      <c r="B22" s="1">
        <v>45595.600810185184</v>
      </c>
      <c r="C22">
        <v>0</v>
      </c>
      <c r="D22" s="2" t="s">
        <v>134</v>
      </c>
      <c r="E22">
        <v>100</v>
      </c>
      <c r="F22">
        <v>1606</v>
      </c>
      <c r="G22">
        <v>1</v>
      </c>
      <c r="H22" s="1">
        <v>45595.600821238426</v>
      </c>
      <c r="I22" s="2" t="s">
        <v>135</v>
      </c>
      <c r="J22" s="2" t="s">
        <v>82</v>
      </c>
      <c r="K22" s="2" t="s">
        <v>82</v>
      </c>
      <c r="L22" s="2" t="s">
        <v>82</v>
      </c>
      <c r="M22" s="2" t="s">
        <v>82</v>
      </c>
      <c r="N22">
        <v>42.389400000000002</v>
      </c>
      <c r="O22">
        <v>-72.526499999999999</v>
      </c>
      <c r="P22" s="2" t="s">
        <v>83</v>
      </c>
      <c r="Q22" s="2" t="s">
        <v>84</v>
      </c>
      <c r="R22">
        <v>2</v>
      </c>
      <c r="S22" s="2" t="s">
        <v>85</v>
      </c>
      <c r="T22">
        <v>4</v>
      </c>
      <c r="U22">
        <v>7</v>
      </c>
      <c r="V22" s="2" t="s">
        <v>82</v>
      </c>
      <c r="W22" s="2" t="s">
        <v>97</v>
      </c>
      <c r="X22" s="2" t="s">
        <v>82</v>
      </c>
      <c r="Y22">
        <v>2</v>
      </c>
      <c r="Z22">
        <v>2</v>
      </c>
      <c r="AA22">
        <v>7</v>
      </c>
      <c r="AB22">
        <v>4</v>
      </c>
      <c r="AC22">
        <v>1</v>
      </c>
      <c r="AD22">
        <v>2</v>
      </c>
      <c r="AE22">
        <v>2</v>
      </c>
      <c r="AF22">
        <v>1</v>
      </c>
      <c r="AG22" s="2" t="s">
        <v>82</v>
      </c>
      <c r="AH22">
        <v>1</v>
      </c>
      <c r="AI22">
        <v>3</v>
      </c>
      <c r="AJ22">
        <v>2</v>
      </c>
      <c r="AK22">
        <v>2</v>
      </c>
      <c r="AL22">
        <v>4</v>
      </c>
      <c r="AM22">
        <v>1</v>
      </c>
      <c r="AN22">
        <v>3</v>
      </c>
      <c r="AO22">
        <v>3</v>
      </c>
      <c r="AP22">
        <v>2</v>
      </c>
      <c r="AQ22">
        <v>1</v>
      </c>
      <c r="AS22">
        <f t="shared" si="0"/>
        <v>21</v>
      </c>
      <c r="AT22" s="2" t="s">
        <v>291</v>
      </c>
      <c r="AX22">
        <f t="shared" si="1"/>
        <v>2</v>
      </c>
      <c r="AY22">
        <f t="shared" si="2"/>
        <v>2</v>
      </c>
      <c r="AZ22">
        <f t="shared" si="3"/>
        <v>2</v>
      </c>
      <c r="BB22">
        <f t="shared" si="4"/>
        <v>1</v>
      </c>
      <c r="BC22">
        <f t="shared" si="5"/>
        <v>7</v>
      </c>
      <c r="BD22">
        <f t="shared" si="6"/>
        <v>0</v>
      </c>
      <c r="BE22">
        <f t="shared" si="7"/>
        <v>3</v>
      </c>
      <c r="BF22">
        <f t="shared" si="8"/>
        <v>2</v>
      </c>
      <c r="BG22">
        <f t="shared" si="9"/>
        <v>3</v>
      </c>
      <c r="BH22">
        <f t="shared" si="10"/>
        <v>3</v>
      </c>
      <c r="BI22">
        <f t="shared" si="11"/>
        <v>7</v>
      </c>
      <c r="BK22">
        <f t="shared" si="12"/>
        <v>7</v>
      </c>
    </row>
    <row r="23" spans="1:63" ht="28.8" x14ac:dyDescent="0.3">
      <c r="A23" s="1">
        <v>45595.692986111113</v>
      </c>
      <c r="B23" s="1">
        <v>45595.694340277776</v>
      </c>
      <c r="C23">
        <v>0</v>
      </c>
      <c r="D23" s="2" t="s">
        <v>136</v>
      </c>
      <c r="E23">
        <v>100</v>
      </c>
      <c r="F23">
        <v>117</v>
      </c>
      <c r="G23">
        <v>1</v>
      </c>
      <c r="H23" s="1">
        <v>45595.694351296297</v>
      </c>
      <c r="I23" s="2" t="s">
        <v>137</v>
      </c>
      <c r="J23" s="2" t="s">
        <v>82</v>
      </c>
      <c r="K23" s="2" t="s">
        <v>82</v>
      </c>
      <c r="L23" s="2" t="s">
        <v>82</v>
      </c>
      <c r="M23" s="2" t="s">
        <v>82</v>
      </c>
      <c r="N23">
        <v>40.704099999999997</v>
      </c>
      <c r="O23">
        <v>-73.618399999999994</v>
      </c>
      <c r="P23" s="2" t="s">
        <v>83</v>
      </c>
      <c r="Q23" s="2" t="s">
        <v>84</v>
      </c>
      <c r="R23">
        <v>2</v>
      </c>
      <c r="S23" s="2" t="s">
        <v>106</v>
      </c>
      <c r="T23">
        <v>4</v>
      </c>
      <c r="U23">
        <v>10</v>
      </c>
      <c r="V23" s="2" t="s">
        <v>82</v>
      </c>
      <c r="W23" s="2" t="s">
        <v>111</v>
      </c>
      <c r="X23" s="2" t="s">
        <v>82</v>
      </c>
      <c r="Y23">
        <v>2</v>
      </c>
      <c r="Z23">
        <v>2</v>
      </c>
      <c r="AA23">
        <v>6</v>
      </c>
      <c r="AB23">
        <v>4</v>
      </c>
      <c r="AC23">
        <v>1</v>
      </c>
      <c r="AD23">
        <v>2</v>
      </c>
      <c r="AE23">
        <v>2</v>
      </c>
      <c r="AF23">
        <v>2</v>
      </c>
      <c r="AG23" s="2" t="s">
        <v>82</v>
      </c>
      <c r="AH23">
        <v>4</v>
      </c>
      <c r="AI23">
        <v>3</v>
      </c>
      <c r="AJ23">
        <v>1</v>
      </c>
      <c r="AK23">
        <v>1</v>
      </c>
      <c r="AL23">
        <v>3</v>
      </c>
      <c r="AM23">
        <v>1</v>
      </c>
      <c r="AN23">
        <v>1</v>
      </c>
      <c r="AO23">
        <v>3</v>
      </c>
      <c r="AP23">
        <v>2</v>
      </c>
      <c r="AQ23">
        <v>1</v>
      </c>
      <c r="AS23">
        <f t="shared" si="0"/>
        <v>22</v>
      </c>
      <c r="AT23" s="2" t="s">
        <v>291</v>
      </c>
      <c r="AX23">
        <f t="shared" si="1"/>
        <v>2</v>
      </c>
      <c r="AY23">
        <f t="shared" si="2"/>
        <v>2</v>
      </c>
      <c r="AZ23">
        <f t="shared" si="3"/>
        <v>2</v>
      </c>
      <c r="BB23">
        <f t="shared" si="4"/>
        <v>2</v>
      </c>
      <c r="BC23">
        <f t="shared" si="5"/>
        <v>10</v>
      </c>
      <c r="BD23">
        <f t="shared" si="6"/>
        <v>0</v>
      </c>
      <c r="BE23">
        <f t="shared" si="7"/>
        <v>3</v>
      </c>
      <c r="BF23">
        <f t="shared" si="8"/>
        <v>1</v>
      </c>
      <c r="BG23">
        <f t="shared" si="9"/>
        <v>1</v>
      </c>
      <c r="BH23">
        <f t="shared" si="10"/>
        <v>3</v>
      </c>
      <c r="BI23">
        <f t="shared" si="11"/>
        <v>6</v>
      </c>
      <c r="BK23">
        <f t="shared" si="12"/>
        <v>10</v>
      </c>
    </row>
    <row r="24" spans="1:63" ht="28.8" x14ac:dyDescent="0.3">
      <c r="A24" s="1">
        <v>45595.861666666664</v>
      </c>
      <c r="B24" s="1">
        <v>45595.862986111111</v>
      </c>
      <c r="C24">
        <v>0</v>
      </c>
      <c r="D24" s="2" t="s">
        <v>138</v>
      </c>
      <c r="E24">
        <v>100</v>
      </c>
      <c r="F24">
        <v>113</v>
      </c>
      <c r="G24">
        <v>1</v>
      </c>
      <c r="H24" s="1">
        <v>45595.86299371528</v>
      </c>
      <c r="I24" s="2" t="s">
        <v>139</v>
      </c>
      <c r="J24" s="2" t="s">
        <v>82</v>
      </c>
      <c r="K24" s="2" t="s">
        <v>82</v>
      </c>
      <c r="L24" s="2" t="s">
        <v>82</v>
      </c>
      <c r="M24" s="2" t="s">
        <v>82</v>
      </c>
      <c r="N24">
        <v>42.347099999999998</v>
      </c>
      <c r="O24">
        <v>-83.289900000000003</v>
      </c>
      <c r="P24" s="2" t="s">
        <v>83</v>
      </c>
      <c r="Q24" s="2" t="s">
        <v>84</v>
      </c>
      <c r="R24">
        <v>1</v>
      </c>
      <c r="S24" s="2" t="s">
        <v>140</v>
      </c>
      <c r="T24">
        <v>4</v>
      </c>
      <c r="U24">
        <v>7</v>
      </c>
      <c r="V24" s="2" t="s">
        <v>82</v>
      </c>
      <c r="W24" s="2" t="s">
        <v>92</v>
      </c>
      <c r="X24" s="2" t="s">
        <v>82</v>
      </c>
      <c r="Y24">
        <v>2</v>
      </c>
      <c r="Z24">
        <v>3</v>
      </c>
      <c r="AA24">
        <v>3</v>
      </c>
      <c r="AB24">
        <v>2</v>
      </c>
      <c r="AC24">
        <v>3</v>
      </c>
      <c r="AD24">
        <v>2</v>
      </c>
      <c r="AE24">
        <v>4</v>
      </c>
      <c r="AF24">
        <v>1</v>
      </c>
      <c r="AG24" s="2" t="s">
        <v>82</v>
      </c>
      <c r="AH24">
        <v>4</v>
      </c>
      <c r="AI24">
        <v>2</v>
      </c>
      <c r="AJ24">
        <v>2</v>
      </c>
      <c r="AK24">
        <v>1</v>
      </c>
      <c r="AL24">
        <v>3</v>
      </c>
      <c r="AM24">
        <v>2</v>
      </c>
      <c r="AN24">
        <v>2</v>
      </c>
      <c r="AO24">
        <v>2</v>
      </c>
      <c r="AP24">
        <v>2</v>
      </c>
      <c r="AQ24">
        <v>1</v>
      </c>
      <c r="AS24">
        <f t="shared" si="0"/>
        <v>24</v>
      </c>
      <c r="AT24" s="2" t="s">
        <v>291</v>
      </c>
      <c r="AX24">
        <f t="shared" si="1"/>
        <v>2</v>
      </c>
      <c r="AY24">
        <f t="shared" si="2"/>
        <v>3</v>
      </c>
      <c r="AZ24">
        <f t="shared" si="3"/>
        <v>4</v>
      </c>
      <c r="BB24">
        <f t="shared" si="4"/>
        <v>1</v>
      </c>
      <c r="BC24">
        <f t="shared" si="5"/>
        <v>7</v>
      </c>
      <c r="BD24">
        <f t="shared" si="6"/>
        <v>1</v>
      </c>
      <c r="BE24">
        <f t="shared" si="7"/>
        <v>2</v>
      </c>
      <c r="BF24">
        <f t="shared" si="8"/>
        <v>2</v>
      </c>
      <c r="BG24">
        <f t="shared" si="9"/>
        <v>2</v>
      </c>
      <c r="BH24">
        <f t="shared" si="10"/>
        <v>2</v>
      </c>
      <c r="BI24">
        <f t="shared" si="11"/>
        <v>3</v>
      </c>
      <c r="BK24">
        <f t="shared" si="12"/>
        <v>7</v>
      </c>
    </row>
    <row r="25" spans="1:63" ht="28.8" x14ac:dyDescent="0.3">
      <c r="A25" s="1">
        <v>45600.478761574072</v>
      </c>
      <c r="B25" s="1">
        <v>45600.480069444442</v>
      </c>
      <c r="C25">
        <v>0</v>
      </c>
      <c r="D25" s="2" t="s">
        <v>141</v>
      </c>
      <c r="E25">
        <v>100</v>
      </c>
      <c r="F25">
        <v>112</v>
      </c>
      <c r="G25">
        <v>1</v>
      </c>
      <c r="H25" s="1">
        <v>45600.480086851851</v>
      </c>
      <c r="I25" s="2" t="s">
        <v>142</v>
      </c>
      <c r="J25" s="2" t="s">
        <v>82</v>
      </c>
      <c r="K25" s="2" t="s">
        <v>82</v>
      </c>
      <c r="L25" s="2" t="s">
        <v>82</v>
      </c>
      <c r="M25" s="2" t="s">
        <v>82</v>
      </c>
      <c r="N25">
        <v>42.389400000000002</v>
      </c>
      <c r="O25">
        <v>-72.526499999999999</v>
      </c>
      <c r="P25" s="2" t="s">
        <v>83</v>
      </c>
      <c r="Q25" s="2" t="s">
        <v>84</v>
      </c>
      <c r="R25">
        <v>2</v>
      </c>
      <c r="S25" s="2" t="s">
        <v>85</v>
      </c>
      <c r="T25">
        <v>4</v>
      </c>
      <c r="U25">
        <v>1</v>
      </c>
      <c r="V25" s="2" t="s">
        <v>82</v>
      </c>
      <c r="W25" s="2" t="s">
        <v>103</v>
      </c>
      <c r="X25" s="2" t="s">
        <v>82</v>
      </c>
      <c r="Y25">
        <v>2</v>
      </c>
      <c r="Z25">
        <v>1</v>
      </c>
      <c r="AA25">
        <v>6</v>
      </c>
      <c r="AB25">
        <v>3</v>
      </c>
      <c r="AC25">
        <v>1</v>
      </c>
      <c r="AD25">
        <v>1</v>
      </c>
      <c r="AE25">
        <v>4</v>
      </c>
      <c r="AF25">
        <v>2</v>
      </c>
      <c r="AG25" s="2" t="s">
        <v>82</v>
      </c>
      <c r="AH25">
        <v>5</v>
      </c>
      <c r="AI25">
        <v>3</v>
      </c>
      <c r="AJ25">
        <v>1</v>
      </c>
      <c r="AK25">
        <v>1</v>
      </c>
      <c r="AL25">
        <v>4</v>
      </c>
      <c r="AM25">
        <v>1</v>
      </c>
      <c r="AN25">
        <v>2</v>
      </c>
      <c r="AO25">
        <v>1</v>
      </c>
      <c r="AP25">
        <v>2</v>
      </c>
      <c r="AQ25">
        <v>1</v>
      </c>
      <c r="AS25">
        <f t="shared" si="0"/>
        <v>21</v>
      </c>
      <c r="AT25" s="2" t="s">
        <v>291</v>
      </c>
      <c r="AX25">
        <f t="shared" si="1"/>
        <v>2</v>
      </c>
      <c r="AY25">
        <f t="shared" si="2"/>
        <v>1</v>
      </c>
      <c r="AZ25">
        <f t="shared" si="3"/>
        <v>4</v>
      </c>
      <c r="BB25">
        <f t="shared" si="4"/>
        <v>2</v>
      </c>
      <c r="BC25">
        <f t="shared" si="5"/>
        <v>1</v>
      </c>
      <c r="BD25">
        <f t="shared" si="6"/>
        <v>-1</v>
      </c>
      <c r="BE25">
        <f t="shared" si="7"/>
        <v>3</v>
      </c>
      <c r="BF25">
        <f t="shared" si="8"/>
        <v>1</v>
      </c>
      <c r="BG25">
        <f t="shared" si="9"/>
        <v>2</v>
      </c>
      <c r="BH25">
        <f t="shared" si="10"/>
        <v>1</v>
      </c>
      <c r="BI25">
        <f t="shared" si="11"/>
        <v>6</v>
      </c>
      <c r="BK25">
        <f t="shared" si="12"/>
        <v>1</v>
      </c>
    </row>
    <row r="26" spans="1:63" ht="28.8" x14ac:dyDescent="0.3">
      <c r="A26" s="1">
        <v>45600.480312500003</v>
      </c>
      <c r="B26" s="1">
        <v>45600.481608796297</v>
      </c>
      <c r="C26">
        <v>0</v>
      </c>
      <c r="D26" s="2" t="s">
        <v>143</v>
      </c>
      <c r="E26">
        <v>100</v>
      </c>
      <c r="F26">
        <v>112</v>
      </c>
      <c r="G26">
        <v>1</v>
      </c>
      <c r="H26" s="1">
        <v>45600.481623240739</v>
      </c>
      <c r="I26" s="2" t="s">
        <v>144</v>
      </c>
      <c r="J26" s="2" t="s">
        <v>82</v>
      </c>
      <c r="K26" s="2" t="s">
        <v>82</v>
      </c>
      <c r="L26" s="2" t="s">
        <v>82</v>
      </c>
      <c r="M26" s="2" t="s">
        <v>82</v>
      </c>
      <c r="N26">
        <v>42.389400000000002</v>
      </c>
      <c r="O26">
        <v>-72.526499999999999</v>
      </c>
      <c r="P26" s="2" t="s">
        <v>83</v>
      </c>
      <c r="Q26" s="2" t="s">
        <v>84</v>
      </c>
      <c r="R26">
        <v>2</v>
      </c>
      <c r="S26" s="2" t="s">
        <v>106</v>
      </c>
      <c r="T26">
        <v>4</v>
      </c>
      <c r="U26">
        <v>2</v>
      </c>
      <c r="V26" s="2" t="s">
        <v>82</v>
      </c>
      <c r="W26" s="2" t="s">
        <v>103</v>
      </c>
      <c r="X26" s="2" t="s">
        <v>82</v>
      </c>
      <c r="Y26">
        <v>2</v>
      </c>
      <c r="Z26">
        <v>2</v>
      </c>
      <c r="AA26">
        <v>3</v>
      </c>
      <c r="AB26">
        <v>1</v>
      </c>
      <c r="AC26">
        <v>1</v>
      </c>
      <c r="AD26">
        <v>1</v>
      </c>
      <c r="AE26">
        <v>3</v>
      </c>
      <c r="AF26">
        <v>1</v>
      </c>
      <c r="AG26" s="2" t="s">
        <v>82</v>
      </c>
      <c r="AH26">
        <v>1</v>
      </c>
      <c r="AI26">
        <v>1</v>
      </c>
      <c r="AJ26">
        <v>1</v>
      </c>
      <c r="AK26">
        <v>1</v>
      </c>
      <c r="AL26">
        <v>4</v>
      </c>
      <c r="AM26">
        <v>2</v>
      </c>
      <c r="AN26">
        <v>1</v>
      </c>
      <c r="AO26">
        <v>1</v>
      </c>
      <c r="AP26">
        <v>2</v>
      </c>
      <c r="AQ26">
        <v>1</v>
      </c>
      <c r="AS26">
        <f t="shared" si="0"/>
        <v>22</v>
      </c>
      <c r="AT26" s="2" t="s">
        <v>291</v>
      </c>
      <c r="AX26">
        <f t="shared" si="1"/>
        <v>2</v>
      </c>
      <c r="AY26">
        <f t="shared" si="2"/>
        <v>2</v>
      </c>
      <c r="AZ26">
        <f t="shared" si="3"/>
        <v>3</v>
      </c>
      <c r="BB26">
        <f t="shared" si="4"/>
        <v>1</v>
      </c>
      <c r="BC26">
        <f t="shared" si="5"/>
        <v>2</v>
      </c>
      <c r="BD26">
        <f t="shared" si="6"/>
        <v>0</v>
      </c>
      <c r="BE26">
        <f t="shared" si="7"/>
        <v>1</v>
      </c>
      <c r="BF26">
        <f t="shared" si="8"/>
        <v>1</v>
      </c>
      <c r="BG26">
        <f t="shared" si="9"/>
        <v>1</v>
      </c>
      <c r="BH26">
        <f t="shared" si="10"/>
        <v>1</v>
      </c>
      <c r="BI26">
        <f t="shared" si="11"/>
        <v>3</v>
      </c>
      <c r="BK26">
        <f t="shared" si="12"/>
        <v>2</v>
      </c>
    </row>
    <row r="27" spans="1:63" ht="28.8" x14ac:dyDescent="0.3">
      <c r="A27" s="1">
        <v>45600.484270833331</v>
      </c>
      <c r="B27" s="1">
        <v>45600.485995370371</v>
      </c>
      <c r="C27">
        <v>0</v>
      </c>
      <c r="D27" s="2" t="s">
        <v>145</v>
      </c>
      <c r="E27">
        <v>100</v>
      </c>
      <c r="F27">
        <v>149</v>
      </c>
      <c r="G27">
        <v>1</v>
      </c>
      <c r="H27" s="1">
        <v>45600.486010069442</v>
      </c>
      <c r="I27" s="2" t="s">
        <v>146</v>
      </c>
      <c r="J27" s="2" t="s">
        <v>82</v>
      </c>
      <c r="K27" s="2" t="s">
        <v>82</v>
      </c>
      <c r="L27" s="2" t="s">
        <v>82</v>
      </c>
      <c r="M27" s="2" t="s">
        <v>82</v>
      </c>
      <c r="N27">
        <v>42.389400000000002</v>
      </c>
      <c r="O27">
        <v>-72.526499999999999</v>
      </c>
      <c r="P27" s="2" t="s">
        <v>83</v>
      </c>
      <c r="Q27" s="2" t="s">
        <v>84</v>
      </c>
      <c r="R27">
        <v>2</v>
      </c>
      <c r="S27" s="2" t="s">
        <v>85</v>
      </c>
      <c r="T27">
        <v>4</v>
      </c>
      <c r="U27">
        <v>7</v>
      </c>
      <c r="V27" s="2" t="s">
        <v>82</v>
      </c>
      <c r="W27" s="2" t="s">
        <v>95</v>
      </c>
      <c r="X27" s="2" t="s">
        <v>82</v>
      </c>
      <c r="Y27">
        <v>2</v>
      </c>
      <c r="Z27">
        <v>2</v>
      </c>
      <c r="AA27">
        <v>6</v>
      </c>
      <c r="AB27">
        <v>1</v>
      </c>
      <c r="AC27">
        <v>2</v>
      </c>
      <c r="AD27">
        <v>2</v>
      </c>
      <c r="AE27">
        <v>3</v>
      </c>
      <c r="AF27">
        <v>1</v>
      </c>
      <c r="AG27" s="2" t="s">
        <v>82</v>
      </c>
      <c r="AH27">
        <v>1</v>
      </c>
      <c r="AI27">
        <v>1</v>
      </c>
      <c r="AJ27">
        <v>1</v>
      </c>
      <c r="AK27">
        <v>1</v>
      </c>
      <c r="AL27">
        <v>4</v>
      </c>
      <c r="AM27">
        <v>2</v>
      </c>
      <c r="AN27">
        <v>1</v>
      </c>
      <c r="AO27">
        <v>1</v>
      </c>
      <c r="AP27">
        <v>3</v>
      </c>
      <c r="AQ27">
        <v>1</v>
      </c>
      <c r="AS27">
        <f t="shared" si="0"/>
        <v>21</v>
      </c>
      <c r="AT27" s="2" t="s">
        <v>291</v>
      </c>
      <c r="AX27">
        <f t="shared" si="1"/>
        <v>2</v>
      </c>
      <c r="AY27">
        <f t="shared" si="2"/>
        <v>2</v>
      </c>
      <c r="AZ27">
        <f t="shared" si="3"/>
        <v>3</v>
      </c>
      <c r="BB27">
        <f t="shared" si="4"/>
        <v>1</v>
      </c>
      <c r="BC27">
        <f t="shared" si="5"/>
        <v>7</v>
      </c>
      <c r="BD27">
        <f t="shared" si="6"/>
        <v>0</v>
      </c>
      <c r="BE27">
        <f t="shared" si="7"/>
        <v>1</v>
      </c>
      <c r="BF27">
        <f t="shared" si="8"/>
        <v>1</v>
      </c>
      <c r="BG27">
        <f t="shared" si="9"/>
        <v>1</v>
      </c>
      <c r="BH27">
        <f t="shared" si="10"/>
        <v>1</v>
      </c>
      <c r="BI27">
        <f t="shared" si="11"/>
        <v>6</v>
      </c>
      <c r="BK27">
        <f t="shared" si="12"/>
        <v>7</v>
      </c>
    </row>
    <row r="28" spans="1:63" ht="28.8" x14ac:dyDescent="0.3">
      <c r="A28" s="1">
        <v>45600.496157407404</v>
      </c>
      <c r="B28" s="1">
        <v>45600.497662037036</v>
      </c>
      <c r="C28">
        <v>0</v>
      </c>
      <c r="D28" s="2" t="s">
        <v>147</v>
      </c>
      <c r="E28">
        <v>100</v>
      </c>
      <c r="F28">
        <v>130</v>
      </c>
      <c r="G28">
        <v>1</v>
      </c>
      <c r="H28" s="1">
        <v>45600.497675879633</v>
      </c>
      <c r="I28" s="2" t="s">
        <v>148</v>
      </c>
      <c r="J28" s="2" t="s">
        <v>82</v>
      </c>
      <c r="K28" s="2" t="s">
        <v>82</v>
      </c>
      <c r="L28" s="2" t="s">
        <v>82</v>
      </c>
      <c r="M28" s="2" t="s">
        <v>82</v>
      </c>
      <c r="N28">
        <v>42.13</v>
      </c>
      <c r="O28">
        <v>-72.580399999999997</v>
      </c>
      <c r="P28" s="2" t="s">
        <v>83</v>
      </c>
      <c r="Q28" s="2" t="s">
        <v>84</v>
      </c>
      <c r="R28">
        <v>2</v>
      </c>
      <c r="S28" s="2" t="s">
        <v>85</v>
      </c>
      <c r="T28">
        <v>4</v>
      </c>
      <c r="U28">
        <v>7</v>
      </c>
      <c r="V28" s="2" t="s">
        <v>82</v>
      </c>
      <c r="W28" s="2" t="s">
        <v>103</v>
      </c>
      <c r="X28" s="2" t="s">
        <v>82</v>
      </c>
      <c r="Y28">
        <v>2</v>
      </c>
      <c r="Z28">
        <v>3</v>
      </c>
      <c r="AA28">
        <v>6</v>
      </c>
      <c r="AB28">
        <v>2</v>
      </c>
      <c r="AC28">
        <v>1</v>
      </c>
      <c r="AD28">
        <v>2</v>
      </c>
      <c r="AE28">
        <v>3</v>
      </c>
      <c r="AF28">
        <v>4</v>
      </c>
      <c r="AG28" s="2" t="s">
        <v>82</v>
      </c>
      <c r="AH28">
        <v>3</v>
      </c>
      <c r="AI28">
        <v>3</v>
      </c>
      <c r="AJ28">
        <v>2</v>
      </c>
      <c r="AK28">
        <v>2</v>
      </c>
      <c r="AL28">
        <v>2</v>
      </c>
      <c r="AM28">
        <v>2</v>
      </c>
      <c r="AN28">
        <v>1</v>
      </c>
      <c r="AO28">
        <v>2</v>
      </c>
      <c r="AP28">
        <v>1</v>
      </c>
      <c r="AQ28">
        <v>1</v>
      </c>
      <c r="AS28">
        <f t="shared" si="0"/>
        <v>21</v>
      </c>
      <c r="AT28" s="2" t="s">
        <v>291</v>
      </c>
      <c r="AX28">
        <f t="shared" si="1"/>
        <v>2</v>
      </c>
      <c r="AY28">
        <f t="shared" si="2"/>
        <v>3</v>
      </c>
      <c r="AZ28">
        <f t="shared" si="3"/>
        <v>3</v>
      </c>
      <c r="BB28">
        <f t="shared" si="4"/>
        <v>4</v>
      </c>
      <c r="BC28">
        <f t="shared" si="5"/>
        <v>7</v>
      </c>
      <c r="BD28">
        <f t="shared" si="6"/>
        <v>1</v>
      </c>
      <c r="BE28">
        <f t="shared" si="7"/>
        <v>3</v>
      </c>
      <c r="BF28">
        <f t="shared" si="8"/>
        <v>2</v>
      </c>
      <c r="BG28">
        <f t="shared" si="9"/>
        <v>1</v>
      </c>
      <c r="BH28">
        <f t="shared" si="10"/>
        <v>2</v>
      </c>
      <c r="BI28">
        <f t="shared" si="11"/>
        <v>6</v>
      </c>
      <c r="BK28">
        <f t="shared" si="12"/>
        <v>7</v>
      </c>
    </row>
    <row r="29" spans="1:63" ht="28.8" x14ac:dyDescent="0.3">
      <c r="A29" s="1">
        <v>45600.502881944441</v>
      </c>
      <c r="B29" s="1">
        <v>45600.503865740742</v>
      </c>
      <c r="C29">
        <v>0</v>
      </c>
      <c r="D29" s="2" t="s">
        <v>149</v>
      </c>
      <c r="E29">
        <v>100</v>
      </c>
      <c r="F29">
        <v>84</v>
      </c>
      <c r="G29">
        <v>1</v>
      </c>
      <c r="H29" s="1">
        <v>45600.503882060184</v>
      </c>
      <c r="I29" s="2" t="s">
        <v>150</v>
      </c>
      <c r="J29" s="2" t="s">
        <v>82</v>
      </c>
      <c r="K29" s="2" t="s">
        <v>82</v>
      </c>
      <c r="L29" s="2" t="s">
        <v>82</v>
      </c>
      <c r="M29" s="2" t="s">
        <v>82</v>
      </c>
      <c r="N29">
        <v>42.389400000000002</v>
      </c>
      <c r="O29">
        <v>-72.526499999999999</v>
      </c>
      <c r="P29" s="2" t="s">
        <v>83</v>
      </c>
      <c r="Q29" s="2" t="s">
        <v>84</v>
      </c>
      <c r="R29">
        <v>2</v>
      </c>
      <c r="S29" s="2" t="s">
        <v>85</v>
      </c>
      <c r="T29">
        <v>4</v>
      </c>
      <c r="U29">
        <v>9</v>
      </c>
      <c r="V29" s="2" t="s">
        <v>82</v>
      </c>
      <c r="W29" s="2" t="s">
        <v>103</v>
      </c>
      <c r="X29" s="2" t="s">
        <v>82</v>
      </c>
      <c r="Y29">
        <v>3</v>
      </c>
      <c r="Z29">
        <v>2</v>
      </c>
      <c r="AA29">
        <v>2</v>
      </c>
      <c r="AB29">
        <v>1</v>
      </c>
      <c r="AC29">
        <v>3</v>
      </c>
      <c r="AD29">
        <v>4</v>
      </c>
      <c r="AE29">
        <v>3</v>
      </c>
      <c r="AF29">
        <v>1</v>
      </c>
      <c r="AG29" s="2" t="s">
        <v>82</v>
      </c>
      <c r="AH29">
        <v>3</v>
      </c>
      <c r="AI29">
        <v>1</v>
      </c>
      <c r="AJ29">
        <v>1</v>
      </c>
      <c r="AK29">
        <v>1</v>
      </c>
      <c r="AL29">
        <v>2</v>
      </c>
      <c r="AM29">
        <v>1</v>
      </c>
      <c r="AN29">
        <v>1</v>
      </c>
      <c r="AO29">
        <v>3</v>
      </c>
      <c r="AP29">
        <v>4</v>
      </c>
      <c r="AQ29">
        <v>1</v>
      </c>
      <c r="AS29">
        <f t="shared" si="0"/>
        <v>21</v>
      </c>
      <c r="AT29" s="2" t="s">
        <v>293</v>
      </c>
      <c r="AX29">
        <f t="shared" si="1"/>
        <v>3</v>
      </c>
      <c r="AY29">
        <f t="shared" si="2"/>
        <v>2</v>
      </c>
      <c r="AZ29">
        <f t="shared" si="3"/>
        <v>3</v>
      </c>
      <c r="BB29">
        <f t="shared" si="4"/>
        <v>1</v>
      </c>
      <c r="BC29">
        <f t="shared" si="5"/>
        <v>9</v>
      </c>
      <c r="BD29">
        <f t="shared" si="6"/>
        <v>-1</v>
      </c>
      <c r="BE29">
        <f t="shared" si="7"/>
        <v>1</v>
      </c>
      <c r="BF29">
        <f t="shared" si="8"/>
        <v>1</v>
      </c>
      <c r="BG29">
        <f t="shared" si="9"/>
        <v>1</v>
      </c>
      <c r="BH29">
        <f t="shared" si="10"/>
        <v>3</v>
      </c>
      <c r="BI29">
        <f t="shared" si="11"/>
        <v>2</v>
      </c>
      <c r="BK29">
        <f t="shared" si="12"/>
        <v>9</v>
      </c>
    </row>
    <row r="30" spans="1:63" ht="28.8" x14ac:dyDescent="0.3">
      <c r="A30" s="1">
        <v>45600.504108796296</v>
      </c>
      <c r="B30" s="1">
        <v>45600.506249999999</v>
      </c>
      <c r="C30">
        <v>0</v>
      </c>
      <c r="D30" s="2" t="s">
        <v>151</v>
      </c>
      <c r="E30">
        <v>100</v>
      </c>
      <c r="F30">
        <v>185</v>
      </c>
      <c r="G30">
        <v>1</v>
      </c>
      <c r="H30" s="1">
        <v>45600.506261319446</v>
      </c>
      <c r="I30" s="2" t="s">
        <v>152</v>
      </c>
      <c r="J30" s="2" t="s">
        <v>82</v>
      </c>
      <c r="K30" s="2" t="s">
        <v>82</v>
      </c>
      <c r="L30" s="2" t="s">
        <v>82</v>
      </c>
      <c r="M30" s="2" t="s">
        <v>82</v>
      </c>
      <c r="N30">
        <v>39.290900000000001</v>
      </c>
      <c r="O30">
        <v>-76.6096</v>
      </c>
      <c r="P30" s="2" t="s">
        <v>83</v>
      </c>
      <c r="Q30" s="2" t="s">
        <v>84</v>
      </c>
      <c r="R30">
        <v>2</v>
      </c>
      <c r="S30" s="2" t="s">
        <v>106</v>
      </c>
      <c r="T30">
        <v>4</v>
      </c>
      <c r="U30">
        <v>9</v>
      </c>
      <c r="V30" s="2" t="s">
        <v>82</v>
      </c>
      <c r="W30" s="2" t="s">
        <v>103</v>
      </c>
      <c r="X30" s="2" t="s">
        <v>82</v>
      </c>
      <c r="Y30">
        <v>2</v>
      </c>
      <c r="Z30">
        <v>2</v>
      </c>
      <c r="AA30">
        <v>6</v>
      </c>
      <c r="AB30">
        <v>3</v>
      </c>
      <c r="AC30">
        <v>2</v>
      </c>
      <c r="AD30">
        <v>2</v>
      </c>
      <c r="AE30">
        <v>3</v>
      </c>
      <c r="AF30">
        <v>2</v>
      </c>
      <c r="AG30" s="2" t="s">
        <v>82</v>
      </c>
      <c r="AH30">
        <v>1</v>
      </c>
      <c r="AI30">
        <v>3</v>
      </c>
      <c r="AJ30">
        <v>2</v>
      </c>
      <c r="AK30">
        <v>1</v>
      </c>
      <c r="AL30">
        <v>2</v>
      </c>
      <c r="AM30">
        <v>2</v>
      </c>
      <c r="AN30">
        <v>3</v>
      </c>
      <c r="AO30">
        <v>2</v>
      </c>
      <c r="AP30">
        <v>2</v>
      </c>
      <c r="AQ30">
        <v>1</v>
      </c>
      <c r="AS30">
        <f t="shared" si="0"/>
        <v>22</v>
      </c>
      <c r="AT30" s="2" t="s">
        <v>291</v>
      </c>
      <c r="AX30">
        <f t="shared" si="1"/>
        <v>2</v>
      </c>
      <c r="AY30">
        <f t="shared" si="2"/>
        <v>2</v>
      </c>
      <c r="AZ30">
        <f t="shared" si="3"/>
        <v>3</v>
      </c>
      <c r="BB30">
        <f t="shared" si="4"/>
        <v>2</v>
      </c>
      <c r="BC30">
        <f t="shared" si="5"/>
        <v>9</v>
      </c>
      <c r="BD30">
        <f t="shared" si="6"/>
        <v>0</v>
      </c>
      <c r="BE30">
        <f t="shared" si="7"/>
        <v>3</v>
      </c>
      <c r="BF30">
        <f t="shared" si="8"/>
        <v>2</v>
      </c>
      <c r="BG30">
        <f t="shared" si="9"/>
        <v>3</v>
      </c>
      <c r="BH30">
        <f t="shared" si="10"/>
        <v>2</v>
      </c>
      <c r="BI30">
        <f t="shared" si="11"/>
        <v>6</v>
      </c>
      <c r="BK30">
        <f t="shared" si="12"/>
        <v>9</v>
      </c>
    </row>
    <row r="31" spans="1:63" ht="28.8" x14ac:dyDescent="0.3">
      <c r="A31" s="1">
        <v>45600.51090277778</v>
      </c>
      <c r="B31" s="1">
        <v>45600.514224537037</v>
      </c>
      <c r="C31">
        <v>0</v>
      </c>
      <c r="D31" s="2" t="s">
        <v>153</v>
      </c>
      <c r="E31">
        <v>100</v>
      </c>
      <c r="F31">
        <v>286</v>
      </c>
      <c r="G31">
        <v>1</v>
      </c>
      <c r="H31" s="1">
        <v>45600.514234444447</v>
      </c>
      <c r="I31" s="2" t="s">
        <v>154</v>
      </c>
      <c r="J31" s="2" t="s">
        <v>82</v>
      </c>
      <c r="K31" s="2" t="s">
        <v>82</v>
      </c>
      <c r="L31" s="2" t="s">
        <v>82</v>
      </c>
      <c r="M31" s="2" t="s">
        <v>82</v>
      </c>
      <c r="N31">
        <v>41.538200000000003</v>
      </c>
      <c r="O31">
        <v>-72.800799999999995</v>
      </c>
      <c r="P31" s="2" t="s">
        <v>83</v>
      </c>
      <c r="Q31" s="2" t="s">
        <v>84</v>
      </c>
      <c r="R31">
        <v>2</v>
      </c>
      <c r="S31" s="2" t="s">
        <v>106</v>
      </c>
      <c r="T31">
        <v>4</v>
      </c>
      <c r="U31">
        <v>4</v>
      </c>
      <c r="V31" s="2" t="s">
        <v>82</v>
      </c>
      <c r="W31" s="2" t="s">
        <v>97</v>
      </c>
      <c r="X31" s="2" t="s">
        <v>82</v>
      </c>
      <c r="Y31">
        <v>2</v>
      </c>
      <c r="Z31">
        <v>2</v>
      </c>
      <c r="AA31">
        <v>6</v>
      </c>
      <c r="AB31">
        <v>2</v>
      </c>
      <c r="AC31">
        <v>1</v>
      </c>
      <c r="AD31">
        <v>3</v>
      </c>
      <c r="AE31">
        <v>3</v>
      </c>
      <c r="AF31">
        <v>1</v>
      </c>
      <c r="AG31" s="2" t="s">
        <v>82</v>
      </c>
      <c r="AH31">
        <v>1</v>
      </c>
      <c r="AI31">
        <v>3</v>
      </c>
      <c r="AJ31">
        <v>2</v>
      </c>
      <c r="AK31">
        <v>2</v>
      </c>
      <c r="AL31">
        <v>4</v>
      </c>
      <c r="AM31">
        <v>1</v>
      </c>
      <c r="AN31">
        <v>2</v>
      </c>
      <c r="AO31">
        <v>2</v>
      </c>
      <c r="AP31">
        <v>4</v>
      </c>
      <c r="AQ31">
        <v>1</v>
      </c>
      <c r="AS31">
        <f t="shared" si="0"/>
        <v>22</v>
      </c>
      <c r="AT31" s="2" t="s">
        <v>291</v>
      </c>
      <c r="AX31">
        <f t="shared" si="1"/>
        <v>2</v>
      </c>
      <c r="AY31">
        <f t="shared" si="2"/>
        <v>2</v>
      </c>
      <c r="AZ31">
        <f t="shared" si="3"/>
        <v>3</v>
      </c>
      <c r="BB31">
        <f t="shared" si="4"/>
        <v>1</v>
      </c>
      <c r="BC31">
        <f t="shared" si="5"/>
        <v>4</v>
      </c>
      <c r="BD31">
        <f t="shared" si="6"/>
        <v>0</v>
      </c>
      <c r="BE31">
        <f t="shared" si="7"/>
        <v>3</v>
      </c>
      <c r="BF31">
        <f t="shared" si="8"/>
        <v>2</v>
      </c>
      <c r="BG31">
        <f t="shared" si="9"/>
        <v>2</v>
      </c>
      <c r="BH31">
        <f t="shared" si="10"/>
        <v>2</v>
      </c>
      <c r="BI31">
        <f t="shared" si="11"/>
        <v>6</v>
      </c>
      <c r="BK31">
        <f t="shared" si="12"/>
        <v>4</v>
      </c>
    </row>
    <row r="32" spans="1:63" ht="28.8" x14ac:dyDescent="0.3">
      <c r="A32" s="1">
        <v>45600.529768518521</v>
      </c>
      <c r="B32" s="1">
        <v>45600.5315625</v>
      </c>
      <c r="C32">
        <v>0</v>
      </c>
      <c r="D32" s="2" t="s">
        <v>155</v>
      </c>
      <c r="E32">
        <v>100</v>
      </c>
      <c r="F32">
        <v>155</v>
      </c>
      <c r="G32">
        <v>1</v>
      </c>
      <c r="H32" s="1">
        <v>45600.531578159724</v>
      </c>
      <c r="I32" s="2" t="s">
        <v>156</v>
      </c>
      <c r="J32" s="2" t="s">
        <v>82</v>
      </c>
      <c r="K32" s="2" t="s">
        <v>82</v>
      </c>
      <c r="L32" s="2" t="s">
        <v>82</v>
      </c>
      <c r="M32" s="2" t="s">
        <v>82</v>
      </c>
      <c r="N32">
        <v>41.735300000000002</v>
      </c>
      <c r="O32">
        <v>-72.7333</v>
      </c>
      <c r="P32" s="2" t="s">
        <v>83</v>
      </c>
      <c r="Q32" s="2" t="s">
        <v>84</v>
      </c>
      <c r="R32" s="2" t="s">
        <v>82</v>
      </c>
      <c r="S32" s="2" t="s">
        <v>82</v>
      </c>
      <c r="T32" s="2" t="s">
        <v>82</v>
      </c>
      <c r="U32" s="2" t="s">
        <v>82</v>
      </c>
      <c r="V32" s="2" t="s">
        <v>82</v>
      </c>
      <c r="W32" s="2" t="s">
        <v>82</v>
      </c>
      <c r="X32" s="2" t="s">
        <v>82</v>
      </c>
      <c r="Y32" s="2" t="s">
        <v>82</v>
      </c>
      <c r="Z32" s="2" t="s">
        <v>82</v>
      </c>
      <c r="AA32" s="2" t="s">
        <v>82</v>
      </c>
      <c r="AB32" s="2" t="s">
        <v>82</v>
      </c>
      <c r="AC32" s="2" t="s">
        <v>82</v>
      </c>
      <c r="AD32" s="2" t="s">
        <v>82</v>
      </c>
      <c r="AE32">
        <v>4</v>
      </c>
      <c r="AF32">
        <v>6</v>
      </c>
      <c r="AG32" s="2" t="s">
        <v>157</v>
      </c>
      <c r="AH32">
        <v>5</v>
      </c>
      <c r="AI32">
        <v>4</v>
      </c>
      <c r="AJ32">
        <v>1</v>
      </c>
      <c r="AK32">
        <v>1</v>
      </c>
      <c r="AL32">
        <v>5</v>
      </c>
      <c r="AM32">
        <v>1</v>
      </c>
      <c r="AN32">
        <v>2</v>
      </c>
      <c r="AO32">
        <v>1</v>
      </c>
      <c r="AP32">
        <v>4</v>
      </c>
      <c r="AQ32">
        <v>1</v>
      </c>
      <c r="AS32">
        <v>0</v>
      </c>
      <c r="AT32" s="2" t="s">
        <v>82</v>
      </c>
      <c r="AX32">
        <v>0</v>
      </c>
      <c r="AY32">
        <v>0</v>
      </c>
      <c r="AZ32">
        <v>3</v>
      </c>
      <c r="BB32">
        <f t="shared" si="4"/>
        <v>6</v>
      </c>
      <c r="BC32">
        <v>0</v>
      </c>
      <c r="BD32">
        <f t="shared" si="6"/>
        <v>0</v>
      </c>
      <c r="BE32">
        <f t="shared" si="7"/>
        <v>4</v>
      </c>
      <c r="BF32">
        <f t="shared" si="8"/>
        <v>1</v>
      </c>
      <c r="BG32">
        <f t="shared" si="9"/>
        <v>2</v>
      </c>
      <c r="BH32">
        <f t="shared" si="10"/>
        <v>1</v>
      </c>
      <c r="BI32">
        <v>0</v>
      </c>
      <c r="BK32">
        <v>0</v>
      </c>
    </row>
    <row r="33" spans="1:63" ht="28.8" x14ac:dyDescent="0.3">
      <c r="A33" s="1">
        <v>45600.691874999997</v>
      </c>
      <c r="B33" s="1">
        <v>45600.693692129629</v>
      </c>
      <c r="C33">
        <v>0</v>
      </c>
      <c r="D33" s="2" t="s">
        <v>158</v>
      </c>
      <c r="E33">
        <v>100</v>
      </c>
      <c r="F33">
        <v>157</v>
      </c>
      <c r="G33">
        <v>1</v>
      </c>
      <c r="H33" s="1">
        <v>45600.693714687499</v>
      </c>
      <c r="I33" s="2" t="s">
        <v>159</v>
      </c>
      <c r="J33" s="2" t="s">
        <v>82</v>
      </c>
      <c r="K33" s="2" t="s">
        <v>82</v>
      </c>
      <c r="L33" s="2" t="s">
        <v>82</v>
      </c>
      <c r="M33" s="2" t="s">
        <v>82</v>
      </c>
      <c r="N33">
        <v>42.365400000000001</v>
      </c>
      <c r="O33">
        <v>-72.467100000000002</v>
      </c>
      <c r="P33" s="2" t="s">
        <v>83</v>
      </c>
      <c r="Q33" s="2" t="s">
        <v>84</v>
      </c>
      <c r="R33">
        <v>2</v>
      </c>
      <c r="S33" s="2" t="s">
        <v>106</v>
      </c>
      <c r="T33">
        <v>4</v>
      </c>
      <c r="U33">
        <v>7</v>
      </c>
      <c r="V33" s="2" t="s">
        <v>82</v>
      </c>
      <c r="W33" s="2" t="s">
        <v>86</v>
      </c>
      <c r="X33" s="2" t="s">
        <v>82</v>
      </c>
      <c r="Y33">
        <v>2</v>
      </c>
      <c r="Z33">
        <v>2</v>
      </c>
      <c r="AA33">
        <v>6</v>
      </c>
      <c r="AB33">
        <v>2</v>
      </c>
      <c r="AC33">
        <v>1</v>
      </c>
      <c r="AD33">
        <v>4</v>
      </c>
      <c r="AE33">
        <v>3</v>
      </c>
      <c r="AF33">
        <v>2</v>
      </c>
      <c r="AG33" s="2" t="s">
        <v>160</v>
      </c>
      <c r="AH33">
        <v>1</v>
      </c>
      <c r="AI33">
        <v>4</v>
      </c>
      <c r="AJ33">
        <v>1</v>
      </c>
      <c r="AK33">
        <v>1</v>
      </c>
      <c r="AL33">
        <v>2</v>
      </c>
      <c r="AM33">
        <v>2</v>
      </c>
      <c r="AN33">
        <v>4</v>
      </c>
      <c r="AO33">
        <v>3</v>
      </c>
      <c r="AP33">
        <v>2</v>
      </c>
      <c r="AQ33">
        <v>2</v>
      </c>
      <c r="AS33">
        <f t="shared" si="0"/>
        <v>22</v>
      </c>
      <c r="AT33" s="2" t="s">
        <v>291</v>
      </c>
      <c r="AX33">
        <f t="shared" si="1"/>
        <v>2</v>
      </c>
      <c r="AY33">
        <f t="shared" si="2"/>
        <v>2</v>
      </c>
      <c r="AZ33">
        <f t="shared" si="3"/>
        <v>3</v>
      </c>
      <c r="BB33">
        <f t="shared" si="4"/>
        <v>2</v>
      </c>
      <c r="BC33">
        <f t="shared" si="5"/>
        <v>7</v>
      </c>
      <c r="BD33">
        <f t="shared" si="6"/>
        <v>0</v>
      </c>
      <c r="BE33">
        <f t="shared" si="7"/>
        <v>4</v>
      </c>
      <c r="BF33">
        <f t="shared" si="8"/>
        <v>1</v>
      </c>
      <c r="BG33">
        <f t="shared" si="9"/>
        <v>4</v>
      </c>
      <c r="BH33">
        <f t="shared" si="10"/>
        <v>3</v>
      </c>
      <c r="BI33">
        <f t="shared" si="11"/>
        <v>6</v>
      </c>
      <c r="BK33">
        <f t="shared" si="12"/>
        <v>7</v>
      </c>
    </row>
    <row r="34" spans="1:63" ht="28.8" x14ac:dyDescent="0.3">
      <c r="A34" s="1">
        <v>45600.691736111112</v>
      </c>
      <c r="B34" s="1">
        <v>45600.693935185183</v>
      </c>
      <c r="C34">
        <v>0</v>
      </c>
      <c r="D34" s="2" t="s">
        <v>161</v>
      </c>
      <c r="E34">
        <v>100</v>
      </c>
      <c r="F34">
        <v>190</v>
      </c>
      <c r="G34">
        <v>1</v>
      </c>
      <c r="H34" s="1">
        <v>45600.693951423615</v>
      </c>
      <c r="I34" s="2" t="s">
        <v>162</v>
      </c>
      <c r="J34" s="2" t="s">
        <v>82</v>
      </c>
      <c r="K34" s="2" t="s">
        <v>82</v>
      </c>
      <c r="L34" s="2" t="s">
        <v>82</v>
      </c>
      <c r="M34" s="2" t="s">
        <v>82</v>
      </c>
      <c r="N34">
        <v>41.796500000000002</v>
      </c>
      <c r="O34">
        <v>-71.430400000000006</v>
      </c>
      <c r="P34" s="2" t="s">
        <v>83</v>
      </c>
      <c r="Q34" s="2" t="s">
        <v>84</v>
      </c>
      <c r="R34">
        <v>2</v>
      </c>
      <c r="S34" s="2" t="s">
        <v>85</v>
      </c>
      <c r="T34">
        <v>4</v>
      </c>
      <c r="U34">
        <v>7</v>
      </c>
      <c r="V34" s="2" t="s">
        <v>82</v>
      </c>
      <c r="W34" s="2" t="s">
        <v>95</v>
      </c>
      <c r="X34" s="2" t="s">
        <v>82</v>
      </c>
      <c r="Y34">
        <v>2</v>
      </c>
      <c r="Z34">
        <v>3</v>
      </c>
      <c r="AA34">
        <v>4</v>
      </c>
      <c r="AB34">
        <v>2</v>
      </c>
      <c r="AC34">
        <v>1</v>
      </c>
      <c r="AD34">
        <v>3</v>
      </c>
      <c r="AE34">
        <v>3</v>
      </c>
      <c r="AF34">
        <v>1</v>
      </c>
      <c r="AG34" s="2" t="s">
        <v>82</v>
      </c>
      <c r="AH34">
        <v>5</v>
      </c>
      <c r="AI34">
        <v>3</v>
      </c>
      <c r="AJ34">
        <v>2</v>
      </c>
      <c r="AK34">
        <v>1</v>
      </c>
      <c r="AL34">
        <v>3</v>
      </c>
      <c r="AM34">
        <v>1</v>
      </c>
      <c r="AN34">
        <v>3</v>
      </c>
      <c r="AO34">
        <v>2</v>
      </c>
      <c r="AP34">
        <v>3</v>
      </c>
      <c r="AQ34">
        <v>1</v>
      </c>
      <c r="AS34">
        <f t="shared" si="0"/>
        <v>21</v>
      </c>
      <c r="AT34" s="2" t="s">
        <v>291</v>
      </c>
      <c r="AX34">
        <f t="shared" si="1"/>
        <v>2</v>
      </c>
      <c r="AY34">
        <f t="shared" si="2"/>
        <v>3</v>
      </c>
      <c r="AZ34">
        <f t="shared" si="3"/>
        <v>3</v>
      </c>
      <c r="BB34">
        <f t="shared" si="4"/>
        <v>1</v>
      </c>
      <c r="BC34">
        <f t="shared" si="5"/>
        <v>7</v>
      </c>
      <c r="BD34">
        <f t="shared" si="6"/>
        <v>1</v>
      </c>
      <c r="BE34">
        <f t="shared" si="7"/>
        <v>3</v>
      </c>
      <c r="BF34">
        <f t="shared" si="8"/>
        <v>2</v>
      </c>
      <c r="BG34">
        <f t="shared" si="9"/>
        <v>3</v>
      </c>
      <c r="BH34">
        <f t="shared" si="10"/>
        <v>2</v>
      </c>
      <c r="BI34">
        <f t="shared" si="11"/>
        <v>4</v>
      </c>
      <c r="BK34">
        <f t="shared" si="12"/>
        <v>7</v>
      </c>
    </row>
    <row r="35" spans="1:63" ht="28.8" x14ac:dyDescent="0.3">
      <c r="A35" s="1">
        <v>45600.728414351855</v>
      </c>
      <c r="B35" s="1">
        <v>45600.734513888892</v>
      </c>
      <c r="C35">
        <v>0</v>
      </c>
      <c r="D35" s="2" t="s">
        <v>163</v>
      </c>
      <c r="E35">
        <v>100</v>
      </c>
      <c r="F35">
        <v>526</v>
      </c>
      <c r="G35">
        <v>1</v>
      </c>
      <c r="H35" s="1">
        <v>45600.734539097219</v>
      </c>
      <c r="I35" s="2" t="s">
        <v>164</v>
      </c>
      <c r="J35" s="2" t="s">
        <v>82</v>
      </c>
      <c r="K35" s="2" t="s">
        <v>82</v>
      </c>
      <c r="L35" s="2" t="s">
        <v>82</v>
      </c>
      <c r="M35" s="2" t="s">
        <v>82</v>
      </c>
      <c r="N35">
        <v>39.290900000000001</v>
      </c>
      <c r="O35">
        <v>-76.6096</v>
      </c>
      <c r="P35" s="2" t="s">
        <v>83</v>
      </c>
      <c r="Q35" s="2" t="s">
        <v>84</v>
      </c>
      <c r="R35">
        <v>1</v>
      </c>
      <c r="S35" s="2" t="s">
        <v>106</v>
      </c>
      <c r="T35">
        <v>4</v>
      </c>
      <c r="U35">
        <v>4</v>
      </c>
      <c r="V35" s="2" t="s">
        <v>82</v>
      </c>
      <c r="W35" s="2" t="s">
        <v>97</v>
      </c>
      <c r="X35" s="2" t="s">
        <v>82</v>
      </c>
      <c r="Y35">
        <v>2</v>
      </c>
      <c r="Z35">
        <v>3</v>
      </c>
      <c r="AA35">
        <v>6</v>
      </c>
      <c r="AB35">
        <v>3</v>
      </c>
      <c r="AC35">
        <v>2</v>
      </c>
      <c r="AD35">
        <v>1</v>
      </c>
      <c r="AE35">
        <v>2</v>
      </c>
      <c r="AF35">
        <v>1</v>
      </c>
      <c r="AG35" s="2" t="s">
        <v>82</v>
      </c>
      <c r="AH35">
        <v>3</v>
      </c>
      <c r="AI35">
        <v>1</v>
      </c>
      <c r="AJ35">
        <v>1</v>
      </c>
      <c r="AK35">
        <v>1</v>
      </c>
      <c r="AL35">
        <v>4</v>
      </c>
      <c r="AM35">
        <v>1</v>
      </c>
      <c r="AN35">
        <v>3</v>
      </c>
      <c r="AO35">
        <v>2</v>
      </c>
      <c r="AP35">
        <v>2</v>
      </c>
      <c r="AQ35">
        <v>1</v>
      </c>
      <c r="AS35">
        <f t="shared" si="0"/>
        <v>22</v>
      </c>
      <c r="AT35" s="2" t="s">
        <v>291</v>
      </c>
      <c r="AX35">
        <f t="shared" si="1"/>
        <v>2</v>
      </c>
      <c r="AY35">
        <f t="shared" si="2"/>
        <v>3</v>
      </c>
      <c r="AZ35">
        <f t="shared" si="3"/>
        <v>2</v>
      </c>
      <c r="BB35">
        <f t="shared" si="4"/>
        <v>1</v>
      </c>
      <c r="BC35">
        <f t="shared" si="5"/>
        <v>4</v>
      </c>
      <c r="BD35">
        <f t="shared" si="6"/>
        <v>1</v>
      </c>
      <c r="BE35">
        <f t="shared" si="7"/>
        <v>1</v>
      </c>
      <c r="BF35">
        <f t="shared" si="8"/>
        <v>1</v>
      </c>
      <c r="BG35">
        <f t="shared" si="9"/>
        <v>3</v>
      </c>
      <c r="BH35">
        <f t="shared" si="10"/>
        <v>2</v>
      </c>
      <c r="BI35">
        <f t="shared" si="11"/>
        <v>6</v>
      </c>
      <c r="BK35">
        <f t="shared" si="12"/>
        <v>4</v>
      </c>
    </row>
    <row r="36" spans="1:63" ht="28.8" x14ac:dyDescent="0.3">
      <c r="A36" s="1">
        <v>45600.766655092593</v>
      </c>
      <c r="B36" s="1">
        <v>45600.768611111111</v>
      </c>
      <c r="C36">
        <v>0</v>
      </c>
      <c r="D36" s="2" t="s">
        <v>165</v>
      </c>
      <c r="E36">
        <v>100</v>
      </c>
      <c r="F36">
        <v>169</v>
      </c>
      <c r="G36">
        <v>1</v>
      </c>
      <c r="H36" s="1">
        <v>45600.768630601851</v>
      </c>
      <c r="I36" s="2" t="s">
        <v>166</v>
      </c>
      <c r="J36" s="2" t="s">
        <v>82</v>
      </c>
      <c r="K36" s="2" t="s">
        <v>82</v>
      </c>
      <c r="L36" s="2" t="s">
        <v>82</v>
      </c>
      <c r="M36" s="2" t="s">
        <v>82</v>
      </c>
      <c r="N36">
        <v>42.389400000000002</v>
      </c>
      <c r="O36">
        <v>-72.526499999999999</v>
      </c>
      <c r="P36" s="2" t="s">
        <v>83</v>
      </c>
      <c r="Q36" s="2" t="s">
        <v>84</v>
      </c>
      <c r="R36">
        <v>2</v>
      </c>
      <c r="S36" s="2" t="s">
        <v>85</v>
      </c>
      <c r="T36">
        <v>4</v>
      </c>
      <c r="U36">
        <v>7</v>
      </c>
      <c r="V36" s="2" t="s">
        <v>82</v>
      </c>
      <c r="W36" s="2" t="s">
        <v>103</v>
      </c>
      <c r="X36" s="2" t="s">
        <v>82</v>
      </c>
      <c r="Y36">
        <v>3</v>
      </c>
      <c r="Z36">
        <v>3</v>
      </c>
      <c r="AA36">
        <v>7</v>
      </c>
      <c r="AB36">
        <v>4</v>
      </c>
      <c r="AC36">
        <v>1</v>
      </c>
      <c r="AD36">
        <v>1</v>
      </c>
      <c r="AE36">
        <v>2</v>
      </c>
      <c r="AF36">
        <v>6</v>
      </c>
      <c r="AG36" s="2" t="s">
        <v>167</v>
      </c>
      <c r="AH36">
        <v>1</v>
      </c>
      <c r="AI36">
        <v>4</v>
      </c>
      <c r="AJ36">
        <v>1</v>
      </c>
      <c r="AK36">
        <v>2</v>
      </c>
      <c r="AL36">
        <v>1</v>
      </c>
      <c r="AM36">
        <v>4</v>
      </c>
      <c r="AN36">
        <v>4</v>
      </c>
      <c r="AO36">
        <v>5</v>
      </c>
      <c r="AP36">
        <v>2</v>
      </c>
      <c r="AQ36">
        <v>4</v>
      </c>
      <c r="AS36">
        <f t="shared" si="0"/>
        <v>21</v>
      </c>
      <c r="AT36" s="2" t="s">
        <v>293</v>
      </c>
      <c r="AX36">
        <f t="shared" si="1"/>
        <v>3</v>
      </c>
      <c r="AY36">
        <f t="shared" si="2"/>
        <v>3</v>
      </c>
      <c r="AZ36">
        <f t="shared" si="3"/>
        <v>2</v>
      </c>
      <c r="BB36">
        <f t="shared" si="4"/>
        <v>6</v>
      </c>
      <c r="BC36">
        <f t="shared" si="5"/>
        <v>7</v>
      </c>
      <c r="BD36">
        <f t="shared" si="6"/>
        <v>0</v>
      </c>
      <c r="BE36">
        <f t="shared" si="7"/>
        <v>4</v>
      </c>
      <c r="BF36">
        <f t="shared" si="8"/>
        <v>1</v>
      </c>
      <c r="BG36">
        <f t="shared" si="9"/>
        <v>4</v>
      </c>
      <c r="BH36">
        <f t="shared" si="10"/>
        <v>5</v>
      </c>
      <c r="BI36">
        <f t="shared" si="11"/>
        <v>7</v>
      </c>
      <c r="BK36">
        <f t="shared" si="12"/>
        <v>7</v>
      </c>
    </row>
    <row r="37" spans="1:63" ht="28.8" x14ac:dyDescent="0.3">
      <c r="A37" s="1">
        <v>45600.837916666664</v>
      </c>
      <c r="B37" s="1">
        <v>45600.839409722219</v>
      </c>
      <c r="C37">
        <v>0</v>
      </c>
      <c r="D37" s="2" t="s">
        <v>168</v>
      </c>
      <c r="E37">
        <v>100</v>
      </c>
      <c r="F37">
        <v>129</v>
      </c>
      <c r="G37">
        <v>1</v>
      </c>
      <c r="H37" s="1">
        <v>45600.839420081022</v>
      </c>
      <c r="I37" s="2" t="s">
        <v>169</v>
      </c>
      <c r="J37" s="2" t="s">
        <v>82</v>
      </c>
      <c r="K37" s="2" t="s">
        <v>82</v>
      </c>
      <c r="L37" s="2" t="s">
        <v>82</v>
      </c>
      <c r="M37" s="2" t="s">
        <v>82</v>
      </c>
      <c r="N37">
        <v>42.356400000000001</v>
      </c>
      <c r="O37">
        <v>-72.700599999999994</v>
      </c>
      <c r="P37" s="2" t="s">
        <v>83</v>
      </c>
      <c r="Q37" s="2" t="s">
        <v>84</v>
      </c>
      <c r="R37">
        <v>2</v>
      </c>
      <c r="S37" s="2" t="s">
        <v>85</v>
      </c>
      <c r="T37">
        <v>4</v>
      </c>
      <c r="U37">
        <v>4</v>
      </c>
      <c r="V37" s="2" t="s">
        <v>82</v>
      </c>
      <c r="W37" s="2" t="s">
        <v>95</v>
      </c>
      <c r="X37" s="2" t="s">
        <v>82</v>
      </c>
      <c r="Y37">
        <v>3</v>
      </c>
      <c r="Z37">
        <v>2</v>
      </c>
      <c r="AA37">
        <v>5</v>
      </c>
      <c r="AB37">
        <v>3</v>
      </c>
      <c r="AC37">
        <v>1</v>
      </c>
      <c r="AD37">
        <v>2</v>
      </c>
      <c r="AE37">
        <v>2</v>
      </c>
      <c r="AF37">
        <v>1</v>
      </c>
      <c r="AG37" s="2" t="s">
        <v>82</v>
      </c>
      <c r="AH37">
        <v>1</v>
      </c>
      <c r="AI37">
        <v>1</v>
      </c>
      <c r="AJ37">
        <v>1</v>
      </c>
      <c r="AK37" s="2" t="s">
        <v>82</v>
      </c>
      <c r="AL37">
        <v>4</v>
      </c>
      <c r="AM37">
        <v>1</v>
      </c>
      <c r="AN37">
        <v>2</v>
      </c>
      <c r="AO37">
        <v>3</v>
      </c>
      <c r="AP37">
        <v>2</v>
      </c>
      <c r="AQ37">
        <v>1</v>
      </c>
      <c r="AS37">
        <f t="shared" si="0"/>
        <v>21</v>
      </c>
      <c r="AT37" s="2" t="s">
        <v>293</v>
      </c>
      <c r="AX37">
        <f t="shared" si="1"/>
        <v>3</v>
      </c>
      <c r="AY37">
        <f t="shared" si="2"/>
        <v>2</v>
      </c>
      <c r="AZ37">
        <f t="shared" si="3"/>
        <v>2</v>
      </c>
      <c r="BB37">
        <f t="shared" si="4"/>
        <v>1</v>
      </c>
      <c r="BC37">
        <f t="shared" si="5"/>
        <v>4</v>
      </c>
      <c r="BD37">
        <f t="shared" si="6"/>
        <v>-1</v>
      </c>
      <c r="BE37">
        <f t="shared" si="7"/>
        <v>1</v>
      </c>
      <c r="BF37">
        <f t="shared" si="8"/>
        <v>1</v>
      </c>
      <c r="BG37">
        <f t="shared" si="9"/>
        <v>2</v>
      </c>
      <c r="BH37">
        <f t="shared" si="10"/>
        <v>3</v>
      </c>
      <c r="BI37">
        <f t="shared" si="11"/>
        <v>5</v>
      </c>
      <c r="BK37">
        <f t="shared" si="12"/>
        <v>4</v>
      </c>
    </row>
    <row r="38" spans="1:63" ht="28.8" x14ac:dyDescent="0.3">
      <c r="A38" s="1">
        <v>45602.498182870368</v>
      </c>
      <c r="B38" s="1">
        <v>45602.499699074076</v>
      </c>
      <c r="C38">
        <v>1</v>
      </c>
      <c r="D38" s="2" t="s">
        <v>82</v>
      </c>
      <c r="E38">
        <v>100</v>
      </c>
      <c r="F38">
        <v>130</v>
      </c>
      <c r="G38">
        <v>1</v>
      </c>
      <c r="H38" s="1">
        <v>45602.499708344905</v>
      </c>
      <c r="I38" s="2" t="s">
        <v>170</v>
      </c>
      <c r="J38" s="2" t="s">
        <v>82</v>
      </c>
      <c r="K38" s="2" t="s">
        <v>82</v>
      </c>
      <c r="L38" s="2" t="s">
        <v>82</v>
      </c>
      <c r="M38" s="2" t="s">
        <v>82</v>
      </c>
      <c r="N38">
        <v>42.389400000000002</v>
      </c>
      <c r="O38">
        <v>-72.526499999999999</v>
      </c>
      <c r="P38" s="2" t="s">
        <v>171</v>
      </c>
      <c r="Q38" s="2" t="s">
        <v>84</v>
      </c>
      <c r="R38">
        <v>2</v>
      </c>
      <c r="S38" s="2" t="s">
        <v>119</v>
      </c>
      <c r="T38">
        <v>3</v>
      </c>
      <c r="U38">
        <v>8</v>
      </c>
      <c r="V38" s="2" t="s">
        <v>82</v>
      </c>
      <c r="W38" s="2" t="s">
        <v>95</v>
      </c>
      <c r="X38" s="2" t="s">
        <v>82</v>
      </c>
      <c r="Y38">
        <v>3</v>
      </c>
      <c r="Z38">
        <v>3</v>
      </c>
      <c r="AA38">
        <v>2</v>
      </c>
      <c r="AB38">
        <v>2</v>
      </c>
      <c r="AC38">
        <v>1</v>
      </c>
      <c r="AD38">
        <v>5</v>
      </c>
      <c r="AE38">
        <v>3</v>
      </c>
      <c r="AF38">
        <v>1</v>
      </c>
      <c r="AG38" s="2" t="s">
        <v>82</v>
      </c>
      <c r="AH38">
        <v>1</v>
      </c>
      <c r="AI38">
        <v>4</v>
      </c>
      <c r="AJ38">
        <v>1</v>
      </c>
      <c r="AK38">
        <v>1</v>
      </c>
      <c r="AL38">
        <v>2</v>
      </c>
      <c r="AM38">
        <v>1</v>
      </c>
      <c r="AN38">
        <v>1</v>
      </c>
      <c r="AO38">
        <v>1</v>
      </c>
      <c r="AP38">
        <v>4</v>
      </c>
      <c r="AQ38">
        <v>1</v>
      </c>
      <c r="AS38">
        <f t="shared" si="0"/>
        <v>20</v>
      </c>
      <c r="AT38" s="2" t="s">
        <v>293</v>
      </c>
      <c r="AX38">
        <f t="shared" si="1"/>
        <v>3</v>
      </c>
      <c r="AY38">
        <f t="shared" si="2"/>
        <v>3</v>
      </c>
      <c r="AZ38">
        <f t="shared" si="3"/>
        <v>3</v>
      </c>
      <c r="BB38">
        <f t="shared" si="4"/>
        <v>1</v>
      </c>
      <c r="BC38">
        <f t="shared" si="5"/>
        <v>8</v>
      </c>
      <c r="BD38">
        <f t="shared" si="6"/>
        <v>0</v>
      </c>
      <c r="BE38">
        <f t="shared" si="7"/>
        <v>4</v>
      </c>
      <c r="BF38">
        <f t="shared" si="8"/>
        <v>1</v>
      </c>
      <c r="BG38">
        <f t="shared" si="9"/>
        <v>1</v>
      </c>
      <c r="BH38">
        <f t="shared" si="10"/>
        <v>1</v>
      </c>
      <c r="BI38">
        <f t="shared" si="11"/>
        <v>2</v>
      </c>
      <c r="BK38">
        <f t="shared" si="12"/>
        <v>8</v>
      </c>
    </row>
    <row r="39" spans="1:63" ht="28.8" x14ac:dyDescent="0.3">
      <c r="A39" s="1">
        <v>45602.501493055555</v>
      </c>
      <c r="B39" s="1">
        <v>45602.502835648149</v>
      </c>
      <c r="C39">
        <v>0</v>
      </c>
      <c r="D39" s="2" t="s">
        <v>172</v>
      </c>
      <c r="E39">
        <v>100</v>
      </c>
      <c r="F39">
        <v>115</v>
      </c>
      <c r="G39">
        <v>1</v>
      </c>
      <c r="H39" s="1">
        <v>45602.502844282404</v>
      </c>
      <c r="I39" s="2" t="s">
        <v>173</v>
      </c>
      <c r="J39" s="2" t="s">
        <v>82</v>
      </c>
      <c r="K39" s="2" t="s">
        <v>82</v>
      </c>
      <c r="L39" s="2" t="s">
        <v>82</v>
      </c>
      <c r="M39" s="2" t="s">
        <v>82</v>
      </c>
      <c r="N39">
        <v>39.290900000000001</v>
      </c>
      <c r="O39">
        <v>-76.6096</v>
      </c>
      <c r="P39" s="2" t="s">
        <v>83</v>
      </c>
      <c r="Q39" s="2" t="s">
        <v>84</v>
      </c>
      <c r="R39">
        <v>2</v>
      </c>
      <c r="S39" s="2" t="s">
        <v>85</v>
      </c>
      <c r="T39">
        <v>4</v>
      </c>
      <c r="U39">
        <v>1</v>
      </c>
      <c r="V39" s="2" t="s">
        <v>82</v>
      </c>
      <c r="W39" s="2" t="s">
        <v>111</v>
      </c>
      <c r="X39" s="2" t="s">
        <v>82</v>
      </c>
      <c r="Y39">
        <v>2</v>
      </c>
      <c r="Z39">
        <v>2</v>
      </c>
      <c r="AA39">
        <v>5</v>
      </c>
      <c r="AB39">
        <v>3</v>
      </c>
      <c r="AC39">
        <v>1</v>
      </c>
      <c r="AD39">
        <v>3</v>
      </c>
      <c r="AE39">
        <v>3</v>
      </c>
      <c r="AF39">
        <v>1</v>
      </c>
      <c r="AG39" s="2" t="s">
        <v>82</v>
      </c>
      <c r="AH39">
        <v>1</v>
      </c>
      <c r="AI39">
        <v>4</v>
      </c>
      <c r="AJ39">
        <v>2</v>
      </c>
      <c r="AK39">
        <v>2</v>
      </c>
      <c r="AL39">
        <v>3</v>
      </c>
      <c r="AM39">
        <v>2</v>
      </c>
      <c r="AN39">
        <v>3</v>
      </c>
      <c r="AO39">
        <v>3</v>
      </c>
      <c r="AP39">
        <v>2</v>
      </c>
      <c r="AQ39">
        <v>1</v>
      </c>
      <c r="AS39">
        <f t="shared" si="0"/>
        <v>21</v>
      </c>
      <c r="AT39" s="2" t="s">
        <v>291</v>
      </c>
      <c r="AX39">
        <f t="shared" si="1"/>
        <v>2</v>
      </c>
      <c r="AY39">
        <f t="shared" si="2"/>
        <v>2</v>
      </c>
      <c r="AZ39">
        <f t="shared" si="3"/>
        <v>3</v>
      </c>
      <c r="BB39">
        <f t="shared" si="4"/>
        <v>1</v>
      </c>
      <c r="BC39">
        <f t="shared" si="5"/>
        <v>1</v>
      </c>
      <c r="BD39">
        <f t="shared" si="6"/>
        <v>0</v>
      </c>
      <c r="BE39">
        <f t="shared" si="7"/>
        <v>4</v>
      </c>
      <c r="BF39">
        <f t="shared" si="8"/>
        <v>2</v>
      </c>
      <c r="BG39">
        <f t="shared" si="9"/>
        <v>3</v>
      </c>
      <c r="BH39">
        <f t="shared" si="10"/>
        <v>3</v>
      </c>
      <c r="BI39">
        <f t="shared" si="11"/>
        <v>5</v>
      </c>
      <c r="BK39">
        <f t="shared" si="12"/>
        <v>1</v>
      </c>
    </row>
    <row r="40" spans="1:63" ht="28.8" x14ac:dyDescent="0.3">
      <c r="A40" s="1">
        <v>45602.512129629627</v>
      </c>
      <c r="B40" s="1">
        <v>45602.513437499998</v>
      </c>
      <c r="C40">
        <v>0</v>
      </c>
      <c r="D40" s="2" t="s">
        <v>174</v>
      </c>
      <c r="E40">
        <v>100</v>
      </c>
      <c r="F40">
        <v>113</v>
      </c>
      <c r="G40">
        <v>1</v>
      </c>
      <c r="H40" s="1">
        <v>45602.513450671293</v>
      </c>
      <c r="I40" s="2" t="s">
        <v>175</v>
      </c>
      <c r="J40" s="2" t="s">
        <v>82</v>
      </c>
      <c r="K40" s="2" t="s">
        <v>82</v>
      </c>
      <c r="L40" s="2" t="s">
        <v>82</v>
      </c>
      <c r="M40" s="2" t="s">
        <v>82</v>
      </c>
      <c r="N40">
        <v>45.493600000000001</v>
      </c>
      <c r="O40">
        <v>9.1173000000000002</v>
      </c>
      <c r="P40" s="2" t="s">
        <v>83</v>
      </c>
      <c r="Q40" s="2" t="s">
        <v>84</v>
      </c>
      <c r="R40">
        <v>2</v>
      </c>
      <c r="S40" s="2" t="s">
        <v>119</v>
      </c>
      <c r="T40">
        <v>3</v>
      </c>
      <c r="U40">
        <v>4</v>
      </c>
      <c r="V40" s="2" t="s">
        <v>82</v>
      </c>
      <c r="W40" s="2" t="s">
        <v>95</v>
      </c>
      <c r="X40" s="2" t="s">
        <v>82</v>
      </c>
      <c r="Y40">
        <v>2</v>
      </c>
      <c r="Z40">
        <v>3</v>
      </c>
      <c r="AA40">
        <v>7</v>
      </c>
      <c r="AB40">
        <v>4</v>
      </c>
      <c r="AC40">
        <v>1</v>
      </c>
      <c r="AD40">
        <v>1</v>
      </c>
      <c r="AE40">
        <v>5</v>
      </c>
      <c r="AF40">
        <v>1</v>
      </c>
      <c r="AG40" s="2" t="s">
        <v>82</v>
      </c>
      <c r="AH40">
        <v>5</v>
      </c>
      <c r="AI40">
        <v>1</v>
      </c>
      <c r="AJ40">
        <v>1</v>
      </c>
      <c r="AK40">
        <v>1</v>
      </c>
      <c r="AL40">
        <v>2</v>
      </c>
      <c r="AM40">
        <v>1</v>
      </c>
      <c r="AN40">
        <v>2</v>
      </c>
      <c r="AO40">
        <v>3</v>
      </c>
      <c r="AP40">
        <v>1</v>
      </c>
      <c r="AQ40">
        <v>1</v>
      </c>
      <c r="AS40">
        <f t="shared" si="0"/>
        <v>20</v>
      </c>
      <c r="AT40" s="2" t="s">
        <v>291</v>
      </c>
      <c r="AX40">
        <f t="shared" si="1"/>
        <v>2</v>
      </c>
      <c r="AY40">
        <f t="shared" si="2"/>
        <v>3</v>
      </c>
      <c r="AZ40">
        <f t="shared" si="3"/>
        <v>5</v>
      </c>
      <c r="BB40">
        <f t="shared" si="4"/>
        <v>1</v>
      </c>
      <c r="BC40">
        <f t="shared" si="5"/>
        <v>4</v>
      </c>
      <c r="BD40">
        <f t="shared" si="6"/>
        <v>1</v>
      </c>
      <c r="BE40">
        <f t="shared" si="7"/>
        <v>1</v>
      </c>
      <c r="BF40">
        <f t="shared" si="8"/>
        <v>1</v>
      </c>
      <c r="BG40">
        <f t="shared" si="9"/>
        <v>2</v>
      </c>
      <c r="BH40">
        <f t="shared" si="10"/>
        <v>3</v>
      </c>
      <c r="BI40">
        <f t="shared" si="11"/>
        <v>7</v>
      </c>
      <c r="BK40">
        <f t="shared" si="12"/>
        <v>4</v>
      </c>
    </row>
    <row r="41" spans="1:63" ht="28.8" x14ac:dyDescent="0.3">
      <c r="A41" s="1">
        <v>45602.514131944445</v>
      </c>
      <c r="B41" s="1">
        <v>45602.515798611108</v>
      </c>
      <c r="C41">
        <v>0</v>
      </c>
      <c r="D41" s="2" t="s">
        <v>176</v>
      </c>
      <c r="E41">
        <v>100</v>
      </c>
      <c r="F41">
        <v>143</v>
      </c>
      <c r="G41">
        <v>1</v>
      </c>
      <c r="H41" s="1">
        <v>45602.515811064812</v>
      </c>
      <c r="I41" s="2" t="s">
        <v>177</v>
      </c>
      <c r="J41" s="2" t="s">
        <v>82</v>
      </c>
      <c r="K41" s="2" t="s">
        <v>82</v>
      </c>
      <c r="L41" s="2" t="s">
        <v>82</v>
      </c>
      <c r="M41" s="2" t="s">
        <v>82</v>
      </c>
      <c r="N41">
        <v>42.389400000000002</v>
      </c>
      <c r="O41">
        <v>-72.526499999999999</v>
      </c>
      <c r="P41" s="2" t="s">
        <v>83</v>
      </c>
      <c r="Q41" s="2" t="s">
        <v>84</v>
      </c>
      <c r="R41">
        <v>2</v>
      </c>
      <c r="S41" s="2" t="s">
        <v>106</v>
      </c>
      <c r="T41">
        <v>4</v>
      </c>
      <c r="U41">
        <v>1</v>
      </c>
      <c r="V41" s="2" t="s">
        <v>82</v>
      </c>
      <c r="W41" s="2" t="s">
        <v>97</v>
      </c>
      <c r="X41" s="2" t="s">
        <v>82</v>
      </c>
      <c r="Y41">
        <v>3</v>
      </c>
      <c r="Z41">
        <v>2</v>
      </c>
      <c r="AA41">
        <v>5</v>
      </c>
      <c r="AB41">
        <v>3</v>
      </c>
      <c r="AC41">
        <v>1</v>
      </c>
      <c r="AD41">
        <v>2</v>
      </c>
      <c r="AE41">
        <v>2</v>
      </c>
      <c r="AF41">
        <v>2</v>
      </c>
      <c r="AG41" s="2" t="s">
        <v>82</v>
      </c>
      <c r="AH41">
        <v>3</v>
      </c>
      <c r="AI41">
        <v>3</v>
      </c>
      <c r="AJ41">
        <v>2</v>
      </c>
      <c r="AK41">
        <v>1</v>
      </c>
      <c r="AL41">
        <v>4</v>
      </c>
      <c r="AM41">
        <v>1</v>
      </c>
      <c r="AN41">
        <v>2</v>
      </c>
      <c r="AO41">
        <v>3</v>
      </c>
      <c r="AP41">
        <v>2</v>
      </c>
      <c r="AQ41">
        <v>2</v>
      </c>
      <c r="AS41">
        <f t="shared" si="0"/>
        <v>22</v>
      </c>
      <c r="AT41" s="2" t="s">
        <v>293</v>
      </c>
      <c r="AX41">
        <f t="shared" si="1"/>
        <v>3</v>
      </c>
      <c r="AY41">
        <f t="shared" si="2"/>
        <v>2</v>
      </c>
      <c r="AZ41">
        <f t="shared" si="3"/>
        <v>2</v>
      </c>
      <c r="BB41">
        <f t="shared" si="4"/>
        <v>2</v>
      </c>
      <c r="BC41">
        <f t="shared" si="5"/>
        <v>1</v>
      </c>
      <c r="BD41">
        <f t="shared" si="6"/>
        <v>-1</v>
      </c>
      <c r="BE41">
        <f t="shared" si="7"/>
        <v>3</v>
      </c>
      <c r="BF41">
        <f t="shared" si="8"/>
        <v>2</v>
      </c>
      <c r="BG41">
        <f t="shared" si="9"/>
        <v>2</v>
      </c>
      <c r="BH41">
        <f t="shared" si="10"/>
        <v>3</v>
      </c>
      <c r="BI41">
        <f t="shared" si="11"/>
        <v>5</v>
      </c>
      <c r="BK41">
        <f t="shared" si="12"/>
        <v>1</v>
      </c>
    </row>
    <row r="42" spans="1:63" ht="28.8" x14ac:dyDescent="0.3">
      <c r="A42" s="1">
        <v>45602.519837962966</v>
      </c>
      <c r="B42" s="1">
        <v>45602.521678240744</v>
      </c>
      <c r="C42">
        <v>0</v>
      </c>
      <c r="D42" s="2" t="s">
        <v>178</v>
      </c>
      <c r="E42">
        <v>100</v>
      </c>
      <c r="F42">
        <v>158</v>
      </c>
      <c r="G42">
        <v>1</v>
      </c>
      <c r="H42" s="1">
        <v>45602.521687881941</v>
      </c>
      <c r="I42" s="2" t="s">
        <v>179</v>
      </c>
      <c r="J42" s="2" t="s">
        <v>82</v>
      </c>
      <c r="K42" s="2" t="s">
        <v>82</v>
      </c>
      <c r="L42" s="2" t="s">
        <v>82</v>
      </c>
      <c r="M42" s="2" t="s">
        <v>82</v>
      </c>
      <c r="N42">
        <v>44.482900000000001</v>
      </c>
      <c r="O42">
        <v>-73.225300000000004</v>
      </c>
      <c r="P42" s="2" t="s">
        <v>83</v>
      </c>
      <c r="Q42" s="2" t="s">
        <v>84</v>
      </c>
      <c r="R42">
        <v>2</v>
      </c>
      <c r="S42" s="2" t="s">
        <v>119</v>
      </c>
      <c r="T42">
        <v>1</v>
      </c>
      <c r="U42">
        <v>10</v>
      </c>
      <c r="V42" s="2" t="s">
        <v>82</v>
      </c>
      <c r="W42" s="2" t="s">
        <v>103</v>
      </c>
      <c r="X42" s="2" t="s">
        <v>82</v>
      </c>
      <c r="Y42">
        <v>2</v>
      </c>
      <c r="Z42">
        <v>2</v>
      </c>
      <c r="AA42">
        <v>1</v>
      </c>
      <c r="AB42">
        <v>1</v>
      </c>
      <c r="AC42">
        <v>2</v>
      </c>
      <c r="AD42">
        <v>3</v>
      </c>
      <c r="AE42">
        <v>3</v>
      </c>
      <c r="AF42">
        <v>1</v>
      </c>
      <c r="AG42" s="2" t="s">
        <v>82</v>
      </c>
      <c r="AH42">
        <v>5</v>
      </c>
      <c r="AI42">
        <v>5</v>
      </c>
      <c r="AJ42">
        <v>1</v>
      </c>
      <c r="AK42">
        <v>1</v>
      </c>
      <c r="AL42">
        <v>5</v>
      </c>
      <c r="AM42">
        <v>5</v>
      </c>
      <c r="AN42">
        <v>1</v>
      </c>
      <c r="AO42">
        <v>1</v>
      </c>
      <c r="AP42">
        <v>2</v>
      </c>
      <c r="AQ42">
        <v>1</v>
      </c>
      <c r="AS42">
        <f t="shared" si="0"/>
        <v>20</v>
      </c>
      <c r="AT42" s="2" t="s">
        <v>291</v>
      </c>
      <c r="AX42">
        <f t="shared" si="1"/>
        <v>2</v>
      </c>
      <c r="AY42">
        <f t="shared" si="2"/>
        <v>2</v>
      </c>
      <c r="AZ42">
        <f t="shared" si="3"/>
        <v>3</v>
      </c>
      <c r="BB42">
        <f t="shared" si="4"/>
        <v>1</v>
      </c>
      <c r="BC42">
        <f t="shared" si="5"/>
        <v>10</v>
      </c>
      <c r="BD42">
        <f t="shared" si="6"/>
        <v>0</v>
      </c>
      <c r="BE42">
        <f t="shared" si="7"/>
        <v>5</v>
      </c>
      <c r="BF42">
        <f t="shared" si="8"/>
        <v>1</v>
      </c>
      <c r="BG42">
        <f t="shared" si="9"/>
        <v>1</v>
      </c>
      <c r="BH42">
        <f t="shared" si="10"/>
        <v>1</v>
      </c>
      <c r="BI42">
        <f t="shared" si="11"/>
        <v>1</v>
      </c>
      <c r="BK42">
        <f t="shared" si="12"/>
        <v>10</v>
      </c>
    </row>
    <row r="43" spans="1:63" ht="40.799999999999997" customHeight="1" x14ac:dyDescent="0.3">
      <c r="A43" s="1">
        <v>45602.520509259259</v>
      </c>
      <c r="B43" s="1">
        <v>45602.522268518522</v>
      </c>
      <c r="C43">
        <v>0</v>
      </c>
      <c r="D43" s="2" t="s">
        <v>180</v>
      </c>
      <c r="E43">
        <v>100</v>
      </c>
      <c r="F43">
        <v>151</v>
      </c>
      <c r="G43">
        <v>1</v>
      </c>
      <c r="H43" s="1">
        <v>45602.522281655096</v>
      </c>
      <c r="I43" s="2" t="s">
        <v>181</v>
      </c>
      <c r="J43" s="2" t="s">
        <v>82</v>
      </c>
      <c r="K43" s="2" t="s">
        <v>82</v>
      </c>
      <c r="L43" s="2" t="s">
        <v>82</v>
      </c>
      <c r="M43" s="2" t="s">
        <v>82</v>
      </c>
      <c r="N43">
        <v>40.680100000000003</v>
      </c>
      <c r="O43">
        <v>-73.984700000000004</v>
      </c>
      <c r="P43" s="2" t="s">
        <v>83</v>
      </c>
      <c r="Q43" s="2" t="s">
        <v>84</v>
      </c>
      <c r="R43">
        <v>2</v>
      </c>
      <c r="S43" s="2" t="s">
        <v>100</v>
      </c>
      <c r="T43">
        <v>2</v>
      </c>
      <c r="U43">
        <v>10</v>
      </c>
      <c r="V43" s="2" t="s">
        <v>182</v>
      </c>
      <c r="W43" s="2" t="s">
        <v>95</v>
      </c>
      <c r="X43" s="2" t="s">
        <v>82</v>
      </c>
      <c r="Y43">
        <v>3</v>
      </c>
      <c r="Z43">
        <v>3</v>
      </c>
      <c r="AA43">
        <v>2</v>
      </c>
      <c r="AB43">
        <v>1</v>
      </c>
      <c r="AC43">
        <v>3</v>
      </c>
      <c r="AD43">
        <v>3</v>
      </c>
      <c r="AE43">
        <v>2</v>
      </c>
      <c r="AF43">
        <v>1</v>
      </c>
      <c r="AG43" s="2" t="s">
        <v>82</v>
      </c>
      <c r="AH43">
        <v>1</v>
      </c>
      <c r="AI43">
        <v>4</v>
      </c>
      <c r="AJ43">
        <v>1</v>
      </c>
      <c r="AK43">
        <v>3</v>
      </c>
      <c r="AL43">
        <v>2</v>
      </c>
      <c r="AM43">
        <v>2</v>
      </c>
      <c r="AN43">
        <v>5</v>
      </c>
      <c r="AO43">
        <v>5</v>
      </c>
      <c r="AP43">
        <v>4</v>
      </c>
      <c r="AQ43">
        <v>2</v>
      </c>
      <c r="AS43">
        <f t="shared" si="0"/>
        <v>19</v>
      </c>
      <c r="AT43" s="2" t="s">
        <v>293</v>
      </c>
      <c r="AX43">
        <f t="shared" si="1"/>
        <v>3</v>
      </c>
      <c r="AY43">
        <f t="shared" si="2"/>
        <v>3</v>
      </c>
      <c r="AZ43">
        <f t="shared" si="3"/>
        <v>2</v>
      </c>
      <c r="BB43">
        <f t="shared" si="4"/>
        <v>1</v>
      </c>
      <c r="BC43">
        <f t="shared" si="5"/>
        <v>10</v>
      </c>
      <c r="BD43">
        <f t="shared" si="6"/>
        <v>0</v>
      </c>
      <c r="BE43">
        <f t="shared" si="7"/>
        <v>4</v>
      </c>
      <c r="BF43">
        <f t="shared" si="8"/>
        <v>1</v>
      </c>
      <c r="BG43">
        <f t="shared" si="9"/>
        <v>5</v>
      </c>
      <c r="BH43">
        <f t="shared" si="10"/>
        <v>5</v>
      </c>
      <c r="BI43">
        <f t="shared" si="11"/>
        <v>2</v>
      </c>
      <c r="BK43">
        <f t="shared" si="12"/>
        <v>10</v>
      </c>
    </row>
    <row r="44" spans="1:63" ht="28.8" x14ac:dyDescent="0.3">
      <c r="A44" s="1">
        <v>45602.537164351852</v>
      </c>
      <c r="B44" s="1">
        <v>45602.538298611114</v>
      </c>
      <c r="C44">
        <v>0</v>
      </c>
      <c r="D44" s="2" t="s">
        <v>183</v>
      </c>
      <c r="E44">
        <v>100</v>
      </c>
      <c r="F44">
        <v>98</v>
      </c>
      <c r="G44">
        <v>1</v>
      </c>
      <c r="H44" s="1">
        <v>45602.538317372688</v>
      </c>
      <c r="I44" s="2" t="s">
        <v>184</v>
      </c>
      <c r="J44" s="2" t="s">
        <v>82</v>
      </c>
      <c r="K44" s="2" t="s">
        <v>82</v>
      </c>
      <c r="L44" s="2" t="s">
        <v>82</v>
      </c>
      <c r="M44" s="2" t="s">
        <v>82</v>
      </c>
      <c r="N44">
        <v>42.077399999999997</v>
      </c>
      <c r="O44">
        <v>-71.044600000000003</v>
      </c>
      <c r="P44" s="2" t="s">
        <v>83</v>
      </c>
      <c r="Q44" s="2" t="s">
        <v>84</v>
      </c>
      <c r="R44">
        <v>2</v>
      </c>
      <c r="S44" s="2" t="s">
        <v>119</v>
      </c>
      <c r="T44">
        <v>3</v>
      </c>
      <c r="U44">
        <v>10</v>
      </c>
      <c r="V44" s="2" t="s">
        <v>82</v>
      </c>
      <c r="W44" s="2" t="s">
        <v>185</v>
      </c>
      <c r="X44" s="2" t="s">
        <v>82</v>
      </c>
      <c r="Y44">
        <v>2</v>
      </c>
      <c r="Z44">
        <v>3</v>
      </c>
      <c r="AA44">
        <v>5</v>
      </c>
      <c r="AB44">
        <v>2</v>
      </c>
      <c r="AC44">
        <v>1</v>
      </c>
      <c r="AD44">
        <v>1</v>
      </c>
      <c r="AE44">
        <v>2</v>
      </c>
      <c r="AF44">
        <v>1</v>
      </c>
      <c r="AG44" s="2" t="s">
        <v>82</v>
      </c>
      <c r="AH44">
        <v>1</v>
      </c>
      <c r="AI44">
        <v>5</v>
      </c>
      <c r="AJ44">
        <v>1</v>
      </c>
      <c r="AK44">
        <v>1</v>
      </c>
      <c r="AL44">
        <v>2</v>
      </c>
      <c r="AM44">
        <v>4</v>
      </c>
      <c r="AN44">
        <v>4</v>
      </c>
      <c r="AO44">
        <v>3</v>
      </c>
      <c r="AP44">
        <v>2</v>
      </c>
      <c r="AQ44">
        <v>1</v>
      </c>
      <c r="AS44">
        <f t="shared" si="0"/>
        <v>20</v>
      </c>
      <c r="AT44" s="2" t="s">
        <v>291</v>
      </c>
      <c r="AX44">
        <f t="shared" si="1"/>
        <v>2</v>
      </c>
      <c r="AY44">
        <f t="shared" si="2"/>
        <v>3</v>
      </c>
      <c r="AZ44">
        <f t="shared" si="3"/>
        <v>2</v>
      </c>
      <c r="BB44">
        <f t="shared" si="4"/>
        <v>1</v>
      </c>
      <c r="BC44">
        <f t="shared" si="5"/>
        <v>10</v>
      </c>
      <c r="BD44">
        <f t="shared" si="6"/>
        <v>1</v>
      </c>
      <c r="BE44">
        <f t="shared" si="7"/>
        <v>5</v>
      </c>
      <c r="BF44">
        <f t="shared" si="8"/>
        <v>1</v>
      </c>
      <c r="BG44">
        <f t="shared" si="9"/>
        <v>4</v>
      </c>
      <c r="BH44">
        <f t="shared" si="10"/>
        <v>3</v>
      </c>
      <c r="BI44">
        <f t="shared" si="11"/>
        <v>5</v>
      </c>
      <c r="BK44">
        <f t="shared" si="12"/>
        <v>10</v>
      </c>
    </row>
    <row r="45" spans="1:63" ht="28.8" x14ac:dyDescent="0.3">
      <c r="A45" s="1">
        <v>45602.576284722221</v>
      </c>
      <c r="B45" s="1">
        <v>45602.577557870369</v>
      </c>
      <c r="C45">
        <v>0</v>
      </c>
      <c r="D45" s="2" t="s">
        <v>186</v>
      </c>
      <c r="E45">
        <v>100</v>
      </c>
      <c r="F45">
        <v>109</v>
      </c>
      <c r="G45">
        <v>1</v>
      </c>
      <c r="H45" s="1">
        <v>45602.577567048611</v>
      </c>
      <c r="I45" s="2" t="s">
        <v>187</v>
      </c>
      <c r="J45" s="2" t="s">
        <v>82</v>
      </c>
      <c r="K45" s="2" t="s">
        <v>82</v>
      </c>
      <c r="L45" s="2" t="s">
        <v>82</v>
      </c>
      <c r="M45" s="2" t="s">
        <v>82</v>
      </c>
      <c r="N45">
        <v>41.538200000000003</v>
      </c>
      <c r="O45">
        <v>-72.800799999999995</v>
      </c>
      <c r="P45" s="2" t="s">
        <v>83</v>
      </c>
      <c r="Q45" s="2" t="s">
        <v>84</v>
      </c>
      <c r="R45">
        <v>2</v>
      </c>
      <c r="S45" s="2" t="s">
        <v>85</v>
      </c>
      <c r="T45">
        <v>4</v>
      </c>
      <c r="U45">
        <v>6</v>
      </c>
      <c r="V45" s="2" t="s">
        <v>82</v>
      </c>
      <c r="W45" s="2" t="s">
        <v>97</v>
      </c>
      <c r="X45" s="2" t="s">
        <v>82</v>
      </c>
      <c r="Y45">
        <v>3</v>
      </c>
      <c r="Z45">
        <v>4</v>
      </c>
      <c r="AA45">
        <v>8</v>
      </c>
      <c r="AB45">
        <v>2</v>
      </c>
      <c r="AC45">
        <v>1</v>
      </c>
      <c r="AD45">
        <v>3</v>
      </c>
      <c r="AE45">
        <v>3</v>
      </c>
      <c r="AF45">
        <v>1</v>
      </c>
      <c r="AG45" s="2" t="s">
        <v>82</v>
      </c>
      <c r="AH45">
        <v>1</v>
      </c>
      <c r="AI45">
        <v>2</v>
      </c>
      <c r="AJ45">
        <v>1</v>
      </c>
      <c r="AK45">
        <v>1</v>
      </c>
      <c r="AL45">
        <v>4</v>
      </c>
      <c r="AM45">
        <v>2</v>
      </c>
      <c r="AN45">
        <v>1</v>
      </c>
      <c r="AO45">
        <v>1</v>
      </c>
      <c r="AP45">
        <v>3</v>
      </c>
      <c r="AQ45">
        <v>1</v>
      </c>
      <c r="AS45">
        <f t="shared" si="0"/>
        <v>21</v>
      </c>
      <c r="AT45" s="2" t="s">
        <v>293</v>
      </c>
      <c r="AX45">
        <f t="shared" si="1"/>
        <v>3</v>
      </c>
      <c r="AY45">
        <f t="shared" si="2"/>
        <v>4</v>
      </c>
      <c r="AZ45">
        <f t="shared" si="3"/>
        <v>3</v>
      </c>
      <c r="BB45">
        <f t="shared" si="4"/>
        <v>1</v>
      </c>
      <c r="BC45">
        <f t="shared" si="5"/>
        <v>6</v>
      </c>
      <c r="BD45">
        <f t="shared" si="6"/>
        <v>1</v>
      </c>
      <c r="BE45">
        <f t="shared" si="7"/>
        <v>2</v>
      </c>
      <c r="BF45">
        <f t="shared" si="8"/>
        <v>1</v>
      </c>
      <c r="BG45">
        <f t="shared" si="9"/>
        <v>1</v>
      </c>
      <c r="BH45">
        <f t="shared" si="10"/>
        <v>1</v>
      </c>
      <c r="BI45">
        <f t="shared" si="11"/>
        <v>8</v>
      </c>
      <c r="BK45">
        <f t="shared" si="12"/>
        <v>6</v>
      </c>
    </row>
    <row r="46" spans="1:63" ht="28.8" x14ac:dyDescent="0.3">
      <c r="A46" s="1">
        <v>45602.612824074073</v>
      </c>
      <c r="B46" s="1">
        <v>45602.614236111112</v>
      </c>
      <c r="C46">
        <v>0</v>
      </c>
      <c r="D46" s="2" t="s">
        <v>188</v>
      </c>
      <c r="E46">
        <v>100</v>
      </c>
      <c r="F46">
        <v>122</v>
      </c>
      <c r="G46">
        <v>1</v>
      </c>
      <c r="H46" s="1">
        <v>45602.614253344909</v>
      </c>
      <c r="I46" s="2" t="s">
        <v>189</v>
      </c>
      <c r="J46" s="2" t="s">
        <v>82</v>
      </c>
      <c r="K46" s="2" t="s">
        <v>82</v>
      </c>
      <c r="L46" s="2" t="s">
        <v>82</v>
      </c>
      <c r="M46" s="2" t="s">
        <v>82</v>
      </c>
      <c r="N46">
        <v>41.796500000000002</v>
      </c>
      <c r="O46">
        <v>-71.430400000000006</v>
      </c>
      <c r="P46" s="2" t="s">
        <v>83</v>
      </c>
      <c r="Q46" s="2" t="s">
        <v>84</v>
      </c>
      <c r="R46">
        <v>2</v>
      </c>
      <c r="S46" s="2" t="s">
        <v>119</v>
      </c>
      <c r="T46">
        <v>2</v>
      </c>
      <c r="U46">
        <v>6</v>
      </c>
      <c r="V46" s="2" t="s">
        <v>82</v>
      </c>
      <c r="W46" s="2" t="s">
        <v>190</v>
      </c>
      <c r="X46" s="2" t="s">
        <v>82</v>
      </c>
      <c r="Y46">
        <v>3</v>
      </c>
      <c r="Z46">
        <v>3</v>
      </c>
      <c r="AA46">
        <v>5</v>
      </c>
      <c r="AB46">
        <v>1</v>
      </c>
      <c r="AC46">
        <v>1</v>
      </c>
      <c r="AD46">
        <v>2</v>
      </c>
      <c r="AE46">
        <v>4</v>
      </c>
      <c r="AF46">
        <v>2</v>
      </c>
      <c r="AG46" s="2" t="s">
        <v>82</v>
      </c>
      <c r="AH46">
        <v>5</v>
      </c>
      <c r="AI46">
        <v>2</v>
      </c>
      <c r="AJ46">
        <v>2</v>
      </c>
      <c r="AK46">
        <v>2</v>
      </c>
      <c r="AL46">
        <v>4</v>
      </c>
      <c r="AM46">
        <v>3</v>
      </c>
      <c r="AN46">
        <v>2</v>
      </c>
      <c r="AO46">
        <v>2</v>
      </c>
      <c r="AP46">
        <v>2</v>
      </c>
      <c r="AQ46">
        <v>1</v>
      </c>
      <c r="AS46">
        <f t="shared" si="0"/>
        <v>20</v>
      </c>
      <c r="AT46" s="2" t="s">
        <v>293</v>
      </c>
      <c r="AX46">
        <f t="shared" si="1"/>
        <v>3</v>
      </c>
      <c r="AY46">
        <f t="shared" si="2"/>
        <v>3</v>
      </c>
      <c r="AZ46">
        <f t="shared" si="3"/>
        <v>4</v>
      </c>
      <c r="BB46">
        <f t="shared" si="4"/>
        <v>2</v>
      </c>
      <c r="BC46">
        <f t="shared" si="5"/>
        <v>6</v>
      </c>
      <c r="BD46">
        <f t="shared" si="6"/>
        <v>0</v>
      </c>
      <c r="BE46">
        <f t="shared" si="7"/>
        <v>2</v>
      </c>
      <c r="BF46">
        <f t="shared" si="8"/>
        <v>2</v>
      </c>
      <c r="BG46">
        <f t="shared" si="9"/>
        <v>2</v>
      </c>
      <c r="BH46">
        <f t="shared" si="10"/>
        <v>2</v>
      </c>
      <c r="BI46">
        <f t="shared" si="11"/>
        <v>5</v>
      </c>
      <c r="BK46">
        <f t="shared" si="12"/>
        <v>6</v>
      </c>
    </row>
    <row r="47" spans="1:63" ht="28.8" x14ac:dyDescent="0.3">
      <c r="A47" s="1">
        <v>45602.612407407411</v>
      </c>
      <c r="B47" s="1">
        <v>45602.634247685186</v>
      </c>
      <c r="C47">
        <v>0</v>
      </c>
      <c r="D47" s="2" t="s">
        <v>191</v>
      </c>
      <c r="E47">
        <v>100</v>
      </c>
      <c r="F47">
        <v>1887</v>
      </c>
      <c r="G47">
        <v>1</v>
      </c>
      <c r="H47" s="1">
        <v>45602.634259351849</v>
      </c>
      <c r="I47" s="2" t="s">
        <v>192</v>
      </c>
      <c r="J47" s="2" t="s">
        <v>82</v>
      </c>
      <c r="K47" s="2" t="s">
        <v>82</v>
      </c>
      <c r="L47" s="2" t="s">
        <v>82</v>
      </c>
      <c r="M47" s="2" t="s">
        <v>82</v>
      </c>
      <c r="N47">
        <v>42.389400000000002</v>
      </c>
      <c r="O47">
        <v>-72.526499999999999</v>
      </c>
      <c r="P47" s="2" t="s">
        <v>83</v>
      </c>
      <c r="Q47" s="2" t="s">
        <v>84</v>
      </c>
      <c r="R47">
        <v>2</v>
      </c>
      <c r="S47" s="2" t="s">
        <v>119</v>
      </c>
      <c r="T47">
        <v>3</v>
      </c>
      <c r="U47">
        <v>4</v>
      </c>
      <c r="V47" s="2" t="s">
        <v>82</v>
      </c>
      <c r="W47" s="2" t="s">
        <v>103</v>
      </c>
      <c r="X47" s="2" t="s">
        <v>82</v>
      </c>
      <c r="Y47">
        <v>2</v>
      </c>
      <c r="Z47">
        <v>2</v>
      </c>
      <c r="AA47">
        <v>6</v>
      </c>
      <c r="AB47">
        <v>3</v>
      </c>
      <c r="AC47">
        <v>1</v>
      </c>
      <c r="AD47">
        <v>2</v>
      </c>
      <c r="AE47">
        <v>3</v>
      </c>
      <c r="AF47">
        <v>1</v>
      </c>
      <c r="AG47" s="2" t="s">
        <v>82</v>
      </c>
      <c r="AH47">
        <v>5</v>
      </c>
      <c r="AI47">
        <v>2</v>
      </c>
      <c r="AJ47">
        <v>1</v>
      </c>
      <c r="AK47">
        <v>1</v>
      </c>
      <c r="AL47">
        <v>4</v>
      </c>
      <c r="AM47">
        <v>3</v>
      </c>
      <c r="AN47">
        <v>3</v>
      </c>
      <c r="AO47">
        <v>3</v>
      </c>
      <c r="AP47">
        <v>2</v>
      </c>
      <c r="AQ47">
        <v>2</v>
      </c>
      <c r="AS47">
        <f t="shared" si="0"/>
        <v>20</v>
      </c>
      <c r="AT47" s="2" t="s">
        <v>291</v>
      </c>
      <c r="AX47">
        <f t="shared" si="1"/>
        <v>2</v>
      </c>
      <c r="AY47">
        <f t="shared" si="2"/>
        <v>2</v>
      </c>
      <c r="AZ47">
        <f t="shared" si="3"/>
        <v>3</v>
      </c>
      <c r="BB47">
        <f t="shared" si="4"/>
        <v>1</v>
      </c>
      <c r="BC47">
        <f t="shared" si="5"/>
        <v>4</v>
      </c>
      <c r="BD47">
        <f t="shared" si="6"/>
        <v>0</v>
      </c>
      <c r="BE47">
        <f t="shared" si="7"/>
        <v>2</v>
      </c>
      <c r="BF47">
        <f t="shared" si="8"/>
        <v>1</v>
      </c>
      <c r="BG47">
        <f t="shared" si="9"/>
        <v>3</v>
      </c>
      <c r="BH47">
        <f t="shared" si="10"/>
        <v>3</v>
      </c>
      <c r="BI47">
        <f t="shared" si="11"/>
        <v>6</v>
      </c>
      <c r="BK47">
        <f t="shared" si="12"/>
        <v>4</v>
      </c>
    </row>
    <row r="48" spans="1:63" ht="28.8" x14ac:dyDescent="0.3">
      <c r="A48" s="1">
        <v>45603.538645833331</v>
      </c>
      <c r="B48" s="1">
        <v>45603.543819444443</v>
      </c>
      <c r="C48">
        <v>0</v>
      </c>
      <c r="D48" s="2" t="s">
        <v>193</v>
      </c>
      <c r="E48">
        <v>100</v>
      </c>
      <c r="F48">
        <v>446</v>
      </c>
      <c r="G48">
        <v>1</v>
      </c>
      <c r="H48" s="1">
        <v>45603.543830763891</v>
      </c>
      <c r="I48" s="2" t="s">
        <v>194</v>
      </c>
      <c r="J48" s="2" t="s">
        <v>82</v>
      </c>
      <c r="K48" s="2" t="s">
        <v>82</v>
      </c>
      <c r="L48" s="2" t="s">
        <v>82</v>
      </c>
      <c r="M48" s="2" t="s">
        <v>82</v>
      </c>
      <c r="N48">
        <v>42.389400000000002</v>
      </c>
      <c r="O48">
        <v>-72.526499999999999</v>
      </c>
      <c r="P48" s="2" t="s">
        <v>83</v>
      </c>
      <c r="Q48" s="2" t="s">
        <v>84</v>
      </c>
      <c r="R48">
        <v>2</v>
      </c>
      <c r="S48" s="2" t="s">
        <v>119</v>
      </c>
      <c r="T48">
        <v>3</v>
      </c>
      <c r="U48">
        <v>4</v>
      </c>
      <c r="V48" s="2" t="s">
        <v>82</v>
      </c>
      <c r="W48" s="2" t="s">
        <v>95</v>
      </c>
      <c r="X48" s="2" t="s">
        <v>82</v>
      </c>
      <c r="Y48">
        <v>2</v>
      </c>
      <c r="Z48">
        <v>3</v>
      </c>
      <c r="AA48">
        <v>4</v>
      </c>
      <c r="AB48">
        <v>1</v>
      </c>
      <c r="AC48">
        <v>1</v>
      </c>
      <c r="AD48">
        <v>3</v>
      </c>
      <c r="AE48">
        <v>3</v>
      </c>
      <c r="AF48">
        <v>2</v>
      </c>
      <c r="AG48" s="2" t="s">
        <v>82</v>
      </c>
      <c r="AH48">
        <v>1</v>
      </c>
      <c r="AI48">
        <v>2</v>
      </c>
      <c r="AJ48">
        <v>1</v>
      </c>
      <c r="AK48">
        <v>1</v>
      </c>
      <c r="AL48">
        <v>5</v>
      </c>
      <c r="AM48">
        <v>4</v>
      </c>
      <c r="AN48">
        <v>1</v>
      </c>
      <c r="AO48">
        <v>4</v>
      </c>
      <c r="AP48">
        <v>2</v>
      </c>
      <c r="AQ48">
        <v>1</v>
      </c>
      <c r="AS48">
        <f t="shared" si="0"/>
        <v>20</v>
      </c>
      <c r="AT48" s="2" t="s">
        <v>291</v>
      </c>
      <c r="AX48">
        <f t="shared" si="1"/>
        <v>2</v>
      </c>
      <c r="AY48">
        <f t="shared" si="2"/>
        <v>3</v>
      </c>
      <c r="AZ48">
        <f t="shared" si="3"/>
        <v>3</v>
      </c>
      <c r="BB48">
        <f t="shared" si="4"/>
        <v>2</v>
      </c>
      <c r="BC48">
        <f t="shared" si="5"/>
        <v>4</v>
      </c>
      <c r="BD48">
        <f t="shared" si="6"/>
        <v>1</v>
      </c>
      <c r="BE48">
        <f t="shared" si="7"/>
        <v>2</v>
      </c>
      <c r="BF48">
        <f t="shared" si="8"/>
        <v>1</v>
      </c>
      <c r="BG48">
        <f t="shared" si="9"/>
        <v>1</v>
      </c>
      <c r="BH48">
        <f t="shared" si="10"/>
        <v>4</v>
      </c>
      <c r="BI48">
        <f t="shared" si="11"/>
        <v>4</v>
      </c>
      <c r="BK48">
        <f t="shared" si="12"/>
        <v>4</v>
      </c>
    </row>
    <row r="49" spans="1:63" ht="28.8" x14ac:dyDescent="0.3">
      <c r="A49" s="1">
        <v>45604.477372685185</v>
      </c>
      <c r="B49" s="1">
        <v>45604.478368055556</v>
      </c>
      <c r="C49">
        <v>0</v>
      </c>
      <c r="D49" s="2" t="s">
        <v>195</v>
      </c>
      <c r="E49">
        <v>100</v>
      </c>
      <c r="F49">
        <v>85</v>
      </c>
      <c r="G49">
        <v>1</v>
      </c>
      <c r="H49" s="1">
        <v>45604.478375868057</v>
      </c>
      <c r="I49" s="2" t="s">
        <v>196</v>
      </c>
      <c r="J49" s="2" t="s">
        <v>82</v>
      </c>
      <c r="K49" s="2" t="s">
        <v>82</v>
      </c>
      <c r="L49" s="2" t="s">
        <v>82</v>
      </c>
      <c r="M49" s="2" t="s">
        <v>82</v>
      </c>
      <c r="N49">
        <v>42.389400000000002</v>
      </c>
      <c r="O49">
        <v>-72.526499999999999</v>
      </c>
      <c r="P49" s="2" t="s">
        <v>83</v>
      </c>
      <c r="Q49" s="2" t="s">
        <v>84</v>
      </c>
      <c r="R49">
        <v>2</v>
      </c>
      <c r="S49" s="2" t="s">
        <v>119</v>
      </c>
      <c r="T49">
        <v>2</v>
      </c>
      <c r="U49">
        <v>7</v>
      </c>
      <c r="V49" s="2" t="s">
        <v>82</v>
      </c>
      <c r="W49" s="2" t="s">
        <v>92</v>
      </c>
      <c r="X49" s="2" t="s">
        <v>82</v>
      </c>
      <c r="Y49">
        <v>2</v>
      </c>
      <c r="Z49">
        <v>2</v>
      </c>
      <c r="AA49">
        <v>7</v>
      </c>
      <c r="AB49">
        <v>3</v>
      </c>
      <c r="AC49">
        <v>1</v>
      </c>
      <c r="AD49">
        <v>2</v>
      </c>
      <c r="AE49">
        <v>4</v>
      </c>
      <c r="AF49">
        <v>2</v>
      </c>
      <c r="AG49" s="2" t="s">
        <v>82</v>
      </c>
      <c r="AH49">
        <v>1</v>
      </c>
      <c r="AI49">
        <v>3</v>
      </c>
      <c r="AJ49">
        <v>1</v>
      </c>
      <c r="AK49">
        <v>1</v>
      </c>
      <c r="AL49">
        <v>4</v>
      </c>
      <c r="AM49">
        <v>1</v>
      </c>
      <c r="AN49">
        <v>4</v>
      </c>
      <c r="AO49">
        <v>2</v>
      </c>
      <c r="AP49">
        <v>1</v>
      </c>
      <c r="AQ49">
        <v>1</v>
      </c>
      <c r="AS49">
        <f t="shared" si="0"/>
        <v>20</v>
      </c>
      <c r="AT49" s="2" t="s">
        <v>291</v>
      </c>
      <c r="AX49">
        <f t="shared" si="1"/>
        <v>2</v>
      </c>
      <c r="AY49">
        <f t="shared" si="2"/>
        <v>2</v>
      </c>
      <c r="AZ49">
        <f t="shared" si="3"/>
        <v>4</v>
      </c>
      <c r="BB49">
        <f t="shared" si="4"/>
        <v>2</v>
      </c>
      <c r="BC49">
        <f t="shared" si="5"/>
        <v>7</v>
      </c>
      <c r="BD49">
        <f t="shared" si="6"/>
        <v>0</v>
      </c>
      <c r="BE49">
        <f t="shared" si="7"/>
        <v>3</v>
      </c>
      <c r="BF49">
        <f t="shared" si="8"/>
        <v>1</v>
      </c>
      <c r="BG49">
        <f t="shared" si="9"/>
        <v>4</v>
      </c>
      <c r="BH49">
        <f t="shared" si="10"/>
        <v>2</v>
      </c>
      <c r="BI49">
        <f t="shared" si="11"/>
        <v>7</v>
      </c>
      <c r="BK49">
        <f t="shared" si="12"/>
        <v>7</v>
      </c>
    </row>
    <row r="50" spans="1:63" ht="28.8" x14ac:dyDescent="0.3">
      <c r="A50" s="1">
        <v>45604.477280092593</v>
      </c>
      <c r="B50" s="1">
        <v>45604.478680555556</v>
      </c>
      <c r="C50">
        <v>0</v>
      </c>
      <c r="D50" s="2" t="s">
        <v>197</v>
      </c>
      <c r="E50">
        <v>100</v>
      </c>
      <c r="F50">
        <v>120</v>
      </c>
      <c r="G50">
        <v>1</v>
      </c>
      <c r="H50" s="1">
        <v>45604.47869304398</v>
      </c>
      <c r="I50" s="2" t="s">
        <v>198</v>
      </c>
      <c r="J50" s="2" t="s">
        <v>82</v>
      </c>
      <c r="K50" s="2" t="s">
        <v>82</v>
      </c>
      <c r="L50" s="2" t="s">
        <v>82</v>
      </c>
      <c r="M50" s="2" t="s">
        <v>82</v>
      </c>
      <c r="N50">
        <v>42.365400000000001</v>
      </c>
      <c r="O50">
        <v>-72.467100000000002</v>
      </c>
      <c r="P50" s="2" t="s">
        <v>83</v>
      </c>
      <c r="Q50" s="2" t="s">
        <v>84</v>
      </c>
      <c r="R50">
        <v>2</v>
      </c>
      <c r="S50" s="2" t="s">
        <v>119</v>
      </c>
      <c r="T50">
        <v>3</v>
      </c>
      <c r="U50">
        <v>9</v>
      </c>
      <c r="V50" s="2" t="s">
        <v>82</v>
      </c>
      <c r="W50" s="2" t="s">
        <v>97</v>
      </c>
      <c r="X50" s="2" t="s">
        <v>82</v>
      </c>
      <c r="Y50">
        <v>2</v>
      </c>
      <c r="Z50">
        <v>2</v>
      </c>
      <c r="AA50">
        <v>5</v>
      </c>
      <c r="AB50">
        <v>2</v>
      </c>
      <c r="AC50">
        <v>2</v>
      </c>
      <c r="AD50">
        <v>1</v>
      </c>
      <c r="AE50">
        <v>2</v>
      </c>
      <c r="AF50">
        <v>2</v>
      </c>
      <c r="AG50" s="2" t="s">
        <v>82</v>
      </c>
      <c r="AH50">
        <v>5</v>
      </c>
      <c r="AI50">
        <v>2</v>
      </c>
      <c r="AJ50">
        <v>1</v>
      </c>
      <c r="AK50">
        <v>1</v>
      </c>
      <c r="AL50">
        <v>3</v>
      </c>
      <c r="AM50">
        <v>4</v>
      </c>
      <c r="AN50">
        <v>2</v>
      </c>
      <c r="AO50">
        <v>3</v>
      </c>
      <c r="AP50">
        <v>2</v>
      </c>
      <c r="AQ50">
        <v>1</v>
      </c>
      <c r="AS50">
        <f t="shared" si="0"/>
        <v>20</v>
      </c>
      <c r="AT50" s="2" t="s">
        <v>291</v>
      </c>
      <c r="AX50">
        <f t="shared" si="1"/>
        <v>2</v>
      </c>
      <c r="AY50">
        <f t="shared" si="2"/>
        <v>2</v>
      </c>
      <c r="AZ50">
        <f t="shared" si="3"/>
        <v>2</v>
      </c>
      <c r="BB50">
        <f t="shared" si="4"/>
        <v>2</v>
      </c>
      <c r="BC50">
        <f t="shared" si="5"/>
        <v>9</v>
      </c>
      <c r="BD50">
        <f t="shared" si="6"/>
        <v>0</v>
      </c>
      <c r="BE50">
        <f t="shared" si="7"/>
        <v>2</v>
      </c>
      <c r="BF50">
        <f t="shared" si="8"/>
        <v>1</v>
      </c>
      <c r="BG50">
        <f t="shared" si="9"/>
        <v>2</v>
      </c>
      <c r="BH50">
        <f t="shared" si="10"/>
        <v>3</v>
      </c>
      <c r="BI50">
        <f t="shared" si="11"/>
        <v>5</v>
      </c>
      <c r="BK50">
        <f t="shared" si="12"/>
        <v>9</v>
      </c>
    </row>
    <row r="51" spans="1:63" ht="28.8" x14ac:dyDescent="0.3">
      <c r="A51" s="1">
        <v>45604.477858796294</v>
      </c>
      <c r="B51" s="1">
        <v>45604.479351851849</v>
      </c>
      <c r="C51">
        <v>0</v>
      </c>
      <c r="D51" s="2" t="s">
        <v>199</v>
      </c>
      <c r="E51">
        <v>100</v>
      </c>
      <c r="F51">
        <v>129</v>
      </c>
      <c r="G51">
        <v>1</v>
      </c>
      <c r="H51" s="1">
        <v>45604.47936391204</v>
      </c>
      <c r="I51" s="2" t="s">
        <v>200</v>
      </c>
      <c r="J51" s="2" t="s">
        <v>82</v>
      </c>
      <c r="K51" s="2" t="s">
        <v>82</v>
      </c>
      <c r="L51" s="2" t="s">
        <v>82</v>
      </c>
      <c r="M51" s="2" t="s">
        <v>82</v>
      </c>
      <c r="N51">
        <v>42.389400000000002</v>
      </c>
      <c r="O51">
        <v>-72.526499999999999</v>
      </c>
      <c r="P51" s="2" t="s">
        <v>83</v>
      </c>
      <c r="Q51" s="2" t="s">
        <v>84</v>
      </c>
      <c r="R51">
        <v>2</v>
      </c>
      <c r="S51" s="2" t="s">
        <v>119</v>
      </c>
      <c r="T51">
        <v>3</v>
      </c>
      <c r="U51">
        <v>9</v>
      </c>
      <c r="V51" s="2" t="s">
        <v>82</v>
      </c>
      <c r="W51" s="2" t="s">
        <v>95</v>
      </c>
      <c r="X51" s="2" t="s">
        <v>82</v>
      </c>
      <c r="Y51">
        <v>2</v>
      </c>
      <c r="Z51">
        <v>2</v>
      </c>
      <c r="AA51">
        <v>6</v>
      </c>
      <c r="AB51">
        <v>1</v>
      </c>
      <c r="AC51">
        <v>1</v>
      </c>
      <c r="AD51">
        <v>3</v>
      </c>
      <c r="AE51">
        <v>4</v>
      </c>
      <c r="AF51">
        <v>4</v>
      </c>
      <c r="AG51" s="2" t="s">
        <v>82</v>
      </c>
      <c r="AH51">
        <v>1</v>
      </c>
      <c r="AI51">
        <v>1</v>
      </c>
      <c r="AJ51">
        <v>2</v>
      </c>
      <c r="AK51">
        <v>3</v>
      </c>
      <c r="AL51">
        <v>1</v>
      </c>
      <c r="AM51">
        <v>3</v>
      </c>
      <c r="AN51">
        <v>1</v>
      </c>
      <c r="AO51">
        <v>1</v>
      </c>
      <c r="AP51">
        <v>5</v>
      </c>
      <c r="AQ51">
        <v>1</v>
      </c>
      <c r="AS51">
        <f t="shared" si="0"/>
        <v>20</v>
      </c>
      <c r="AT51" s="2" t="s">
        <v>291</v>
      </c>
      <c r="AX51">
        <f t="shared" si="1"/>
        <v>2</v>
      </c>
      <c r="AY51">
        <f t="shared" si="2"/>
        <v>2</v>
      </c>
      <c r="AZ51">
        <f t="shared" si="3"/>
        <v>4</v>
      </c>
      <c r="BB51">
        <f t="shared" si="4"/>
        <v>4</v>
      </c>
      <c r="BC51">
        <f t="shared" si="5"/>
        <v>9</v>
      </c>
      <c r="BD51">
        <f t="shared" si="6"/>
        <v>0</v>
      </c>
      <c r="BE51">
        <f t="shared" si="7"/>
        <v>1</v>
      </c>
      <c r="BF51">
        <f t="shared" si="8"/>
        <v>2</v>
      </c>
      <c r="BG51">
        <f t="shared" si="9"/>
        <v>1</v>
      </c>
      <c r="BH51">
        <f t="shared" si="10"/>
        <v>1</v>
      </c>
      <c r="BI51">
        <f t="shared" si="11"/>
        <v>6</v>
      </c>
      <c r="BK51">
        <f t="shared" si="12"/>
        <v>9</v>
      </c>
    </row>
    <row r="52" spans="1:63" ht="28.8" x14ac:dyDescent="0.3">
      <c r="A52" s="1">
        <v>45604.482719907406</v>
      </c>
      <c r="B52" s="1">
        <v>45604.48369212963</v>
      </c>
      <c r="C52">
        <v>0</v>
      </c>
      <c r="D52" s="2" t="s">
        <v>201</v>
      </c>
      <c r="E52">
        <v>100</v>
      </c>
      <c r="F52">
        <v>83</v>
      </c>
      <c r="G52">
        <v>1</v>
      </c>
      <c r="H52" s="1">
        <v>45604.483701851852</v>
      </c>
      <c r="I52" s="2" t="s">
        <v>202</v>
      </c>
      <c r="J52" s="2" t="s">
        <v>82</v>
      </c>
      <c r="K52" s="2" t="s">
        <v>82</v>
      </c>
      <c r="L52" s="2" t="s">
        <v>82</v>
      </c>
      <c r="M52" s="2" t="s">
        <v>82</v>
      </c>
      <c r="N52">
        <v>37.750999999999998</v>
      </c>
      <c r="O52">
        <v>-97.822000000000003</v>
      </c>
      <c r="P52" s="2" t="s">
        <v>83</v>
      </c>
      <c r="Q52" s="2" t="s">
        <v>84</v>
      </c>
      <c r="R52">
        <v>2</v>
      </c>
      <c r="S52" s="2" t="s">
        <v>119</v>
      </c>
      <c r="T52">
        <v>4</v>
      </c>
      <c r="U52">
        <v>9</v>
      </c>
      <c r="V52" s="2" t="s">
        <v>82</v>
      </c>
      <c r="W52" s="2" t="s">
        <v>95</v>
      </c>
      <c r="X52" s="2" t="s">
        <v>82</v>
      </c>
      <c r="Y52">
        <v>2</v>
      </c>
      <c r="Z52">
        <v>2</v>
      </c>
      <c r="AA52">
        <v>4</v>
      </c>
      <c r="AB52">
        <v>2</v>
      </c>
      <c r="AC52">
        <v>2</v>
      </c>
      <c r="AD52">
        <v>3</v>
      </c>
      <c r="AE52">
        <v>3</v>
      </c>
      <c r="AF52">
        <v>1</v>
      </c>
      <c r="AG52" s="2" t="s">
        <v>82</v>
      </c>
      <c r="AH52">
        <v>1</v>
      </c>
      <c r="AI52">
        <v>2</v>
      </c>
      <c r="AJ52">
        <v>2</v>
      </c>
      <c r="AK52">
        <v>2</v>
      </c>
      <c r="AL52">
        <v>3</v>
      </c>
      <c r="AM52">
        <v>4</v>
      </c>
      <c r="AN52">
        <v>2</v>
      </c>
      <c r="AO52">
        <v>2</v>
      </c>
      <c r="AP52">
        <v>2</v>
      </c>
      <c r="AQ52">
        <v>2</v>
      </c>
      <c r="AS52">
        <f t="shared" si="0"/>
        <v>20</v>
      </c>
      <c r="AT52" s="2" t="s">
        <v>291</v>
      </c>
      <c r="AX52">
        <f t="shared" si="1"/>
        <v>2</v>
      </c>
      <c r="AY52">
        <f t="shared" si="2"/>
        <v>2</v>
      </c>
      <c r="AZ52">
        <f t="shared" si="3"/>
        <v>3</v>
      </c>
      <c r="BB52">
        <f t="shared" si="4"/>
        <v>1</v>
      </c>
      <c r="BC52">
        <f t="shared" si="5"/>
        <v>9</v>
      </c>
      <c r="BD52">
        <f t="shared" si="6"/>
        <v>0</v>
      </c>
      <c r="BE52">
        <f t="shared" si="7"/>
        <v>2</v>
      </c>
      <c r="BF52">
        <f t="shared" si="8"/>
        <v>2</v>
      </c>
      <c r="BG52">
        <f t="shared" si="9"/>
        <v>2</v>
      </c>
      <c r="BH52">
        <f t="shared" si="10"/>
        <v>2</v>
      </c>
      <c r="BI52">
        <f t="shared" si="11"/>
        <v>4</v>
      </c>
      <c r="BK52">
        <f t="shared" si="12"/>
        <v>9</v>
      </c>
    </row>
    <row r="53" spans="1:63" ht="28.8" x14ac:dyDescent="0.3">
      <c r="A53" s="1">
        <v>45604.481122685182</v>
      </c>
      <c r="B53" s="1">
        <v>45604.483888888892</v>
      </c>
      <c r="C53">
        <v>0</v>
      </c>
      <c r="D53" s="2" t="s">
        <v>203</v>
      </c>
      <c r="E53">
        <v>100</v>
      </c>
      <c r="F53">
        <v>239</v>
      </c>
      <c r="G53">
        <v>1</v>
      </c>
      <c r="H53" s="1">
        <v>45604.483898206017</v>
      </c>
      <c r="I53" s="2" t="s">
        <v>204</v>
      </c>
      <c r="J53" s="2" t="s">
        <v>82</v>
      </c>
      <c r="K53" s="2" t="s">
        <v>82</v>
      </c>
      <c r="L53" s="2" t="s">
        <v>82</v>
      </c>
      <c r="M53" s="2" t="s">
        <v>82</v>
      </c>
      <c r="N53">
        <v>32.301200000000001</v>
      </c>
      <c r="O53">
        <v>-90.183400000000006</v>
      </c>
      <c r="P53" s="2" t="s">
        <v>83</v>
      </c>
      <c r="Q53" s="2" t="s">
        <v>84</v>
      </c>
      <c r="R53">
        <v>1</v>
      </c>
      <c r="S53" s="2" t="s">
        <v>205</v>
      </c>
      <c r="T53">
        <v>1</v>
      </c>
      <c r="U53">
        <v>3</v>
      </c>
      <c r="V53" s="2" t="s">
        <v>82</v>
      </c>
      <c r="W53" s="2" t="s">
        <v>97</v>
      </c>
      <c r="X53" s="2" t="s">
        <v>82</v>
      </c>
      <c r="Y53">
        <v>3</v>
      </c>
      <c r="Z53">
        <v>3</v>
      </c>
      <c r="AA53">
        <v>9</v>
      </c>
      <c r="AB53">
        <v>4</v>
      </c>
      <c r="AC53">
        <v>1</v>
      </c>
      <c r="AD53">
        <v>1</v>
      </c>
      <c r="AE53">
        <v>2</v>
      </c>
      <c r="AF53">
        <v>3</v>
      </c>
      <c r="AG53" s="2" t="s">
        <v>82</v>
      </c>
      <c r="AH53">
        <v>1</v>
      </c>
      <c r="AI53">
        <v>5</v>
      </c>
      <c r="AJ53">
        <v>2</v>
      </c>
      <c r="AK53">
        <v>1</v>
      </c>
      <c r="AL53">
        <v>1</v>
      </c>
      <c r="AM53">
        <v>1</v>
      </c>
      <c r="AN53">
        <v>4</v>
      </c>
      <c r="AO53">
        <v>4</v>
      </c>
      <c r="AP53">
        <v>1</v>
      </c>
      <c r="AQ53">
        <v>1</v>
      </c>
      <c r="AS53">
        <f t="shared" si="0"/>
        <v>18</v>
      </c>
      <c r="AT53" s="2" t="s">
        <v>293</v>
      </c>
      <c r="AX53">
        <f t="shared" si="1"/>
        <v>3</v>
      </c>
      <c r="AY53">
        <f t="shared" si="2"/>
        <v>3</v>
      </c>
      <c r="AZ53">
        <f t="shared" si="3"/>
        <v>2</v>
      </c>
      <c r="BB53">
        <f t="shared" si="4"/>
        <v>3</v>
      </c>
      <c r="BC53">
        <f t="shared" si="5"/>
        <v>3</v>
      </c>
      <c r="BD53">
        <f t="shared" si="6"/>
        <v>0</v>
      </c>
      <c r="BE53">
        <f t="shared" si="7"/>
        <v>5</v>
      </c>
      <c r="BF53">
        <f t="shared" si="8"/>
        <v>2</v>
      </c>
      <c r="BG53">
        <f t="shared" si="9"/>
        <v>4</v>
      </c>
      <c r="BH53">
        <f t="shared" si="10"/>
        <v>4</v>
      </c>
      <c r="BI53">
        <f t="shared" si="11"/>
        <v>9</v>
      </c>
      <c r="BK53">
        <f t="shared" si="12"/>
        <v>3</v>
      </c>
    </row>
    <row r="54" spans="1:63" ht="28.8" x14ac:dyDescent="0.3">
      <c r="A54" s="1">
        <v>45604.483275462961</v>
      </c>
      <c r="B54" s="1">
        <v>45604.486319444448</v>
      </c>
      <c r="C54">
        <v>0</v>
      </c>
      <c r="D54" s="2" t="s">
        <v>206</v>
      </c>
      <c r="E54">
        <v>100</v>
      </c>
      <c r="F54">
        <v>263</v>
      </c>
      <c r="G54">
        <v>1</v>
      </c>
      <c r="H54" s="1">
        <v>45604.486330671294</v>
      </c>
      <c r="I54" s="2" t="s">
        <v>207</v>
      </c>
      <c r="J54" s="2" t="s">
        <v>82</v>
      </c>
      <c r="K54" s="2" t="s">
        <v>82</v>
      </c>
      <c r="L54" s="2" t="s">
        <v>82</v>
      </c>
      <c r="M54" s="2" t="s">
        <v>82</v>
      </c>
      <c r="N54">
        <v>42.389400000000002</v>
      </c>
      <c r="O54">
        <v>-72.526499999999999</v>
      </c>
      <c r="P54" s="2" t="s">
        <v>83</v>
      </c>
      <c r="Q54" s="2" t="s">
        <v>84</v>
      </c>
      <c r="R54">
        <v>2</v>
      </c>
      <c r="S54" s="2" t="s">
        <v>100</v>
      </c>
      <c r="T54">
        <v>2</v>
      </c>
      <c r="U54">
        <v>9</v>
      </c>
      <c r="V54" s="2" t="s">
        <v>82</v>
      </c>
      <c r="W54" s="2" t="s">
        <v>95</v>
      </c>
      <c r="X54" s="2" t="s">
        <v>82</v>
      </c>
      <c r="Y54">
        <v>3</v>
      </c>
      <c r="Z54">
        <v>2</v>
      </c>
      <c r="AA54">
        <v>3</v>
      </c>
      <c r="AB54">
        <v>2</v>
      </c>
      <c r="AC54">
        <v>1</v>
      </c>
      <c r="AD54" s="2" t="s">
        <v>82</v>
      </c>
      <c r="AE54">
        <v>2</v>
      </c>
      <c r="AF54">
        <v>2</v>
      </c>
      <c r="AG54" s="2" t="s">
        <v>82</v>
      </c>
      <c r="AH54">
        <v>5</v>
      </c>
      <c r="AI54">
        <v>4</v>
      </c>
      <c r="AJ54">
        <v>2</v>
      </c>
      <c r="AK54">
        <v>2</v>
      </c>
      <c r="AL54">
        <v>3</v>
      </c>
      <c r="AM54">
        <v>2</v>
      </c>
      <c r="AN54">
        <v>2</v>
      </c>
      <c r="AO54">
        <v>2</v>
      </c>
      <c r="AP54">
        <v>2</v>
      </c>
      <c r="AQ54">
        <v>1</v>
      </c>
      <c r="AS54">
        <f t="shared" si="0"/>
        <v>19</v>
      </c>
      <c r="AT54" s="2" t="s">
        <v>293</v>
      </c>
      <c r="AX54">
        <f t="shared" si="1"/>
        <v>3</v>
      </c>
      <c r="AY54">
        <f t="shared" si="2"/>
        <v>2</v>
      </c>
      <c r="AZ54">
        <f t="shared" si="3"/>
        <v>2</v>
      </c>
      <c r="BB54">
        <f t="shared" si="4"/>
        <v>2</v>
      </c>
      <c r="BC54">
        <f t="shared" si="5"/>
        <v>9</v>
      </c>
      <c r="BD54">
        <f t="shared" si="6"/>
        <v>-1</v>
      </c>
      <c r="BE54">
        <f t="shared" si="7"/>
        <v>4</v>
      </c>
      <c r="BF54">
        <f t="shared" si="8"/>
        <v>2</v>
      </c>
      <c r="BG54">
        <f t="shared" si="9"/>
        <v>2</v>
      </c>
      <c r="BH54">
        <f t="shared" si="10"/>
        <v>2</v>
      </c>
      <c r="BI54">
        <f t="shared" si="11"/>
        <v>3</v>
      </c>
      <c r="BK54">
        <f t="shared" si="12"/>
        <v>9</v>
      </c>
    </row>
    <row r="55" spans="1:63" ht="28.8" x14ac:dyDescent="0.3">
      <c r="A55" s="1">
        <v>45604.486527777779</v>
      </c>
      <c r="B55" s="1">
        <v>45604.48777777778</v>
      </c>
      <c r="C55">
        <v>0</v>
      </c>
      <c r="D55" s="2" t="s">
        <v>208</v>
      </c>
      <c r="E55">
        <v>100</v>
      </c>
      <c r="F55">
        <v>108</v>
      </c>
      <c r="G55">
        <v>1</v>
      </c>
      <c r="H55" s="1">
        <v>45604.487797199072</v>
      </c>
      <c r="I55" s="2" t="s">
        <v>209</v>
      </c>
      <c r="J55" s="2" t="s">
        <v>82</v>
      </c>
      <c r="K55" s="2" t="s">
        <v>82</v>
      </c>
      <c r="L55" s="2" t="s">
        <v>82</v>
      </c>
      <c r="M55" s="2" t="s">
        <v>82</v>
      </c>
      <c r="N55">
        <v>42.389400000000002</v>
      </c>
      <c r="O55">
        <v>-72.526499999999999</v>
      </c>
      <c r="P55" s="2" t="s">
        <v>83</v>
      </c>
      <c r="Q55" s="2" t="s">
        <v>84</v>
      </c>
      <c r="R55">
        <v>2</v>
      </c>
      <c r="S55" s="2" t="s">
        <v>100</v>
      </c>
      <c r="T55">
        <v>1</v>
      </c>
      <c r="U55">
        <v>9</v>
      </c>
      <c r="V55" s="2" t="s">
        <v>82</v>
      </c>
      <c r="W55" s="2" t="s">
        <v>92</v>
      </c>
      <c r="X55" s="2" t="s">
        <v>82</v>
      </c>
      <c r="Y55">
        <v>3</v>
      </c>
      <c r="Z55">
        <v>4</v>
      </c>
      <c r="AA55">
        <v>7</v>
      </c>
      <c r="AB55">
        <v>3</v>
      </c>
      <c r="AC55">
        <v>1</v>
      </c>
      <c r="AD55">
        <v>2</v>
      </c>
      <c r="AE55">
        <v>4</v>
      </c>
      <c r="AF55">
        <v>1</v>
      </c>
      <c r="AG55" s="2" t="s">
        <v>82</v>
      </c>
      <c r="AH55">
        <v>1</v>
      </c>
      <c r="AI55">
        <v>4</v>
      </c>
      <c r="AJ55">
        <v>1</v>
      </c>
      <c r="AK55">
        <v>1</v>
      </c>
      <c r="AL55">
        <v>3</v>
      </c>
      <c r="AM55">
        <v>4</v>
      </c>
      <c r="AN55">
        <v>1</v>
      </c>
      <c r="AO55">
        <v>3</v>
      </c>
      <c r="AP55">
        <v>1</v>
      </c>
      <c r="AQ55">
        <v>1</v>
      </c>
      <c r="AS55">
        <f t="shared" si="0"/>
        <v>19</v>
      </c>
      <c r="AT55" s="2" t="s">
        <v>293</v>
      </c>
      <c r="AX55">
        <f t="shared" si="1"/>
        <v>3</v>
      </c>
      <c r="AY55">
        <f t="shared" si="2"/>
        <v>4</v>
      </c>
      <c r="AZ55">
        <f t="shared" si="3"/>
        <v>4</v>
      </c>
      <c r="BB55">
        <f t="shared" si="4"/>
        <v>1</v>
      </c>
      <c r="BC55">
        <f t="shared" si="5"/>
        <v>9</v>
      </c>
      <c r="BD55">
        <f t="shared" si="6"/>
        <v>1</v>
      </c>
      <c r="BE55">
        <f t="shared" si="7"/>
        <v>4</v>
      </c>
      <c r="BF55">
        <f t="shared" si="8"/>
        <v>1</v>
      </c>
      <c r="BG55">
        <f t="shared" si="9"/>
        <v>1</v>
      </c>
      <c r="BH55">
        <f t="shared" si="10"/>
        <v>3</v>
      </c>
      <c r="BI55">
        <f t="shared" si="11"/>
        <v>7</v>
      </c>
      <c r="BK55">
        <f t="shared" si="12"/>
        <v>9</v>
      </c>
    </row>
    <row r="56" spans="1:63" ht="28.8" x14ac:dyDescent="0.3">
      <c r="A56" s="1">
        <v>45604.490682870368</v>
      </c>
      <c r="B56" s="1">
        <v>45604.492395833331</v>
      </c>
      <c r="C56">
        <v>0</v>
      </c>
      <c r="D56" s="2" t="s">
        <v>210</v>
      </c>
      <c r="E56">
        <v>100</v>
      </c>
      <c r="F56">
        <v>148</v>
      </c>
      <c r="G56">
        <v>1</v>
      </c>
      <c r="H56" s="1">
        <v>45604.492413449072</v>
      </c>
      <c r="I56" s="2" t="s">
        <v>211</v>
      </c>
      <c r="J56" s="2" t="s">
        <v>82</v>
      </c>
      <c r="K56" s="2" t="s">
        <v>82</v>
      </c>
      <c r="L56" s="2" t="s">
        <v>82</v>
      </c>
      <c r="M56" s="2" t="s">
        <v>82</v>
      </c>
      <c r="N56">
        <v>42.389400000000002</v>
      </c>
      <c r="O56">
        <v>-72.526499999999999</v>
      </c>
      <c r="P56" s="2" t="s">
        <v>83</v>
      </c>
      <c r="Q56" s="2" t="s">
        <v>84</v>
      </c>
      <c r="R56">
        <v>2</v>
      </c>
      <c r="S56" s="2" t="s">
        <v>212</v>
      </c>
      <c r="T56">
        <v>3</v>
      </c>
      <c r="U56">
        <v>2</v>
      </c>
      <c r="V56" s="2" t="s">
        <v>82</v>
      </c>
      <c r="W56" s="2" t="s">
        <v>103</v>
      </c>
      <c r="X56" s="2" t="s">
        <v>82</v>
      </c>
      <c r="Y56">
        <v>2</v>
      </c>
      <c r="Z56">
        <v>2</v>
      </c>
      <c r="AA56">
        <v>7</v>
      </c>
      <c r="AB56">
        <v>3</v>
      </c>
      <c r="AC56">
        <v>1</v>
      </c>
      <c r="AD56">
        <v>2</v>
      </c>
      <c r="AE56">
        <v>3</v>
      </c>
      <c r="AF56">
        <v>2</v>
      </c>
      <c r="AG56" s="2" t="s">
        <v>82</v>
      </c>
      <c r="AH56">
        <v>4</v>
      </c>
      <c r="AI56">
        <v>3</v>
      </c>
      <c r="AJ56">
        <v>2</v>
      </c>
      <c r="AK56">
        <v>1</v>
      </c>
      <c r="AL56">
        <v>4</v>
      </c>
      <c r="AM56">
        <v>4</v>
      </c>
      <c r="AN56">
        <v>2</v>
      </c>
      <c r="AO56">
        <v>1</v>
      </c>
      <c r="AP56">
        <v>2</v>
      </c>
      <c r="AQ56">
        <v>1</v>
      </c>
      <c r="AS56">
        <v>0</v>
      </c>
      <c r="AT56" s="2" t="s">
        <v>291</v>
      </c>
      <c r="AX56">
        <f t="shared" si="1"/>
        <v>2</v>
      </c>
      <c r="AY56">
        <f t="shared" si="2"/>
        <v>2</v>
      </c>
      <c r="AZ56">
        <f t="shared" si="3"/>
        <v>3</v>
      </c>
      <c r="BB56">
        <f t="shared" si="4"/>
        <v>2</v>
      </c>
      <c r="BC56">
        <f t="shared" si="5"/>
        <v>2</v>
      </c>
      <c r="BD56">
        <f t="shared" si="6"/>
        <v>0</v>
      </c>
      <c r="BE56">
        <f t="shared" si="7"/>
        <v>3</v>
      </c>
      <c r="BF56">
        <f t="shared" si="8"/>
        <v>2</v>
      </c>
      <c r="BG56">
        <f t="shared" si="9"/>
        <v>2</v>
      </c>
      <c r="BH56">
        <f t="shared" si="10"/>
        <v>1</v>
      </c>
      <c r="BI56">
        <f t="shared" si="11"/>
        <v>7</v>
      </c>
      <c r="BK56">
        <f t="shared" si="12"/>
        <v>2</v>
      </c>
    </row>
    <row r="57" spans="1:63" ht="28.8" x14ac:dyDescent="0.3">
      <c r="A57" s="1">
        <v>45604.495289351849</v>
      </c>
      <c r="B57" s="1">
        <v>45604.496493055558</v>
      </c>
      <c r="C57">
        <v>0</v>
      </c>
      <c r="D57" s="2" t="s">
        <v>213</v>
      </c>
      <c r="E57">
        <v>100</v>
      </c>
      <c r="F57">
        <v>104</v>
      </c>
      <c r="G57">
        <v>1</v>
      </c>
      <c r="H57" s="1">
        <v>45604.496512280093</v>
      </c>
      <c r="I57" s="2" t="s">
        <v>214</v>
      </c>
      <c r="J57" s="2" t="s">
        <v>82</v>
      </c>
      <c r="K57" s="2" t="s">
        <v>82</v>
      </c>
      <c r="L57" s="2" t="s">
        <v>82</v>
      </c>
      <c r="M57" s="2" t="s">
        <v>82</v>
      </c>
      <c r="N57">
        <v>42.389400000000002</v>
      </c>
      <c r="O57">
        <v>-72.526499999999999</v>
      </c>
      <c r="P57" s="2" t="s">
        <v>83</v>
      </c>
      <c r="Q57" s="2" t="s">
        <v>84</v>
      </c>
      <c r="R57">
        <v>2</v>
      </c>
      <c r="S57" s="2" t="s">
        <v>119</v>
      </c>
      <c r="T57">
        <v>2</v>
      </c>
      <c r="U57">
        <v>4</v>
      </c>
      <c r="V57" s="2" t="s">
        <v>82</v>
      </c>
      <c r="W57" s="2" t="s">
        <v>97</v>
      </c>
      <c r="X57" s="2" t="s">
        <v>82</v>
      </c>
      <c r="Y57">
        <v>3</v>
      </c>
      <c r="Z57">
        <v>3</v>
      </c>
      <c r="AA57">
        <v>7</v>
      </c>
      <c r="AB57">
        <v>1</v>
      </c>
      <c r="AC57">
        <v>1</v>
      </c>
      <c r="AD57">
        <v>3</v>
      </c>
      <c r="AE57">
        <v>4</v>
      </c>
      <c r="AF57">
        <v>4</v>
      </c>
      <c r="AG57" s="2" t="s">
        <v>82</v>
      </c>
      <c r="AH57">
        <v>5</v>
      </c>
      <c r="AI57">
        <v>3</v>
      </c>
      <c r="AJ57">
        <v>1</v>
      </c>
      <c r="AK57">
        <v>1</v>
      </c>
      <c r="AL57">
        <v>2</v>
      </c>
      <c r="AM57">
        <v>5</v>
      </c>
      <c r="AN57">
        <v>2</v>
      </c>
      <c r="AO57">
        <v>2</v>
      </c>
      <c r="AP57">
        <v>1</v>
      </c>
      <c r="AQ57">
        <v>1</v>
      </c>
      <c r="AS57">
        <f t="shared" si="0"/>
        <v>20</v>
      </c>
      <c r="AT57" s="2" t="s">
        <v>293</v>
      </c>
      <c r="AX57">
        <f t="shared" si="1"/>
        <v>3</v>
      </c>
      <c r="AY57">
        <f t="shared" si="2"/>
        <v>3</v>
      </c>
      <c r="AZ57">
        <f t="shared" si="3"/>
        <v>4</v>
      </c>
      <c r="BB57">
        <f t="shared" si="4"/>
        <v>4</v>
      </c>
      <c r="BC57">
        <f t="shared" si="5"/>
        <v>4</v>
      </c>
      <c r="BD57">
        <f t="shared" si="6"/>
        <v>0</v>
      </c>
      <c r="BE57">
        <f t="shared" si="7"/>
        <v>3</v>
      </c>
      <c r="BF57">
        <f t="shared" si="8"/>
        <v>1</v>
      </c>
      <c r="BG57">
        <f t="shared" si="9"/>
        <v>2</v>
      </c>
      <c r="BH57">
        <f t="shared" si="10"/>
        <v>2</v>
      </c>
      <c r="BI57">
        <f t="shared" si="11"/>
        <v>7</v>
      </c>
      <c r="BK57">
        <f t="shared" si="12"/>
        <v>4</v>
      </c>
    </row>
    <row r="58" spans="1:63" ht="28.8" x14ac:dyDescent="0.3">
      <c r="A58" s="1">
        <v>45604.507164351853</v>
      </c>
      <c r="B58" s="1">
        <v>45604.509282407409</v>
      </c>
      <c r="C58">
        <v>0</v>
      </c>
      <c r="D58" s="2" t="s">
        <v>215</v>
      </c>
      <c r="E58">
        <v>100</v>
      </c>
      <c r="F58">
        <v>183</v>
      </c>
      <c r="G58">
        <v>1</v>
      </c>
      <c r="H58" s="1">
        <v>45604.509300219906</v>
      </c>
      <c r="I58" s="2" t="s">
        <v>216</v>
      </c>
      <c r="J58" s="2" t="s">
        <v>82</v>
      </c>
      <c r="K58" s="2" t="s">
        <v>82</v>
      </c>
      <c r="L58" s="2" t="s">
        <v>82</v>
      </c>
      <c r="M58" s="2" t="s">
        <v>82</v>
      </c>
      <c r="N58">
        <v>44.592799999999997</v>
      </c>
      <c r="O58">
        <v>-75.172600000000003</v>
      </c>
      <c r="P58" s="2" t="s">
        <v>83</v>
      </c>
      <c r="Q58" s="2" t="s">
        <v>84</v>
      </c>
      <c r="R58">
        <v>1</v>
      </c>
      <c r="S58" s="2" t="s">
        <v>205</v>
      </c>
      <c r="T58">
        <v>1</v>
      </c>
      <c r="U58">
        <v>10</v>
      </c>
      <c r="V58" s="2" t="s">
        <v>217</v>
      </c>
      <c r="W58" s="2" t="s">
        <v>97</v>
      </c>
      <c r="X58" s="2" t="s">
        <v>82</v>
      </c>
      <c r="Y58">
        <v>2</v>
      </c>
      <c r="Z58">
        <v>2</v>
      </c>
      <c r="AA58">
        <v>6</v>
      </c>
      <c r="AB58">
        <v>2</v>
      </c>
      <c r="AC58">
        <v>1</v>
      </c>
      <c r="AD58">
        <v>2</v>
      </c>
      <c r="AE58">
        <v>2</v>
      </c>
      <c r="AF58">
        <v>1</v>
      </c>
      <c r="AG58" s="2" t="s">
        <v>82</v>
      </c>
      <c r="AH58">
        <v>3</v>
      </c>
      <c r="AI58">
        <v>4</v>
      </c>
      <c r="AJ58">
        <v>2</v>
      </c>
      <c r="AK58">
        <v>1</v>
      </c>
      <c r="AL58">
        <v>3</v>
      </c>
      <c r="AM58">
        <v>2</v>
      </c>
      <c r="AN58">
        <v>4</v>
      </c>
      <c r="AO58">
        <v>2</v>
      </c>
      <c r="AP58">
        <v>2</v>
      </c>
      <c r="AQ58">
        <v>1</v>
      </c>
      <c r="AS58">
        <f t="shared" si="0"/>
        <v>18</v>
      </c>
      <c r="AT58" s="2" t="s">
        <v>291</v>
      </c>
      <c r="AX58">
        <f t="shared" si="1"/>
        <v>2</v>
      </c>
      <c r="AY58">
        <f t="shared" si="2"/>
        <v>2</v>
      </c>
      <c r="AZ58">
        <f t="shared" si="3"/>
        <v>2</v>
      </c>
      <c r="BB58">
        <f t="shared" si="4"/>
        <v>1</v>
      </c>
      <c r="BC58">
        <f t="shared" si="5"/>
        <v>10</v>
      </c>
      <c r="BD58">
        <f t="shared" si="6"/>
        <v>0</v>
      </c>
      <c r="BE58">
        <f t="shared" si="7"/>
        <v>4</v>
      </c>
      <c r="BF58">
        <f t="shared" si="8"/>
        <v>2</v>
      </c>
      <c r="BG58">
        <f t="shared" si="9"/>
        <v>4</v>
      </c>
      <c r="BH58">
        <f t="shared" si="10"/>
        <v>2</v>
      </c>
      <c r="BI58">
        <f t="shared" si="11"/>
        <v>6</v>
      </c>
      <c r="BK58">
        <f t="shared" si="12"/>
        <v>10</v>
      </c>
    </row>
    <row r="59" spans="1:63" ht="28.8" x14ac:dyDescent="0.3">
      <c r="A59" s="1">
        <v>45604.508831018517</v>
      </c>
      <c r="B59" s="1">
        <v>45604.510405092595</v>
      </c>
      <c r="C59">
        <v>0</v>
      </c>
      <c r="D59" s="2" t="s">
        <v>218</v>
      </c>
      <c r="E59">
        <v>100</v>
      </c>
      <c r="F59">
        <v>136</v>
      </c>
      <c r="G59">
        <v>1</v>
      </c>
      <c r="H59" s="1">
        <v>45604.510414340279</v>
      </c>
      <c r="I59" s="2" t="s">
        <v>219</v>
      </c>
      <c r="J59" s="2" t="s">
        <v>82</v>
      </c>
      <c r="K59" s="2" t="s">
        <v>82</v>
      </c>
      <c r="L59" s="2" t="s">
        <v>82</v>
      </c>
      <c r="M59" s="2" t="s">
        <v>82</v>
      </c>
      <c r="N59">
        <v>42.117699999999999</v>
      </c>
      <c r="O59">
        <v>-72.644499999999994</v>
      </c>
      <c r="P59" s="2" t="s">
        <v>83</v>
      </c>
      <c r="Q59" s="2" t="s">
        <v>84</v>
      </c>
      <c r="R59">
        <v>2</v>
      </c>
      <c r="S59" s="2" t="s">
        <v>85</v>
      </c>
      <c r="T59">
        <v>4</v>
      </c>
      <c r="U59">
        <v>4</v>
      </c>
      <c r="V59" s="2" t="s">
        <v>82</v>
      </c>
      <c r="W59" s="2" t="s">
        <v>103</v>
      </c>
      <c r="X59" s="2" t="s">
        <v>82</v>
      </c>
      <c r="Y59">
        <v>2</v>
      </c>
      <c r="Z59">
        <v>3</v>
      </c>
      <c r="AA59">
        <v>6</v>
      </c>
      <c r="AB59">
        <v>2</v>
      </c>
      <c r="AC59">
        <v>1</v>
      </c>
      <c r="AD59">
        <v>1</v>
      </c>
      <c r="AE59">
        <v>3</v>
      </c>
      <c r="AF59">
        <v>2</v>
      </c>
      <c r="AG59" s="2" t="s">
        <v>82</v>
      </c>
      <c r="AH59">
        <v>1</v>
      </c>
      <c r="AI59">
        <v>4</v>
      </c>
      <c r="AJ59">
        <v>2</v>
      </c>
      <c r="AK59">
        <v>1</v>
      </c>
      <c r="AL59">
        <v>3</v>
      </c>
      <c r="AM59">
        <v>3</v>
      </c>
      <c r="AN59">
        <v>2</v>
      </c>
      <c r="AO59">
        <v>2</v>
      </c>
      <c r="AP59">
        <v>3</v>
      </c>
      <c r="AQ59">
        <v>1</v>
      </c>
      <c r="AS59">
        <f t="shared" si="0"/>
        <v>21</v>
      </c>
      <c r="AT59" s="2" t="s">
        <v>291</v>
      </c>
      <c r="AX59">
        <f t="shared" si="1"/>
        <v>2</v>
      </c>
      <c r="AY59">
        <f t="shared" si="2"/>
        <v>3</v>
      </c>
      <c r="AZ59">
        <f t="shared" si="3"/>
        <v>3</v>
      </c>
      <c r="BB59">
        <f t="shared" si="4"/>
        <v>2</v>
      </c>
      <c r="BC59">
        <f t="shared" si="5"/>
        <v>4</v>
      </c>
      <c r="BD59">
        <f t="shared" si="6"/>
        <v>1</v>
      </c>
      <c r="BE59">
        <f t="shared" si="7"/>
        <v>4</v>
      </c>
      <c r="BF59">
        <f t="shared" si="8"/>
        <v>2</v>
      </c>
      <c r="BG59">
        <f t="shared" si="9"/>
        <v>2</v>
      </c>
      <c r="BH59">
        <f t="shared" si="10"/>
        <v>2</v>
      </c>
      <c r="BI59">
        <f t="shared" si="11"/>
        <v>6</v>
      </c>
      <c r="BK59">
        <f t="shared" si="12"/>
        <v>4</v>
      </c>
    </row>
    <row r="60" spans="1:63" ht="28.8" x14ac:dyDescent="0.3">
      <c r="A60" s="1">
        <v>45604.509872685187</v>
      </c>
      <c r="B60" s="1">
        <v>45604.512361111112</v>
      </c>
      <c r="C60">
        <v>0</v>
      </c>
      <c r="D60" s="2" t="s">
        <v>220</v>
      </c>
      <c r="E60">
        <v>100</v>
      </c>
      <c r="F60">
        <v>214</v>
      </c>
      <c r="G60">
        <v>1</v>
      </c>
      <c r="H60" s="1">
        <v>45604.512374930557</v>
      </c>
      <c r="I60" s="2" t="s">
        <v>221</v>
      </c>
      <c r="J60" s="2" t="s">
        <v>82</v>
      </c>
      <c r="K60" s="2" t="s">
        <v>82</v>
      </c>
      <c r="L60" s="2" t="s">
        <v>82</v>
      </c>
      <c r="M60" s="2" t="s">
        <v>82</v>
      </c>
      <c r="N60">
        <v>44.503900000000002</v>
      </c>
      <c r="O60">
        <v>-72.997600000000006</v>
      </c>
      <c r="P60" s="2" t="s">
        <v>83</v>
      </c>
      <c r="Q60" s="2" t="s">
        <v>84</v>
      </c>
      <c r="R60">
        <v>1</v>
      </c>
      <c r="S60" s="2" t="s">
        <v>205</v>
      </c>
      <c r="T60">
        <v>1</v>
      </c>
      <c r="U60">
        <v>10</v>
      </c>
      <c r="V60" s="2" t="s">
        <v>82</v>
      </c>
      <c r="W60" s="2" t="s">
        <v>97</v>
      </c>
      <c r="X60" s="2"/>
      <c r="Y60">
        <v>2</v>
      </c>
      <c r="Z60">
        <v>3</v>
      </c>
      <c r="AA60">
        <v>6</v>
      </c>
      <c r="AB60">
        <v>3</v>
      </c>
      <c r="AC60">
        <v>1</v>
      </c>
      <c r="AD60">
        <v>2</v>
      </c>
      <c r="AE60">
        <v>1</v>
      </c>
      <c r="AF60">
        <v>1</v>
      </c>
      <c r="AG60" s="2" t="s">
        <v>82</v>
      </c>
      <c r="AH60">
        <v>1</v>
      </c>
      <c r="AI60">
        <v>5</v>
      </c>
      <c r="AJ60">
        <v>2</v>
      </c>
      <c r="AK60">
        <v>2</v>
      </c>
      <c r="AL60">
        <v>3</v>
      </c>
      <c r="AM60">
        <v>2</v>
      </c>
      <c r="AN60">
        <v>3</v>
      </c>
      <c r="AO60">
        <v>4</v>
      </c>
      <c r="AP60">
        <v>2</v>
      </c>
      <c r="AQ60">
        <v>5</v>
      </c>
      <c r="AS60">
        <f t="shared" si="0"/>
        <v>18</v>
      </c>
      <c r="AT60" s="2" t="s">
        <v>291</v>
      </c>
      <c r="AX60">
        <f t="shared" si="1"/>
        <v>2</v>
      </c>
      <c r="AY60">
        <f t="shared" si="2"/>
        <v>3</v>
      </c>
      <c r="AZ60">
        <f t="shared" si="3"/>
        <v>1</v>
      </c>
      <c r="BB60">
        <f t="shared" si="4"/>
        <v>1</v>
      </c>
      <c r="BC60">
        <f t="shared" si="5"/>
        <v>10</v>
      </c>
      <c r="BD60">
        <f t="shared" si="6"/>
        <v>1</v>
      </c>
      <c r="BE60">
        <f t="shared" si="7"/>
        <v>5</v>
      </c>
      <c r="BF60">
        <f t="shared" si="8"/>
        <v>2</v>
      </c>
      <c r="BG60">
        <f t="shared" si="9"/>
        <v>3</v>
      </c>
      <c r="BH60">
        <f t="shared" si="10"/>
        <v>4</v>
      </c>
      <c r="BI60">
        <f t="shared" si="11"/>
        <v>6</v>
      </c>
      <c r="BK60">
        <f t="shared" si="12"/>
        <v>10</v>
      </c>
    </row>
    <row r="61" spans="1:63" ht="28.8" x14ac:dyDescent="0.3">
      <c r="A61" s="1">
        <v>45604.516828703701</v>
      </c>
      <c r="B61" s="1">
        <v>45604.518842592595</v>
      </c>
      <c r="C61">
        <v>0</v>
      </c>
      <c r="D61" s="2" t="s">
        <v>222</v>
      </c>
      <c r="E61">
        <v>100</v>
      </c>
      <c r="F61">
        <v>173</v>
      </c>
      <c r="G61">
        <v>1</v>
      </c>
      <c r="H61" s="1">
        <v>45604.518850856482</v>
      </c>
      <c r="I61" s="2" t="s">
        <v>223</v>
      </c>
      <c r="J61" s="2" t="s">
        <v>82</v>
      </c>
      <c r="K61" s="2" t="s">
        <v>82</v>
      </c>
      <c r="L61" s="2" t="s">
        <v>82</v>
      </c>
      <c r="M61" s="2" t="s">
        <v>82</v>
      </c>
      <c r="N61">
        <v>42.389400000000002</v>
      </c>
      <c r="O61">
        <v>-72.526499999999999</v>
      </c>
      <c r="P61" s="2" t="s">
        <v>83</v>
      </c>
      <c r="Q61" s="2" t="s">
        <v>84</v>
      </c>
      <c r="R61">
        <v>2</v>
      </c>
      <c r="S61" s="2" t="s">
        <v>100</v>
      </c>
      <c r="T61">
        <v>2</v>
      </c>
      <c r="U61">
        <v>7</v>
      </c>
      <c r="V61" s="2" t="s">
        <v>82</v>
      </c>
      <c r="W61" s="2" t="s">
        <v>111</v>
      </c>
      <c r="X61" s="2" t="s">
        <v>82</v>
      </c>
      <c r="Y61">
        <v>2</v>
      </c>
      <c r="Z61">
        <v>3</v>
      </c>
      <c r="AA61">
        <v>3</v>
      </c>
      <c r="AB61">
        <v>2</v>
      </c>
      <c r="AC61">
        <v>4</v>
      </c>
      <c r="AD61">
        <v>3</v>
      </c>
      <c r="AE61">
        <v>4</v>
      </c>
      <c r="AF61">
        <v>1</v>
      </c>
      <c r="AG61" s="2" t="s">
        <v>82</v>
      </c>
      <c r="AH61">
        <v>4</v>
      </c>
      <c r="AI61">
        <v>3</v>
      </c>
      <c r="AJ61">
        <v>1</v>
      </c>
      <c r="AK61">
        <v>1</v>
      </c>
      <c r="AL61">
        <v>5</v>
      </c>
      <c r="AM61">
        <v>5</v>
      </c>
      <c r="AN61">
        <v>2</v>
      </c>
      <c r="AO61">
        <v>2</v>
      </c>
      <c r="AP61">
        <v>4</v>
      </c>
      <c r="AQ61">
        <v>1</v>
      </c>
      <c r="AS61">
        <f t="shared" si="0"/>
        <v>19</v>
      </c>
      <c r="AT61" s="2" t="s">
        <v>291</v>
      </c>
      <c r="AX61">
        <f t="shared" si="1"/>
        <v>2</v>
      </c>
      <c r="AY61">
        <f t="shared" si="2"/>
        <v>3</v>
      </c>
      <c r="AZ61">
        <f t="shared" si="3"/>
        <v>4</v>
      </c>
      <c r="BB61">
        <f t="shared" si="4"/>
        <v>1</v>
      </c>
      <c r="BC61">
        <f t="shared" si="5"/>
        <v>7</v>
      </c>
      <c r="BD61">
        <f t="shared" si="6"/>
        <v>1</v>
      </c>
      <c r="BE61">
        <f t="shared" si="7"/>
        <v>3</v>
      </c>
      <c r="BF61">
        <f t="shared" si="8"/>
        <v>1</v>
      </c>
      <c r="BG61">
        <f t="shared" si="9"/>
        <v>2</v>
      </c>
      <c r="BH61">
        <f t="shared" si="10"/>
        <v>2</v>
      </c>
      <c r="BI61">
        <f t="shared" si="11"/>
        <v>3</v>
      </c>
      <c r="BK61">
        <f t="shared" si="12"/>
        <v>7</v>
      </c>
    </row>
    <row r="62" spans="1:63" ht="28.8" x14ac:dyDescent="0.3">
      <c r="A62" s="1">
        <v>45604.518912037034</v>
      </c>
      <c r="B62" s="1">
        <v>45604.520474537036</v>
      </c>
      <c r="C62">
        <v>0</v>
      </c>
      <c r="D62" s="2" t="s">
        <v>224</v>
      </c>
      <c r="E62">
        <v>100</v>
      </c>
      <c r="F62">
        <v>134</v>
      </c>
      <c r="G62">
        <v>1</v>
      </c>
      <c r="H62" s="1">
        <v>45604.52048392361</v>
      </c>
      <c r="I62" s="2" t="s">
        <v>225</v>
      </c>
      <c r="J62" s="2" t="s">
        <v>82</v>
      </c>
      <c r="K62" s="2" t="s">
        <v>82</v>
      </c>
      <c r="L62" s="2" t="s">
        <v>82</v>
      </c>
      <c r="M62" s="2" t="s">
        <v>82</v>
      </c>
      <c r="N62">
        <v>42.389400000000002</v>
      </c>
      <c r="O62">
        <v>-72.526499999999999</v>
      </c>
      <c r="P62" s="2" t="s">
        <v>83</v>
      </c>
      <c r="Q62" s="2" t="s">
        <v>84</v>
      </c>
      <c r="R62">
        <v>1</v>
      </c>
      <c r="S62" s="2" t="s">
        <v>205</v>
      </c>
      <c r="T62">
        <v>1</v>
      </c>
      <c r="U62">
        <v>4</v>
      </c>
      <c r="V62" s="2" t="s">
        <v>82</v>
      </c>
      <c r="W62" s="2" t="s">
        <v>226</v>
      </c>
      <c r="X62" s="2" t="s">
        <v>82</v>
      </c>
      <c r="Y62">
        <v>3</v>
      </c>
      <c r="Z62">
        <v>1</v>
      </c>
      <c r="AA62">
        <v>6</v>
      </c>
      <c r="AB62">
        <v>4</v>
      </c>
      <c r="AC62">
        <v>3</v>
      </c>
      <c r="AD62">
        <v>2</v>
      </c>
      <c r="AE62">
        <v>5</v>
      </c>
      <c r="AF62">
        <v>3</v>
      </c>
      <c r="AG62" s="2" t="s">
        <v>82</v>
      </c>
      <c r="AH62">
        <v>5</v>
      </c>
      <c r="AI62">
        <v>3</v>
      </c>
      <c r="AJ62">
        <v>1</v>
      </c>
      <c r="AK62">
        <v>1</v>
      </c>
      <c r="AL62">
        <v>2</v>
      </c>
      <c r="AM62">
        <v>5</v>
      </c>
      <c r="AN62">
        <v>1</v>
      </c>
      <c r="AO62">
        <v>1</v>
      </c>
      <c r="AP62">
        <v>3</v>
      </c>
      <c r="AQ62">
        <v>2</v>
      </c>
      <c r="AS62">
        <f t="shared" si="0"/>
        <v>18</v>
      </c>
      <c r="AT62" s="2" t="s">
        <v>293</v>
      </c>
      <c r="AX62">
        <f t="shared" si="1"/>
        <v>3</v>
      </c>
      <c r="AY62">
        <f t="shared" si="2"/>
        <v>1</v>
      </c>
      <c r="AZ62">
        <f t="shared" si="3"/>
        <v>5</v>
      </c>
      <c r="BB62">
        <f t="shared" si="4"/>
        <v>3</v>
      </c>
      <c r="BC62">
        <f t="shared" si="5"/>
        <v>4</v>
      </c>
      <c r="BD62">
        <f t="shared" si="6"/>
        <v>-2</v>
      </c>
      <c r="BE62">
        <f t="shared" si="7"/>
        <v>3</v>
      </c>
      <c r="BF62">
        <f t="shared" si="8"/>
        <v>1</v>
      </c>
      <c r="BG62">
        <f t="shared" si="9"/>
        <v>1</v>
      </c>
      <c r="BH62">
        <f t="shared" si="10"/>
        <v>1</v>
      </c>
      <c r="BI62">
        <f t="shared" si="11"/>
        <v>6</v>
      </c>
      <c r="BK62">
        <f t="shared" si="12"/>
        <v>4</v>
      </c>
    </row>
    <row r="63" spans="1:63" ht="28.8" x14ac:dyDescent="0.3">
      <c r="A63" s="1">
        <v>45604.520162037035</v>
      </c>
      <c r="B63" s="1">
        <v>45604.521539351852</v>
      </c>
      <c r="C63">
        <v>0</v>
      </c>
      <c r="D63" s="2" t="s">
        <v>227</v>
      </c>
      <c r="E63">
        <v>100</v>
      </c>
      <c r="F63">
        <v>118</v>
      </c>
      <c r="G63">
        <v>1</v>
      </c>
      <c r="H63" s="1">
        <v>45604.521553298611</v>
      </c>
      <c r="I63" s="2" t="s">
        <v>228</v>
      </c>
      <c r="J63" s="2" t="s">
        <v>82</v>
      </c>
      <c r="K63" s="2" t="s">
        <v>82</v>
      </c>
      <c r="L63" s="2" t="s">
        <v>82</v>
      </c>
      <c r="M63" s="2" t="s">
        <v>82</v>
      </c>
      <c r="N63">
        <v>42.389400000000002</v>
      </c>
      <c r="O63">
        <v>-72.526499999999999</v>
      </c>
      <c r="P63" s="2" t="s">
        <v>83</v>
      </c>
      <c r="Q63" s="2" t="s">
        <v>84</v>
      </c>
      <c r="R63">
        <v>1</v>
      </c>
      <c r="S63" s="2" t="s">
        <v>119</v>
      </c>
      <c r="T63">
        <v>2</v>
      </c>
      <c r="U63">
        <v>3</v>
      </c>
      <c r="V63" s="2" t="s">
        <v>82</v>
      </c>
      <c r="W63" s="2" t="s">
        <v>95</v>
      </c>
      <c r="X63" s="2" t="s">
        <v>82</v>
      </c>
      <c r="Y63">
        <v>2</v>
      </c>
      <c r="Z63">
        <v>3</v>
      </c>
      <c r="AA63">
        <v>4</v>
      </c>
      <c r="AB63">
        <v>1</v>
      </c>
      <c r="AC63">
        <v>1</v>
      </c>
      <c r="AD63">
        <v>1</v>
      </c>
      <c r="AE63">
        <v>3</v>
      </c>
      <c r="AF63">
        <v>1</v>
      </c>
      <c r="AG63" s="2" t="s">
        <v>82</v>
      </c>
      <c r="AH63">
        <v>5</v>
      </c>
      <c r="AI63">
        <v>3</v>
      </c>
      <c r="AJ63">
        <v>2</v>
      </c>
      <c r="AK63">
        <v>2</v>
      </c>
      <c r="AL63">
        <v>3</v>
      </c>
      <c r="AM63">
        <v>1</v>
      </c>
      <c r="AN63">
        <v>1</v>
      </c>
      <c r="AO63">
        <v>1</v>
      </c>
      <c r="AP63">
        <v>3</v>
      </c>
      <c r="AQ63">
        <v>1</v>
      </c>
      <c r="AS63">
        <f t="shared" si="0"/>
        <v>20</v>
      </c>
      <c r="AT63" s="2" t="s">
        <v>291</v>
      </c>
      <c r="AX63">
        <f t="shared" si="1"/>
        <v>2</v>
      </c>
      <c r="AY63">
        <f t="shared" si="2"/>
        <v>3</v>
      </c>
      <c r="AZ63">
        <f t="shared" si="3"/>
        <v>3</v>
      </c>
      <c r="BB63">
        <f t="shared" si="4"/>
        <v>1</v>
      </c>
      <c r="BC63">
        <f t="shared" si="5"/>
        <v>3</v>
      </c>
      <c r="BD63">
        <f t="shared" si="6"/>
        <v>1</v>
      </c>
      <c r="BE63">
        <f t="shared" si="7"/>
        <v>3</v>
      </c>
      <c r="BF63">
        <f t="shared" si="8"/>
        <v>2</v>
      </c>
      <c r="BG63">
        <f t="shared" si="9"/>
        <v>1</v>
      </c>
      <c r="BH63">
        <f t="shared" si="10"/>
        <v>1</v>
      </c>
      <c r="BI63">
        <f t="shared" si="11"/>
        <v>4</v>
      </c>
      <c r="BK63">
        <f t="shared" si="12"/>
        <v>3</v>
      </c>
    </row>
    <row r="64" spans="1:63" ht="28.8" x14ac:dyDescent="0.3">
      <c r="A64" s="1">
        <v>45604.520428240743</v>
      </c>
      <c r="B64" s="1">
        <v>45604.521956018521</v>
      </c>
      <c r="C64">
        <v>0</v>
      </c>
      <c r="D64" s="2" t="s">
        <v>229</v>
      </c>
      <c r="E64">
        <v>100</v>
      </c>
      <c r="F64">
        <v>131</v>
      </c>
      <c r="G64">
        <v>1</v>
      </c>
      <c r="H64" s="1">
        <v>45604.521974039351</v>
      </c>
      <c r="I64" s="2" t="s">
        <v>230</v>
      </c>
      <c r="J64" s="2" t="s">
        <v>82</v>
      </c>
      <c r="K64" s="2" t="s">
        <v>82</v>
      </c>
      <c r="L64" s="2" t="s">
        <v>82</v>
      </c>
      <c r="M64" s="2" t="s">
        <v>82</v>
      </c>
      <c r="N64">
        <v>42.389400000000002</v>
      </c>
      <c r="O64">
        <v>-72.526499999999999</v>
      </c>
      <c r="P64" s="2" t="s">
        <v>83</v>
      </c>
      <c r="Q64" s="2" t="s">
        <v>84</v>
      </c>
      <c r="R64">
        <v>2</v>
      </c>
      <c r="S64" s="2" t="s">
        <v>205</v>
      </c>
      <c r="T64">
        <v>1</v>
      </c>
      <c r="U64">
        <v>9</v>
      </c>
      <c r="V64" s="2" t="s">
        <v>82</v>
      </c>
      <c r="W64" s="2" t="s">
        <v>95</v>
      </c>
      <c r="X64" s="2" t="s">
        <v>82</v>
      </c>
      <c r="Y64">
        <v>3</v>
      </c>
      <c r="Z64">
        <v>3</v>
      </c>
      <c r="AA64">
        <v>4</v>
      </c>
      <c r="AB64">
        <v>1</v>
      </c>
      <c r="AC64">
        <v>3</v>
      </c>
      <c r="AD64">
        <v>2</v>
      </c>
      <c r="AE64">
        <v>3</v>
      </c>
      <c r="AF64">
        <v>2</v>
      </c>
      <c r="AG64" s="2" t="s">
        <v>82</v>
      </c>
      <c r="AH64">
        <v>1</v>
      </c>
      <c r="AI64">
        <v>2</v>
      </c>
      <c r="AJ64">
        <v>1</v>
      </c>
      <c r="AK64">
        <v>1</v>
      </c>
      <c r="AL64">
        <v>4</v>
      </c>
      <c r="AM64">
        <v>1</v>
      </c>
      <c r="AN64">
        <v>1</v>
      </c>
      <c r="AO64">
        <v>2</v>
      </c>
      <c r="AP64">
        <v>1</v>
      </c>
      <c r="AQ64">
        <v>1</v>
      </c>
      <c r="AS64">
        <f t="shared" si="0"/>
        <v>18</v>
      </c>
      <c r="AT64" s="2" t="s">
        <v>293</v>
      </c>
      <c r="AX64">
        <f t="shared" si="1"/>
        <v>3</v>
      </c>
      <c r="AY64">
        <f t="shared" si="2"/>
        <v>3</v>
      </c>
      <c r="AZ64">
        <f t="shared" si="3"/>
        <v>3</v>
      </c>
      <c r="BB64">
        <f t="shared" si="4"/>
        <v>2</v>
      </c>
      <c r="BC64">
        <f t="shared" si="5"/>
        <v>9</v>
      </c>
      <c r="BD64">
        <f t="shared" si="6"/>
        <v>0</v>
      </c>
      <c r="BE64">
        <f t="shared" si="7"/>
        <v>2</v>
      </c>
      <c r="BF64">
        <f t="shared" si="8"/>
        <v>1</v>
      </c>
      <c r="BG64">
        <f t="shared" si="9"/>
        <v>1</v>
      </c>
      <c r="BH64">
        <f t="shared" si="10"/>
        <v>2</v>
      </c>
      <c r="BI64">
        <f t="shared" si="11"/>
        <v>4</v>
      </c>
      <c r="BK64">
        <f t="shared" si="12"/>
        <v>9</v>
      </c>
    </row>
    <row r="65" spans="1:63" ht="28.8" x14ac:dyDescent="0.3">
      <c r="A65" s="1">
        <v>45604.523078703707</v>
      </c>
      <c r="B65" s="1">
        <v>45604.524629629632</v>
      </c>
      <c r="C65">
        <v>0</v>
      </c>
      <c r="D65" s="2" t="s">
        <v>231</v>
      </c>
      <c r="E65">
        <v>100</v>
      </c>
      <c r="F65">
        <v>134</v>
      </c>
      <c r="G65">
        <v>1</v>
      </c>
      <c r="H65" s="1">
        <v>45604.524643645833</v>
      </c>
      <c r="I65" s="2" t="s">
        <v>232</v>
      </c>
      <c r="J65" s="2" t="s">
        <v>82</v>
      </c>
      <c r="K65" s="2" t="s">
        <v>82</v>
      </c>
      <c r="L65" s="2" t="s">
        <v>82</v>
      </c>
      <c r="M65" s="2" t="s">
        <v>82</v>
      </c>
      <c r="N65">
        <v>42.389400000000002</v>
      </c>
      <c r="O65">
        <v>-72.526499999999999</v>
      </c>
      <c r="P65" s="2" t="s">
        <v>83</v>
      </c>
      <c r="Q65" s="2" t="s">
        <v>84</v>
      </c>
      <c r="R65">
        <v>1</v>
      </c>
      <c r="S65" s="2" t="s">
        <v>119</v>
      </c>
      <c r="T65">
        <v>2</v>
      </c>
      <c r="U65">
        <v>9</v>
      </c>
      <c r="V65" s="2" t="s">
        <v>82</v>
      </c>
      <c r="W65" s="2" t="s">
        <v>89</v>
      </c>
      <c r="X65" s="2" t="s">
        <v>82</v>
      </c>
      <c r="Y65">
        <v>2</v>
      </c>
      <c r="Z65">
        <v>3</v>
      </c>
      <c r="AA65">
        <v>1</v>
      </c>
      <c r="AB65">
        <v>1</v>
      </c>
      <c r="AC65">
        <v>1</v>
      </c>
      <c r="AD65">
        <v>3</v>
      </c>
      <c r="AE65">
        <v>3</v>
      </c>
      <c r="AF65">
        <v>1</v>
      </c>
      <c r="AG65" s="2" t="s">
        <v>82</v>
      </c>
      <c r="AH65">
        <v>1</v>
      </c>
      <c r="AI65">
        <v>3</v>
      </c>
      <c r="AJ65">
        <v>1</v>
      </c>
      <c r="AK65">
        <v>1</v>
      </c>
      <c r="AL65">
        <v>5</v>
      </c>
      <c r="AM65">
        <v>5</v>
      </c>
      <c r="AN65">
        <v>2</v>
      </c>
      <c r="AO65">
        <v>1</v>
      </c>
      <c r="AP65">
        <v>2</v>
      </c>
      <c r="AQ65">
        <v>1</v>
      </c>
      <c r="AS65">
        <f t="shared" si="0"/>
        <v>20</v>
      </c>
      <c r="AT65" s="2" t="s">
        <v>291</v>
      </c>
      <c r="AX65">
        <f t="shared" si="1"/>
        <v>2</v>
      </c>
      <c r="AY65">
        <f t="shared" si="2"/>
        <v>3</v>
      </c>
      <c r="AZ65">
        <f t="shared" si="3"/>
        <v>3</v>
      </c>
      <c r="BB65">
        <f t="shared" si="4"/>
        <v>1</v>
      </c>
      <c r="BC65">
        <f t="shared" si="5"/>
        <v>9</v>
      </c>
      <c r="BD65">
        <f t="shared" si="6"/>
        <v>1</v>
      </c>
      <c r="BE65">
        <f t="shared" si="7"/>
        <v>3</v>
      </c>
      <c r="BF65">
        <f t="shared" si="8"/>
        <v>1</v>
      </c>
      <c r="BG65">
        <f t="shared" si="9"/>
        <v>2</v>
      </c>
      <c r="BH65">
        <f t="shared" si="10"/>
        <v>1</v>
      </c>
      <c r="BI65">
        <f t="shared" si="11"/>
        <v>1</v>
      </c>
      <c r="BK65">
        <f t="shared" si="12"/>
        <v>9</v>
      </c>
    </row>
    <row r="66" spans="1:63" ht="28.8" x14ac:dyDescent="0.3">
      <c r="A66" s="1">
        <v>45604.52416666667</v>
      </c>
      <c r="B66" s="1">
        <v>45604.52616898148</v>
      </c>
      <c r="C66">
        <v>0</v>
      </c>
      <c r="D66" s="2" t="s">
        <v>233</v>
      </c>
      <c r="E66">
        <v>100</v>
      </c>
      <c r="F66">
        <v>172</v>
      </c>
      <c r="G66">
        <v>1</v>
      </c>
      <c r="H66" s="1">
        <v>45604.526174918981</v>
      </c>
      <c r="I66" s="2" t="s">
        <v>234</v>
      </c>
      <c r="J66" s="2" t="s">
        <v>82</v>
      </c>
      <c r="K66" s="2" t="s">
        <v>82</v>
      </c>
      <c r="L66" s="2" t="s">
        <v>82</v>
      </c>
      <c r="M66" s="2" t="s">
        <v>82</v>
      </c>
      <c r="N66">
        <v>42.389400000000002</v>
      </c>
      <c r="O66">
        <v>-72.526499999999999</v>
      </c>
      <c r="P66" s="2" t="s">
        <v>83</v>
      </c>
      <c r="Q66" s="2" t="s">
        <v>84</v>
      </c>
      <c r="R66">
        <v>2</v>
      </c>
      <c r="S66" s="2" t="s">
        <v>119</v>
      </c>
      <c r="T66">
        <v>2</v>
      </c>
      <c r="U66">
        <v>4</v>
      </c>
      <c r="V66" s="2" t="s">
        <v>82</v>
      </c>
      <c r="W66" s="2" t="s">
        <v>97</v>
      </c>
      <c r="X66" s="2" t="s">
        <v>82</v>
      </c>
      <c r="Y66">
        <v>2</v>
      </c>
      <c r="Z66">
        <v>2</v>
      </c>
      <c r="AA66">
        <v>2</v>
      </c>
      <c r="AB66">
        <v>2</v>
      </c>
      <c r="AC66">
        <v>1</v>
      </c>
      <c r="AD66">
        <v>1</v>
      </c>
      <c r="AE66">
        <v>2</v>
      </c>
      <c r="AF66">
        <v>1</v>
      </c>
      <c r="AG66" s="2" t="s">
        <v>82</v>
      </c>
      <c r="AH66">
        <v>4</v>
      </c>
      <c r="AI66">
        <v>4</v>
      </c>
      <c r="AJ66">
        <v>2</v>
      </c>
      <c r="AK66">
        <v>2</v>
      </c>
      <c r="AL66">
        <v>2</v>
      </c>
      <c r="AM66">
        <v>4</v>
      </c>
      <c r="AN66">
        <v>3</v>
      </c>
      <c r="AO66">
        <v>4</v>
      </c>
      <c r="AP66">
        <v>4</v>
      </c>
      <c r="AQ66">
        <v>2</v>
      </c>
      <c r="AS66">
        <f t="shared" si="0"/>
        <v>20</v>
      </c>
      <c r="AT66" s="2" t="s">
        <v>291</v>
      </c>
      <c r="AX66">
        <f t="shared" si="1"/>
        <v>2</v>
      </c>
      <c r="AY66">
        <f t="shared" si="2"/>
        <v>2</v>
      </c>
      <c r="AZ66">
        <f t="shared" si="3"/>
        <v>2</v>
      </c>
      <c r="BB66">
        <f t="shared" si="4"/>
        <v>1</v>
      </c>
      <c r="BC66">
        <f t="shared" si="5"/>
        <v>4</v>
      </c>
      <c r="BD66">
        <f t="shared" si="6"/>
        <v>0</v>
      </c>
      <c r="BE66">
        <f t="shared" si="7"/>
        <v>4</v>
      </c>
      <c r="BF66">
        <f t="shared" si="8"/>
        <v>2</v>
      </c>
      <c r="BG66">
        <f t="shared" si="9"/>
        <v>3</v>
      </c>
      <c r="BH66">
        <f t="shared" si="10"/>
        <v>4</v>
      </c>
      <c r="BI66">
        <f t="shared" si="11"/>
        <v>2</v>
      </c>
      <c r="BK66">
        <f t="shared" si="12"/>
        <v>4</v>
      </c>
    </row>
    <row r="67" spans="1:63" ht="28.8" x14ac:dyDescent="0.3">
      <c r="A67" s="1">
        <v>45604.529189814813</v>
      </c>
      <c r="B67" s="1">
        <v>45604.531400462962</v>
      </c>
      <c r="C67">
        <v>0</v>
      </c>
      <c r="D67" s="2" t="s">
        <v>235</v>
      </c>
      <c r="E67">
        <v>100</v>
      </c>
      <c r="F67">
        <v>191</v>
      </c>
      <c r="G67">
        <v>1</v>
      </c>
      <c r="H67" s="1">
        <v>45604.531413912038</v>
      </c>
      <c r="I67" s="2" t="s">
        <v>236</v>
      </c>
      <c r="J67" s="2" t="s">
        <v>82</v>
      </c>
      <c r="K67" s="2" t="s">
        <v>82</v>
      </c>
      <c r="L67" s="2" t="s">
        <v>82</v>
      </c>
      <c r="M67" s="2" t="s">
        <v>82</v>
      </c>
      <c r="N67">
        <v>42.389400000000002</v>
      </c>
      <c r="O67">
        <v>-72.526499999999999</v>
      </c>
      <c r="P67" s="2" t="s">
        <v>83</v>
      </c>
      <c r="Q67" s="2" t="s">
        <v>84</v>
      </c>
      <c r="R67">
        <v>2</v>
      </c>
      <c r="S67" s="2" t="s">
        <v>119</v>
      </c>
      <c r="T67">
        <v>3</v>
      </c>
      <c r="U67">
        <v>3</v>
      </c>
      <c r="V67" s="2" t="s">
        <v>82</v>
      </c>
      <c r="W67" s="2" t="s">
        <v>89</v>
      </c>
      <c r="X67" s="2" t="s">
        <v>82</v>
      </c>
      <c r="Y67">
        <v>2</v>
      </c>
      <c r="Z67">
        <v>3</v>
      </c>
      <c r="AA67">
        <v>6</v>
      </c>
      <c r="AB67">
        <v>3</v>
      </c>
      <c r="AC67">
        <v>1</v>
      </c>
      <c r="AD67">
        <v>3</v>
      </c>
      <c r="AE67">
        <v>3</v>
      </c>
      <c r="AF67">
        <v>1</v>
      </c>
      <c r="AG67" s="2" t="s">
        <v>82</v>
      </c>
      <c r="AH67">
        <v>1</v>
      </c>
      <c r="AI67">
        <v>3</v>
      </c>
      <c r="AJ67">
        <v>2</v>
      </c>
      <c r="AK67">
        <v>2</v>
      </c>
      <c r="AL67">
        <v>1</v>
      </c>
      <c r="AM67">
        <v>4</v>
      </c>
      <c r="AN67">
        <v>2</v>
      </c>
      <c r="AO67">
        <v>2</v>
      </c>
      <c r="AP67">
        <v>3</v>
      </c>
      <c r="AQ67">
        <v>1</v>
      </c>
      <c r="AS67">
        <f t="shared" si="0"/>
        <v>20</v>
      </c>
      <c r="AT67" s="2" t="s">
        <v>291</v>
      </c>
      <c r="AX67">
        <f t="shared" si="1"/>
        <v>2</v>
      </c>
      <c r="AY67">
        <f t="shared" si="2"/>
        <v>3</v>
      </c>
      <c r="AZ67">
        <f t="shared" si="3"/>
        <v>3</v>
      </c>
      <c r="BB67">
        <f t="shared" si="4"/>
        <v>1</v>
      </c>
      <c r="BC67">
        <f t="shared" si="5"/>
        <v>3</v>
      </c>
      <c r="BD67">
        <f t="shared" si="6"/>
        <v>1</v>
      </c>
      <c r="BE67">
        <f t="shared" si="7"/>
        <v>3</v>
      </c>
      <c r="BF67">
        <f t="shared" si="8"/>
        <v>2</v>
      </c>
      <c r="BG67">
        <f t="shared" si="9"/>
        <v>2</v>
      </c>
      <c r="BH67">
        <f t="shared" si="10"/>
        <v>2</v>
      </c>
      <c r="BI67">
        <f t="shared" si="11"/>
        <v>6</v>
      </c>
      <c r="BK67">
        <f t="shared" si="12"/>
        <v>3</v>
      </c>
    </row>
    <row r="68" spans="1:63" ht="28.8" x14ac:dyDescent="0.3">
      <c r="A68" s="1">
        <v>45604.529826388891</v>
      </c>
      <c r="B68" s="1">
        <v>45604.531793981485</v>
      </c>
      <c r="C68">
        <v>0</v>
      </c>
      <c r="D68" s="2" t="s">
        <v>237</v>
      </c>
      <c r="E68">
        <v>100</v>
      </c>
      <c r="F68">
        <v>170</v>
      </c>
      <c r="G68">
        <v>1</v>
      </c>
      <c r="H68" s="1">
        <v>45604.531816296294</v>
      </c>
      <c r="I68" s="2" t="s">
        <v>238</v>
      </c>
      <c r="J68" s="2" t="s">
        <v>82</v>
      </c>
      <c r="K68" s="2" t="s">
        <v>82</v>
      </c>
      <c r="L68" s="2" t="s">
        <v>82</v>
      </c>
      <c r="M68" s="2" t="s">
        <v>82</v>
      </c>
      <c r="N68">
        <v>41.538200000000003</v>
      </c>
      <c r="O68">
        <v>-72.800799999999995</v>
      </c>
      <c r="P68" s="2" t="s">
        <v>83</v>
      </c>
      <c r="Q68" s="2" t="s">
        <v>84</v>
      </c>
      <c r="R68">
        <v>2</v>
      </c>
      <c r="S68" s="2" t="s">
        <v>100</v>
      </c>
      <c r="T68">
        <v>1</v>
      </c>
      <c r="U68">
        <v>6</v>
      </c>
      <c r="V68" s="2" t="s">
        <v>82</v>
      </c>
      <c r="W68" s="2" t="s">
        <v>239</v>
      </c>
      <c r="X68" s="2" t="s">
        <v>82</v>
      </c>
      <c r="Y68">
        <v>2</v>
      </c>
      <c r="Z68">
        <v>3</v>
      </c>
      <c r="AA68">
        <v>3</v>
      </c>
      <c r="AB68">
        <v>1</v>
      </c>
      <c r="AC68">
        <v>3</v>
      </c>
      <c r="AD68">
        <v>4</v>
      </c>
      <c r="AE68">
        <v>4</v>
      </c>
      <c r="AF68">
        <v>2</v>
      </c>
      <c r="AG68" s="2" t="s">
        <v>82</v>
      </c>
      <c r="AH68">
        <v>3</v>
      </c>
      <c r="AI68">
        <v>2</v>
      </c>
      <c r="AJ68">
        <v>1</v>
      </c>
      <c r="AK68" s="2" t="s">
        <v>82</v>
      </c>
      <c r="AL68">
        <v>5</v>
      </c>
      <c r="AM68">
        <v>1</v>
      </c>
      <c r="AN68">
        <v>2</v>
      </c>
      <c r="AO68">
        <v>2</v>
      </c>
      <c r="AP68">
        <v>4</v>
      </c>
      <c r="AQ68">
        <v>1</v>
      </c>
      <c r="AS68">
        <f t="shared" ref="AS68:AS89" si="13">IF(AND(ISNUMBER(VALUE(S68)), VALUE(S68)&gt;=1998, VALUE(S68)&lt;=2006), 2024 - VALUE(S68), 0)</f>
        <v>19</v>
      </c>
      <c r="AT68" s="2" t="s">
        <v>291</v>
      </c>
      <c r="AX68">
        <f t="shared" ref="AX68:AX89" si="14">VALUE(Y68)</f>
        <v>2</v>
      </c>
      <c r="AY68">
        <f t="shared" ref="AY68:AY89" si="15">VALUE(Z68)</f>
        <v>3</v>
      </c>
      <c r="AZ68">
        <f t="shared" ref="AZ68:AZ89" si="16">VALUE(AE68)</f>
        <v>4</v>
      </c>
      <c r="BB68">
        <f t="shared" ref="BB68:BB89" si="17">VALUE(AF68)</f>
        <v>2</v>
      </c>
      <c r="BC68">
        <f t="shared" ref="BC68:BC89" si="18">VALUE(U68)</f>
        <v>6</v>
      </c>
      <c r="BD68">
        <f t="shared" ref="BD68:BD89" si="19">AY68-AX68</f>
        <v>1</v>
      </c>
      <c r="BE68">
        <f t="shared" ref="BE68:BE89" si="20">VALUE(AI68)</f>
        <v>2</v>
      </c>
      <c r="BF68">
        <f t="shared" ref="BF68:BF89" si="21">VALUE(AJ68)</f>
        <v>1</v>
      </c>
      <c r="BG68">
        <f t="shared" ref="BG68:BG88" si="22">VALUE(AN68)</f>
        <v>2</v>
      </c>
      <c r="BH68">
        <f t="shared" ref="BH68:BH88" si="23">VALUE(AO68)</f>
        <v>2</v>
      </c>
      <c r="BI68">
        <f t="shared" ref="BI68:BI89" si="24">VALUE(AA68)</f>
        <v>3</v>
      </c>
      <c r="BK68">
        <f t="shared" ref="BK68:BK89" si="25">VALUE(U68)</f>
        <v>6</v>
      </c>
    </row>
    <row r="69" spans="1:63" ht="28.8" x14ac:dyDescent="0.3">
      <c r="A69" s="1">
        <v>45604.531423611108</v>
      </c>
      <c r="B69" s="1">
        <v>45604.533275462964</v>
      </c>
      <c r="C69">
        <v>0</v>
      </c>
      <c r="D69" s="2" t="s">
        <v>240</v>
      </c>
      <c r="E69">
        <v>100</v>
      </c>
      <c r="F69">
        <v>160</v>
      </c>
      <c r="G69">
        <v>1</v>
      </c>
      <c r="H69" s="1">
        <v>45604.533291770837</v>
      </c>
      <c r="I69" s="2" t="s">
        <v>241</v>
      </c>
      <c r="J69" s="2" t="s">
        <v>82</v>
      </c>
      <c r="K69" s="2" t="s">
        <v>82</v>
      </c>
      <c r="L69" s="2" t="s">
        <v>82</v>
      </c>
      <c r="M69" s="2" t="s">
        <v>82</v>
      </c>
      <c r="N69">
        <v>42.466700000000003</v>
      </c>
      <c r="O69">
        <v>-72.578699999999998</v>
      </c>
      <c r="P69" s="2" t="s">
        <v>83</v>
      </c>
      <c r="Q69" s="2" t="s">
        <v>84</v>
      </c>
      <c r="R69">
        <v>2</v>
      </c>
      <c r="S69" s="2" t="s">
        <v>106</v>
      </c>
      <c r="T69">
        <v>5</v>
      </c>
      <c r="U69">
        <v>4</v>
      </c>
      <c r="V69" s="2" t="s">
        <v>82</v>
      </c>
      <c r="W69" s="2" t="s">
        <v>111</v>
      </c>
      <c r="X69" s="2" t="s">
        <v>82</v>
      </c>
      <c r="Y69">
        <v>3</v>
      </c>
      <c r="Z69">
        <v>3</v>
      </c>
      <c r="AA69">
        <v>8</v>
      </c>
      <c r="AB69">
        <v>3</v>
      </c>
      <c r="AC69">
        <v>1</v>
      </c>
      <c r="AD69">
        <v>2</v>
      </c>
      <c r="AE69">
        <v>3</v>
      </c>
      <c r="AF69">
        <v>2</v>
      </c>
      <c r="AG69" s="2" t="s">
        <v>82</v>
      </c>
      <c r="AH69">
        <v>1</v>
      </c>
      <c r="AI69">
        <v>4</v>
      </c>
      <c r="AJ69">
        <v>2</v>
      </c>
      <c r="AK69">
        <v>2</v>
      </c>
      <c r="AL69">
        <v>1</v>
      </c>
      <c r="AM69">
        <v>1</v>
      </c>
      <c r="AN69">
        <v>3</v>
      </c>
      <c r="AO69">
        <v>3</v>
      </c>
      <c r="AP69">
        <v>1</v>
      </c>
      <c r="AQ69">
        <v>2</v>
      </c>
      <c r="AS69">
        <f t="shared" si="13"/>
        <v>22</v>
      </c>
      <c r="AT69" s="2" t="s">
        <v>293</v>
      </c>
      <c r="AX69">
        <f t="shared" si="14"/>
        <v>3</v>
      </c>
      <c r="AY69">
        <f t="shared" si="15"/>
        <v>3</v>
      </c>
      <c r="AZ69">
        <f t="shared" si="16"/>
        <v>3</v>
      </c>
      <c r="BB69">
        <f t="shared" si="17"/>
        <v>2</v>
      </c>
      <c r="BC69">
        <f t="shared" si="18"/>
        <v>4</v>
      </c>
      <c r="BD69">
        <f t="shared" si="19"/>
        <v>0</v>
      </c>
      <c r="BE69">
        <f t="shared" si="20"/>
        <v>4</v>
      </c>
      <c r="BF69">
        <f t="shared" si="21"/>
        <v>2</v>
      </c>
      <c r="BG69">
        <f t="shared" si="22"/>
        <v>3</v>
      </c>
      <c r="BH69">
        <f t="shared" si="23"/>
        <v>3</v>
      </c>
      <c r="BI69">
        <f t="shared" si="24"/>
        <v>8</v>
      </c>
      <c r="BK69">
        <f t="shared" si="25"/>
        <v>4</v>
      </c>
    </row>
    <row r="70" spans="1:63" ht="28.8" x14ac:dyDescent="0.3">
      <c r="A70" s="1">
        <v>45604.551041666666</v>
      </c>
      <c r="B70" s="1">
        <v>45604.552604166667</v>
      </c>
      <c r="C70">
        <v>0</v>
      </c>
      <c r="D70" s="2" t="s">
        <v>242</v>
      </c>
      <c r="E70">
        <v>100</v>
      </c>
      <c r="F70">
        <v>134</v>
      </c>
      <c r="G70">
        <v>1</v>
      </c>
      <c r="H70" s="1">
        <v>45604.552616701389</v>
      </c>
      <c r="I70" s="2" t="s">
        <v>243</v>
      </c>
      <c r="J70" s="2" t="s">
        <v>82</v>
      </c>
      <c r="K70" s="2" t="s">
        <v>82</v>
      </c>
      <c r="L70" s="2" t="s">
        <v>82</v>
      </c>
      <c r="M70" s="2" t="s">
        <v>82</v>
      </c>
      <c r="N70">
        <v>41.760100000000001</v>
      </c>
      <c r="O70">
        <v>-70.082800000000006</v>
      </c>
      <c r="P70" s="2" t="s">
        <v>83</v>
      </c>
      <c r="Q70" s="2" t="s">
        <v>84</v>
      </c>
      <c r="R70">
        <v>2</v>
      </c>
      <c r="S70" s="2" t="s">
        <v>85</v>
      </c>
      <c r="T70">
        <v>4</v>
      </c>
      <c r="U70">
        <v>2</v>
      </c>
      <c r="V70" s="2" t="s">
        <v>82</v>
      </c>
      <c r="W70" s="2" t="s">
        <v>97</v>
      </c>
      <c r="X70" s="2" t="s">
        <v>82</v>
      </c>
      <c r="Y70">
        <v>2</v>
      </c>
      <c r="Z70">
        <v>4</v>
      </c>
      <c r="AA70">
        <v>5</v>
      </c>
      <c r="AB70">
        <v>2</v>
      </c>
      <c r="AC70">
        <v>1</v>
      </c>
      <c r="AD70">
        <v>1</v>
      </c>
      <c r="AE70">
        <v>4</v>
      </c>
      <c r="AF70">
        <v>2</v>
      </c>
      <c r="AG70" s="2" t="s">
        <v>82</v>
      </c>
      <c r="AH70">
        <v>1</v>
      </c>
      <c r="AI70">
        <v>1</v>
      </c>
      <c r="AJ70">
        <v>1</v>
      </c>
      <c r="AK70">
        <v>2</v>
      </c>
      <c r="AL70">
        <v>5</v>
      </c>
      <c r="AM70">
        <v>1</v>
      </c>
      <c r="AN70">
        <v>2</v>
      </c>
      <c r="AO70">
        <v>2</v>
      </c>
      <c r="AP70">
        <v>2</v>
      </c>
      <c r="AQ70">
        <v>1</v>
      </c>
      <c r="AS70">
        <f t="shared" si="13"/>
        <v>21</v>
      </c>
      <c r="AT70" s="2" t="s">
        <v>291</v>
      </c>
      <c r="AX70">
        <f t="shared" si="14"/>
        <v>2</v>
      </c>
      <c r="AY70">
        <f t="shared" si="15"/>
        <v>4</v>
      </c>
      <c r="AZ70">
        <f t="shared" si="16"/>
        <v>4</v>
      </c>
      <c r="BB70">
        <f t="shared" si="17"/>
        <v>2</v>
      </c>
      <c r="BC70">
        <f t="shared" si="18"/>
        <v>2</v>
      </c>
      <c r="BD70">
        <f t="shared" si="19"/>
        <v>2</v>
      </c>
      <c r="BE70">
        <f t="shared" si="20"/>
        <v>1</v>
      </c>
      <c r="BF70">
        <f t="shared" si="21"/>
        <v>1</v>
      </c>
      <c r="BG70">
        <f t="shared" si="22"/>
        <v>2</v>
      </c>
      <c r="BH70">
        <f t="shared" si="23"/>
        <v>2</v>
      </c>
      <c r="BI70">
        <f t="shared" si="24"/>
        <v>5</v>
      </c>
      <c r="BK70">
        <f t="shared" si="25"/>
        <v>2</v>
      </c>
    </row>
    <row r="71" spans="1:63" ht="28.8" x14ac:dyDescent="0.3">
      <c r="A71" s="1">
        <v>45604.552916666667</v>
      </c>
      <c r="B71" s="1">
        <v>45604.55636574074</v>
      </c>
      <c r="C71">
        <v>0</v>
      </c>
      <c r="D71" s="2" t="s">
        <v>242</v>
      </c>
      <c r="E71">
        <v>100</v>
      </c>
      <c r="F71">
        <v>297</v>
      </c>
      <c r="G71">
        <v>1</v>
      </c>
      <c r="H71" s="1">
        <v>45604.55638021991</v>
      </c>
      <c r="I71" s="2" t="s">
        <v>244</v>
      </c>
      <c r="J71" s="2" t="s">
        <v>82</v>
      </c>
      <c r="K71" s="2" t="s">
        <v>82</v>
      </c>
      <c r="L71" s="2" t="s">
        <v>82</v>
      </c>
      <c r="M71" s="2" t="s">
        <v>82</v>
      </c>
      <c r="N71">
        <v>41.760100000000001</v>
      </c>
      <c r="O71">
        <v>-70.082800000000006</v>
      </c>
      <c r="P71" s="2" t="s">
        <v>83</v>
      </c>
      <c r="Q71" s="2" t="s">
        <v>84</v>
      </c>
      <c r="R71">
        <v>2</v>
      </c>
      <c r="S71" s="2" t="s">
        <v>85</v>
      </c>
      <c r="T71">
        <v>4</v>
      </c>
      <c r="U71">
        <v>2</v>
      </c>
      <c r="V71" s="2" t="s">
        <v>82</v>
      </c>
      <c r="W71" s="2" t="s">
        <v>97</v>
      </c>
      <c r="X71" s="2" t="s">
        <v>82</v>
      </c>
      <c r="Y71">
        <v>2</v>
      </c>
      <c r="Z71">
        <v>3</v>
      </c>
      <c r="AA71">
        <v>4</v>
      </c>
      <c r="AB71">
        <v>2</v>
      </c>
      <c r="AC71">
        <v>1</v>
      </c>
      <c r="AD71">
        <v>1</v>
      </c>
      <c r="AE71">
        <v>4</v>
      </c>
      <c r="AF71">
        <v>2</v>
      </c>
      <c r="AG71" s="2" t="s">
        <v>82</v>
      </c>
      <c r="AH71">
        <v>1</v>
      </c>
      <c r="AI71">
        <v>1</v>
      </c>
      <c r="AJ71">
        <v>1</v>
      </c>
      <c r="AK71">
        <v>2</v>
      </c>
      <c r="AL71">
        <v>5</v>
      </c>
      <c r="AM71">
        <v>1</v>
      </c>
      <c r="AN71">
        <v>2</v>
      </c>
      <c r="AO71">
        <v>3</v>
      </c>
      <c r="AP71">
        <v>3</v>
      </c>
      <c r="AQ71">
        <v>1</v>
      </c>
      <c r="AS71">
        <f t="shared" si="13"/>
        <v>21</v>
      </c>
      <c r="AT71" s="2" t="s">
        <v>291</v>
      </c>
      <c r="AX71">
        <f t="shared" si="14"/>
        <v>2</v>
      </c>
      <c r="AY71">
        <f t="shared" si="15"/>
        <v>3</v>
      </c>
      <c r="AZ71">
        <f t="shared" si="16"/>
        <v>4</v>
      </c>
      <c r="BB71">
        <f t="shared" si="17"/>
        <v>2</v>
      </c>
      <c r="BC71">
        <f t="shared" si="18"/>
        <v>2</v>
      </c>
      <c r="BD71">
        <f t="shared" si="19"/>
        <v>1</v>
      </c>
      <c r="BE71">
        <f t="shared" si="20"/>
        <v>1</v>
      </c>
      <c r="BF71">
        <f t="shared" si="21"/>
        <v>1</v>
      </c>
      <c r="BG71">
        <f t="shared" si="22"/>
        <v>2</v>
      </c>
      <c r="BH71">
        <f t="shared" si="23"/>
        <v>3</v>
      </c>
      <c r="BI71">
        <f t="shared" si="24"/>
        <v>4</v>
      </c>
      <c r="BK71">
        <f t="shared" si="25"/>
        <v>2</v>
      </c>
    </row>
    <row r="72" spans="1:63" ht="28.8" x14ac:dyDescent="0.3">
      <c r="A72" s="1">
        <v>45604.557233796295</v>
      </c>
      <c r="B72" s="1">
        <v>45604.558935185189</v>
      </c>
      <c r="C72">
        <v>0</v>
      </c>
      <c r="D72" s="2" t="s">
        <v>245</v>
      </c>
      <c r="E72">
        <v>100</v>
      </c>
      <c r="F72">
        <v>147</v>
      </c>
      <c r="G72">
        <v>1</v>
      </c>
      <c r="H72" s="1">
        <v>45604.558953541666</v>
      </c>
      <c r="I72" s="2" t="s">
        <v>246</v>
      </c>
      <c r="J72" s="2" t="s">
        <v>82</v>
      </c>
      <c r="K72" s="2" t="s">
        <v>82</v>
      </c>
      <c r="L72" s="2" t="s">
        <v>82</v>
      </c>
      <c r="M72" s="2" t="s">
        <v>82</v>
      </c>
      <c r="N72">
        <v>42.389400000000002</v>
      </c>
      <c r="O72">
        <v>-72.526499999999999</v>
      </c>
      <c r="P72" s="2" t="s">
        <v>83</v>
      </c>
      <c r="Q72" s="2" t="s">
        <v>84</v>
      </c>
      <c r="R72">
        <v>2</v>
      </c>
      <c r="S72" s="2" t="s">
        <v>119</v>
      </c>
      <c r="T72">
        <v>3</v>
      </c>
      <c r="U72">
        <v>3</v>
      </c>
      <c r="V72" s="2" t="s">
        <v>82</v>
      </c>
      <c r="W72" s="2" t="s">
        <v>97</v>
      </c>
      <c r="X72" s="2" t="s">
        <v>82</v>
      </c>
      <c r="Y72">
        <v>2</v>
      </c>
      <c r="Z72">
        <v>2</v>
      </c>
      <c r="AA72">
        <v>6</v>
      </c>
      <c r="AB72">
        <v>2</v>
      </c>
      <c r="AC72">
        <v>1</v>
      </c>
      <c r="AD72">
        <v>2</v>
      </c>
      <c r="AE72">
        <v>4</v>
      </c>
      <c r="AF72">
        <v>2</v>
      </c>
      <c r="AG72" s="2" t="s">
        <v>82</v>
      </c>
      <c r="AH72">
        <v>5</v>
      </c>
      <c r="AI72">
        <v>3</v>
      </c>
      <c r="AJ72">
        <v>2</v>
      </c>
      <c r="AK72">
        <v>2</v>
      </c>
      <c r="AL72">
        <v>3</v>
      </c>
      <c r="AM72">
        <v>4</v>
      </c>
      <c r="AN72">
        <v>4</v>
      </c>
      <c r="AO72">
        <v>3</v>
      </c>
      <c r="AP72">
        <v>3</v>
      </c>
      <c r="AQ72">
        <v>2</v>
      </c>
      <c r="AS72">
        <f t="shared" si="13"/>
        <v>20</v>
      </c>
      <c r="AT72" s="2" t="s">
        <v>291</v>
      </c>
      <c r="AX72">
        <f t="shared" si="14"/>
        <v>2</v>
      </c>
      <c r="AY72">
        <f t="shared" si="15"/>
        <v>2</v>
      </c>
      <c r="AZ72">
        <f t="shared" si="16"/>
        <v>4</v>
      </c>
      <c r="BB72">
        <f t="shared" si="17"/>
        <v>2</v>
      </c>
      <c r="BC72">
        <f t="shared" si="18"/>
        <v>3</v>
      </c>
      <c r="BD72">
        <f t="shared" si="19"/>
        <v>0</v>
      </c>
      <c r="BE72">
        <f t="shared" si="20"/>
        <v>3</v>
      </c>
      <c r="BF72">
        <f t="shared" si="21"/>
        <v>2</v>
      </c>
      <c r="BG72">
        <f t="shared" si="22"/>
        <v>4</v>
      </c>
      <c r="BH72">
        <f t="shared" si="23"/>
        <v>3</v>
      </c>
      <c r="BI72">
        <f t="shared" si="24"/>
        <v>6</v>
      </c>
      <c r="BK72">
        <f t="shared" si="25"/>
        <v>3</v>
      </c>
    </row>
    <row r="73" spans="1:63" ht="28.8" x14ac:dyDescent="0.3">
      <c r="A73" s="1">
        <v>45604.617094907408</v>
      </c>
      <c r="B73" s="1">
        <v>45604.618854166663</v>
      </c>
      <c r="C73">
        <v>0</v>
      </c>
      <c r="D73" s="2" t="s">
        <v>247</v>
      </c>
      <c r="E73">
        <v>100</v>
      </c>
      <c r="F73">
        <v>151</v>
      </c>
      <c r="G73">
        <v>1</v>
      </c>
      <c r="H73" s="1">
        <v>45604.618872557869</v>
      </c>
      <c r="I73" s="2" t="s">
        <v>248</v>
      </c>
      <c r="J73" s="2" t="s">
        <v>82</v>
      </c>
      <c r="K73" s="2" t="s">
        <v>82</v>
      </c>
      <c r="L73" s="2" t="s">
        <v>82</v>
      </c>
      <c r="M73" s="2" t="s">
        <v>82</v>
      </c>
      <c r="N73">
        <v>40.014899999999997</v>
      </c>
      <c r="O73">
        <v>-75.143900000000002</v>
      </c>
      <c r="P73" s="2" t="s">
        <v>83</v>
      </c>
      <c r="Q73" s="2" t="s">
        <v>84</v>
      </c>
      <c r="R73">
        <v>2</v>
      </c>
      <c r="S73" s="2" t="s">
        <v>85</v>
      </c>
      <c r="T73">
        <v>4</v>
      </c>
      <c r="U73">
        <v>9</v>
      </c>
      <c r="V73" s="2" t="s">
        <v>82</v>
      </c>
      <c r="W73" s="2" t="s">
        <v>89</v>
      </c>
      <c r="X73" s="2" t="s">
        <v>82</v>
      </c>
      <c r="Y73">
        <v>3</v>
      </c>
      <c r="Z73">
        <v>3</v>
      </c>
      <c r="AA73">
        <v>4</v>
      </c>
      <c r="AB73">
        <v>1</v>
      </c>
      <c r="AC73">
        <v>1</v>
      </c>
      <c r="AD73">
        <v>3</v>
      </c>
      <c r="AE73">
        <v>4</v>
      </c>
      <c r="AF73">
        <v>2</v>
      </c>
      <c r="AG73" s="2" t="s">
        <v>82</v>
      </c>
      <c r="AH73">
        <v>4</v>
      </c>
      <c r="AI73">
        <v>3</v>
      </c>
      <c r="AJ73">
        <v>4</v>
      </c>
      <c r="AK73">
        <v>2</v>
      </c>
      <c r="AL73">
        <v>2</v>
      </c>
      <c r="AM73">
        <v>5</v>
      </c>
      <c r="AN73">
        <v>1</v>
      </c>
      <c r="AO73">
        <v>2</v>
      </c>
      <c r="AP73">
        <v>2</v>
      </c>
      <c r="AQ73">
        <v>1</v>
      </c>
      <c r="AS73">
        <f t="shared" si="13"/>
        <v>21</v>
      </c>
      <c r="AT73" s="2" t="s">
        <v>293</v>
      </c>
      <c r="AX73">
        <f t="shared" si="14"/>
        <v>3</v>
      </c>
      <c r="AY73">
        <f t="shared" si="15"/>
        <v>3</v>
      </c>
      <c r="AZ73">
        <f t="shared" si="16"/>
        <v>4</v>
      </c>
      <c r="BB73">
        <f t="shared" si="17"/>
        <v>2</v>
      </c>
      <c r="BC73">
        <f t="shared" si="18"/>
        <v>9</v>
      </c>
      <c r="BD73">
        <f t="shared" si="19"/>
        <v>0</v>
      </c>
      <c r="BE73">
        <f t="shared" si="20"/>
        <v>3</v>
      </c>
      <c r="BF73">
        <f t="shared" si="21"/>
        <v>4</v>
      </c>
      <c r="BG73">
        <f t="shared" si="22"/>
        <v>1</v>
      </c>
      <c r="BH73">
        <f t="shared" si="23"/>
        <v>2</v>
      </c>
      <c r="BI73">
        <f t="shared" si="24"/>
        <v>4</v>
      </c>
      <c r="BK73">
        <f t="shared" si="25"/>
        <v>9</v>
      </c>
    </row>
    <row r="74" spans="1:63" ht="28.8" x14ac:dyDescent="0.3">
      <c r="A74" s="1">
        <v>45606.038923611108</v>
      </c>
      <c r="B74" s="1">
        <v>45606.041006944448</v>
      </c>
      <c r="C74">
        <v>0</v>
      </c>
      <c r="D74" s="2" t="s">
        <v>249</v>
      </c>
      <c r="E74">
        <v>100</v>
      </c>
      <c r="F74">
        <v>179</v>
      </c>
      <c r="G74">
        <v>1</v>
      </c>
      <c r="H74" s="1">
        <v>45606.041023240738</v>
      </c>
      <c r="I74" s="2" t="s">
        <v>250</v>
      </c>
      <c r="J74" s="2" t="s">
        <v>82</v>
      </c>
      <c r="K74" s="2" t="s">
        <v>82</v>
      </c>
      <c r="L74" s="2" t="s">
        <v>82</v>
      </c>
      <c r="M74" s="2" t="s">
        <v>82</v>
      </c>
      <c r="N74">
        <v>42.389400000000002</v>
      </c>
      <c r="O74">
        <v>-72.526499999999999</v>
      </c>
      <c r="P74" s="2" t="s">
        <v>83</v>
      </c>
      <c r="Q74" s="2" t="s">
        <v>84</v>
      </c>
      <c r="R74">
        <v>1</v>
      </c>
      <c r="S74" s="2" t="s">
        <v>100</v>
      </c>
      <c r="T74">
        <v>1</v>
      </c>
      <c r="U74">
        <v>3</v>
      </c>
      <c r="V74" s="2" t="s">
        <v>82</v>
      </c>
      <c r="W74" s="2" t="s">
        <v>82</v>
      </c>
      <c r="X74" s="2" t="s">
        <v>82</v>
      </c>
      <c r="Y74">
        <v>2</v>
      </c>
      <c r="Z74">
        <v>2</v>
      </c>
      <c r="AA74">
        <v>7</v>
      </c>
      <c r="AB74">
        <v>4</v>
      </c>
      <c r="AC74">
        <v>1</v>
      </c>
      <c r="AD74">
        <v>2</v>
      </c>
      <c r="AE74">
        <v>4</v>
      </c>
      <c r="AF74">
        <v>3</v>
      </c>
      <c r="AG74" s="2" t="s">
        <v>82</v>
      </c>
      <c r="AH74">
        <v>1</v>
      </c>
      <c r="AI74">
        <v>4</v>
      </c>
      <c r="AJ74">
        <v>1</v>
      </c>
      <c r="AK74">
        <v>1</v>
      </c>
      <c r="AL74">
        <v>4</v>
      </c>
      <c r="AM74">
        <v>1</v>
      </c>
      <c r="AN74">
        <v>2</v>
      </c>
      <c r="AO74">
        <v>3</v>
      </c>
      <c r="AP74">
        <v>3</v>
      </c>
      <c r="AQ74">
        <v>2</v>
      </c>
      <c r="AS74">
        <f t="shared" si="13"/>
        <v>19</v>
      </c>
      <c r="AT74" s="2" t="s">
        <v>291</v>
      </c>
      <c r="AX74">
        <f t="shared" si="14"/>
        <v>2</v>
      </c>
      <c r="AY74">
        <f t="shared" si="15"/>
        <v>2</v>
      </c>
      <c r="AZ74">
        <f t="shared" si="16"/>
        <v>4</v>
      </c>
      <c r="BB74">
        <f t="shared" si="17"/>
        <v>3</v>
      </c>
      <c r="BC74">
        <f t="shared" si="18"/>
        <v>3</v>
      </c>
      <c r="BD74">
        <f t="shared" si="19"/>
        <v>0</v>
      </c>
      <c r="BE74">
        <f t="shared" si="20"/>
        <v>4</v>
      </c>
      <c r="BF74">
        <f t="shared" si="21"/>
        <v>1</v>
      </c>
      <c r="BG74">
        <f t="shared" si="22"/>
        <v>2</v>
      </c>
      <c r="BH74">
        <f t="shared" si="23"/>
        <v>3</v>
      </c>
      <c r="BI74">
        <f t="shared" si="24"/>
        <v>7</v>
      </c>
      <c r="BK74">
        <f t="shared" si="25"/>
        <v>3</v>
      </c>
    </row>
    <row r="75" spans="1:63" ht="28.8" x14ac:dyDescent="0.3">
      <c r="A75" s="1">
        <v>45608.592777777776</v>
      </c>
      <c r="B75" s="1">
        <v>45608.595011574071</v>
      </c>
      <c r="C75">
        <v>0</v>
      </c>
      <c r="D75" s="2" t="s">
        <v>251</v>
      </c>
      <c r="E75">
        <v>100</v>
      </c>
      <c r="F75">
        <v>193</v>
      </c>
      <c r="G75">
        <v>1</v>
      </c>
      <c r="H75" s="1">
        <v>45608.595024502312</v>
      </c>
      <c r="I75" s="2" t="s">
        <v>252</v>
      </c>
      <c r="J75" s="2" t="s">
        <v>82</v>
      </c>
      <c r="K75" s="2" t="s">
        <v>82</v>
      </c>
      <c r="L75" s="2" t="s">
        <v>82</v>
      </c>
      <c r="M75" s="2" t="s">
        <v>82</v>
      </c>
      <c r="N75">
        <v>42.389400000000002</v>
      </c>
      <c r="O75">
        <v>-72.526499999999999</v>
      </c>
      <c r="P75" s="2" t="s">
        <v>83</v>
      </c>
      <c r="Q75" s="2" t="s">
        <v>84</v>
      </c>
      <c r="R75">
        <v>1</v>
      </c>
      <c r="S75" s="2" t="s">
        <v>119</v>
      </c>
      <c r="T75">
        <v>3</v>
      </c>
      <c r="U75">
        <v>4</v>
      </c>
      <c r="V75" s="2" t="s">
        <v>82</v>
      </c>
      <c r="W75" s="2" t="s">
        <v>253</v>
      </c>
      <c r="X75" s="2" t="s">
        <v>254</v>
      </c>
      <c r="Y75">
        <v>5</v>
      </c>
      <c r="Z75">
        <v>3</v>
      </c>
      <c r="AA75">
        <v>3</v>
      </c>
      <c r="AB75">
        <v>3</v>
      </c>
      <c r="AC75">
        <v>1</v>
      </c>
      <c r="AD75">
        <v>3</v>
      </c>
      <c r="AE75">
        <v>5</v>
      </c>
      <c r="AF75">
        <v>2</v>
      </c>
      <c r="AG75" s="2" t="s">
        <v>82</v>
      </c>
      <c r="AH75">
        <v>5</v>
      </c>
      <c r="AI75">
        <v>2</v>
      </c>
      <c r="AJ75">
        <v>2</v>
      </c>
      <c r="AK75">
        <v>2</v>
      </c>
      <c r="AL75">
        <v>1</v>
      </c>
      <c r="AM75">
        <v>1</v>
      </c>
      <c r="AN75">
        <v>4</v>
      </c>
      <c r="AO75">
        <v>1</v>
      </c>
      <c r="AP75">
        <v>4</v>
      </c>
      <c r="AQ75">
        <v>1</v>
      </c>
      <c r="AS75">
        <f t="shared" si="13"/>
        <v>20</v>
      </c>
      <c r="AT75" s="2" t="s">
        <v>292</v>
      </c>
      <c r="AX75">
        <f t="shared" si="14"/>
        <v>5</v>
      </c>
      <c r="AY75">
        <f t="shared" si="15"/>
        <v>3</v>
      </c>
      <c r="AZ75">
        <f t="shared" si="16"/>
        <v>5</v>
      </c>
      <c r="BB75">
        <f t="shared" si="17"/>
        <v>2</v>
      </c>
      <c r="BC75">
        <f t="shared" si="18"/>
        <v>4</v>
      </c>
      <c r="BD75">
        <f t="shared" si="19"/>
        <v>-2</v>
      </c>
      <c r="BE75">
        <f t="shared" si="20"/>
        <v>2</v>
      </c>
      <c r="BF75">
        <f t="shared" si="21"/>
        <v>2</v>
      </c>
      <c r="BG75">
        <f t="shared" si="22"/>
        <v>4</v>
      </c>
      <c r="BH75">
        <f t="shared" si="23"/>
        <v>1</v>
      </c>
      <c r="BI75">
        <f t="shared" si="24"/>
        <v>3</v>
      </c>
      <c r="BK75">
        <f t="shared" si="25"/>
        <v>4</v>
      </c>
    </row>
    <row r="76" spans="1:63" ht="28.8" x14ac:dyDescent="0.3">
      <c r="A76" s="1">
        <v>45608.592719907407</v>
      </c>
      <c r="B76" s="1">
        <v>45608.595092592594</v>
      </c>
      <c r="C76">
        <v>0</v>
      </c>
      <c r="D76" s="2" t="s">
        <v>255</v>
      </c>
      <c r="E76">
        <v>100</v>
      </c>
      <c r="F76">
        <v>204</v>
      </c>
      <c r="G76">
        <v>1</v>
      </c>
      <c r="H76" s="1">
        <v>45608.595103506945</v>
      </c>
      <c r="I76" s="2" t="s">
        <v>256</v>
      </c>
      <c r="J76" s="2" t="s">
        <v>82</v>
      </c>
      <c r="K76" s="2" t="s">
        <v>82</v>
      </c>
      <c r="L76" s="2" t="s">
        <v>82</v>
      </c>
      <c r="M76" s="2" t="s">
        <v>82</v>
      </c>
      <c r="N76">
        <v>42.389400000000002</v>
      </c>
      <c r="O76">
        <v>-72.526499999999999</v>
      </c>
      <c r="P76" s="2" t="s">
        <v>83</v>
      </c>
      <c r="Q76" s="2" t="s">
        <v>84</v>
      </c>
      <c r="R76">
        <v>1</v>
      </c>
      <c r="S76" s="2" t="s">
        <v>119</v>
      </c>
      <c r="T76">
        <v>3</v>
      </c>
      <c r="U76">
        <v>8</v>
      </c>
      <c r="V76" s="2" t="s">
        <v>82</v>
      </c>
      <c r="W76" s="2" t="s">
        <v>253</v>
      </c>
      <c r="X76" s="2" t="s">
        <v>257</v>
      </c>
      <c r="Y76">
        <v>5</v>
      </c>
      <c r="Z76">
        <v>3</v>
      </c>
      <c r="AA76">
        <v>6</v>
      </c>
      <c r="AB76">
        <v>3</v>
      </c>
      <c r="AC76">
        <v>1</v>
      </c>
      <c r="AD76">
        <v>3</v>
      </c>
      <c r="AE76">
        <v>5</v>
      </c>
      <c r="AF76">
        <v>3</v>
      </c>
      <c r="AG76" s="2" t="s">
        <v>82</v>
      </c>
      <c r="AH76">
        <v>5</v>
      </c>
      <c r="AI76">
        <v>3</v>
      </c>
      <c r="AJ76">
        <v>2</v>
      </c>
      <c r="AK76">
        <v>2</v>
      </c>
      <c r="AL76">
        <v>2</v>
      </c>
      <c r="AM76">
        <v>1</v>
      </c>
      <c r="AN76">
        <v>3</v>
      </c>
      <c r="AO76">
        <v>1</v>
      </c>
      <c r="AP76">
        <v>1</v>
      </c>
      <c r="AQ76">
        <v>1</v>
      </c>
      <c r="AS76">
        <f t="shared" si="13"/>
        <v>20</v>
      </c>
      <c r="AT76" s="2" t="s">
        <v>292</v>
      </c>
      <c r="AX76">
        <f t="shared" si="14"/>
        <v>5</v>
      </c>
      <c r="AY76">
        <f t="shared" si="15"/>
        <v>3</v>
      </c>
      <c r="AZ76">
        <f t="shared" si="16"/>
        <v>5</v>
      </c>
      <c r="BB76">
        <f t="shared" si="17"/>
        <v>3</v>
      </c>
      <c r="BC76">
        <f t="shared" si="18"/>
        <v>8</v>
      </c>
      <c r="BD76">
        <f t="shared" si="19"/>
        <v>-2</v>
      </c>
      <c r="BE76">
        <f t="shared" si="20"/>
        <v>3</v>
      </c>
      <c r="BF76">
        <f t="shared" si="21"/>
        <v>2</v>
      </c>
      <c r="BG76">
        <f t="shared" si="22"/>
        <v>3</v>
      </c>
      <c r="BH76">
        <f t="shared" si="23"/>
        <v>1</v>
      </c>
      <c r="BI76">
        <f t="shared" si="24"/>
        <v>6</v>
      </c>
      <c r="BK76">
        <f t="shared" si="25"/>
        <v>8</v>
      </c>
    </row>
    <row r="77" spans="1:63" ht="28.8" x14ac:dyDescent="0.3">
      <c r="A77" s="1">
        <v>45602.529374999998</v>
      </c>
      <c r="B77" s="1">
        <v>45602.53</v>
      </c>
      <c r="C77">
        <v>0</v>
      </c>
      <c r="D77" s="2" t="s">
        <v>258</v>
      </c>
      <c r="E77">
        <v>88</v>
      </c>
      <c r="F77">
        <v>54</v>
      </c>
      <c r="G77">
        <v>0</v>
      </c>
      <c r="H77" s="1">
        <v>45609.530013888892</v>
      </c>
      <c r="I77" s="2" t="s">
        <v>259</v>
      </c>
      <c r="J77" s="2" t="s">
        <v>82</v>
      </c>
      <c r="K77" s="2" t="s">
        <v>82</v>
      </c>
      <c r="L77" s="2" t="s">
        <v>82</v>
      </c>
      <c r="M77" s="2" t="s">
        <v>82</v>
      </c>
      <c r="N77" s="2" t="s">
        <v>82</v>
      </c>
      <c r="O77" s="2" t="s">
        <v>82</v>
      </c>
      <c r="P77" s="2" t="s">
        <v>83</v>
      </c>
      <c r="Q77" s="2" t="s">
        <v>84</v>
      </c>
      <c r="R77">
        <v>2</v>
      </c>
      <c r="S77" s="2" t="s">
        <v>119</v>
      </c>
      <c r="T77">
        <v>2</v>
      </c>
      <c r="U77">
        <v>10</v>
      </c>
      <c r="V77" s="2" t="s">
        <v>82</v>
      </c>
      <c r="W77" s="2" t="s">
        <v>95</v>
      </c>
      <c r="X77" s="2" t="s">
        <v>82</v>
      </c>
      <c r="Y77">
        <v>2</v>
      </c>
      <c r="Z77">
        <v>3</v>
      </c>
      <c r="AA77">
        <v>4</v>
      </c>
      <c r="AB77">
        <v>3</v>
      </c>
      <c r="AC77">
        <v>1</v>
      </c>
      <c r="AD77">
        <v>1</v>
      </c>
      <c r="AE77">
        <v>2</v>
      </c>
      <c r="AF77">
        <v>1</v>
      </c>
      <c r="AG77" s="2" t="s">
        <v>82</v>
      </c>
      <c r="AH77">
        <v>1</v>
      </c>
      <c r="AI77" s="2" t="s">
        <v>82</v>
      </c>
      <c r="AJ77" s="2" t="s">
        <v>82</v>
      </c>
      <c r="AK77" s="2" t="s">
        <v>82</v>
      </c>
      <c r="AL77" s="2" t="s">
        <v>82</v>
      </c>
      <c r="AM77" s="2" t="s">
        <v>82</v>
      </c>
      <c r="AN77" s="2" t="s">
        <v>82</v>
      </c>
      <c r="AO77" s="2" t="s">
        <v>82</v>
      </c>
      <c r="AP77" s="2" t="s">
        <v>82</v>
      </c>
      <c r="AQ77" s="2" t="s">
        <v>82</v>
      </c>
      <c r="AS77">
        <f t="shared" si="13"/>
        <v>20</v>
      </c>
      <c r="AT77" s="2" t="s">
        <v>291</v>
      </c>
      <c r="AX77">
        <f t="shared" si="14"/>
        <v>2</v>
      </c>
      <c r="AY77">
        <f t="shared" si="15"/>
        <v>3</v>
      </c>
      <c r="AZ77">
        <f t="shared" si="16"/>
        <v>2</v>
      </c>
      <c r="BB77">
        <f t="shared" si="17"/>
        <v>1</v>
      </c>
      <c r="BC77">
        <f t="shared" si="18"/>
        <v>10</v>
      </c>
      <c r="BD77">
        <f t="shared" si="19"/>
        <v>1</v>
      </c>
      <c r="BE77">
        <v>0</v>
      </c>
      <c r="BF77">
        <v>0</v>
      </c>
      <c r="BG77">
        <v>0</v>
      </c>
      <c r="BH77">
        <v>0</v>
      </c>
      <c r="BI77">
        <f t="shared" si="24"/>
        <v>4</v>
      </c>
      <c r="BK77">
        <f t="shared" si="25"/>
        <v>10</v>
      </c>
    </row>
    <row r="78" spans="1:63" ht="28.8" x14ac:dyDescent="0.3">
      <c r="A78" s="1">
        <v>45602.604861111111</v>
      </c>
      <c r="B78" s="1">
        <v>45602.605729166666</v>
      </c>
      <c r="C78">
        <v>0</v>
      </c>
      <c r="D78" s="2" t="s">
        <v>260</v>
      </c>
      <c r="E78">
        <v>88</v>
      </c>
      <c r="F78">
        <v>75</v>
      </c>
      <c r="G78">
        <v>0</v>
      </c>
      <c r="H78" s="1">
        <v>45609.605748090275</v>
      </c>
      <c r="I78" s="2" t="s">
        <v>261</v>
      </c>
      <c r="J78" s="2" t="s">
        <v>82</v>
      </c>
      <c r="K78" s="2" t="s">
        <v>82</v>
      </c>
      <c r="L78" s="2" t="s">
        <v>82</v>
      </c>
      <c r="M78" s="2" t="s">
        <v>82</v>
      </c>
      <c r="N78" s="2" t="s">
        <v>82</v>
      </c>
      <c r="O78" s="2" t="s">
        <v>82</v>
      </c>
      <c r="P78" s="2" t="s">
        <v>83</v>
      </c>
      <c r="Q78" s="2" t="s">
        <v>84</v>
      </c>
      <c r="R78">
        <v>2</v>
      </c>
      <c r="S78" s="2" t="s">
        <v>85</v>
      </c>
      <c r="T78">
        <v>4</v>
      </c>
      <c r="U78">
        <v>6</v>
      </c>
      <c r="V78" s="2" t="s">
        <v>82</v>
      </c>
      <c r="W78" s="2" t="s">
        <v>86</v>
      </c>
      <c r="X78" s="2" t="s">
        <v>82</v>
      </c>
      <c r="Y78">
        <v>2</v>
      </c>
      <c r="Z78">
        <v>2</v>
      </c>
      <c r="AA78">
        <v>3</v>
      </c>
      <c r="AB78">
        <v>1</v>
      </c>
      <c r="AC78">
        <v>2</v>
      </c>
      <c r="AD78">
        <v>3</v>
      </c>
      <c r="AE78">
        <v>3</v>
      </c>
      <c r="AF78">
        <v>2</v>
      </c>
      <c r="AG78" s="2" t="s">
        <v>82</v>
      </c>
      <c r="AH78">
        <v>4</v>
      </c>
      <c r="AI78" s="2" t="s">
        <v>82</v>
      </c>
      <c r="AJ78" s="2" t="s">
        <v>82</v>
      </c>
      <c r="AK78" s="2" t="s">
        <v>82</v>
      </c>
      <c r="AL78" s="2" t="s">
        <v>82</v>
      </c>
      <c r="AM78" s="2" t="s">
        <v>82</v>
      </c>
      <c r="AN78" s="2" t="s">
        <v>82</v>
      </c>
      <c r="AO78" s="2" t="s">
        <v>82</v>
      </c>
      <c r="AP78" s="2" t="s">
        <v>82</v>
      </c>
      <c r="AQ78" s="2" t="s">
        <v>82</v>
      </c>
      <c r="AS78">
        <f t="shared" si="13"/>
        <v>21</v>
      </c>
      <c r="AT78" s="2" t="s">
        <v>291</v>
      </c>
      <c r="AX78">
        <f t="shared" si="14"/>
        <v>2</v>
      </c>
      <c r="AY78">
        <f t="shared" si="15"/>
        <v>2</v>
      </c>
      <c r="AZ78">
        <f t="shared" si="16"/>
        <v>3</v>
      </c>
      <c r="BB78">
        <f t="shared" si="17"/>
        <v>2</v>
      </c>
      <c r="BC78">
        <f t="shared" si="18"/>
        <v>6</v>
      </c>
      <c r="BD78">
        <f t="shared" si="19"/>
        <v>0</v>
      </c>
      <c r="BE78">
        <v>0</v>
      </c>
      <c r="BF78">
        <v>0</v>
      </c>
      <c r="BG78">
        <v>0</v>
      </c>
      <c r="BH78">
        <v>0</v>
      </c>
      <c r="BI78">
        <f t="shared" si="24"/>
        <v>3</v>
      </c>
      <c r="BK78">
        <f t="shared" si="25"/>
        <v>6</v>
      </c>
    </row>
    <row r="79" spans="1:63" ht="28.8" x14ac:dyDescent="0.3">
      <c r="A79" s="1">
        <v>45610.678067129629</v>
      </c>
      <c r="B79" s="1">
        <v>45610.678680555553</v>
      </c>
      <c r="C79">
        <v>0</v>
      </c>
      <c r="D79" s="2" t="s">
        <v>262</v>
      </c>
      <c r="E79">
        <v>100</v>
      </c>
      <c r="F79">
        <v>52</v>
      </c>
      <c r="G79">
        <v>1</v>
      </c>
      <c r="H79" s="1">
        <v>45610.678694247683</v>
      </c>
      <c r="I79" s="2" t="s">
        <v>263</v>
      </c>
      <c r="J79" s="2" t="s">
        <v>82</v>
      </c>
      <c r="K79" s="2" t="s">
        <v>82</v>
      </c>
      <c r="L79" s="2" t="s">
        <v>82</v>
      </c>
      <c r="M79" s="2" t="s">
        <v>82</v>
      </c>
      <c r="N79">
        <v>42.389400000000002</v>
      </c>
      <c r="O79">
        <v>-72.526499999999999</v>
      </c>
      <c r="P79" s="2" t="s">
        <v>83</v>
      </c>
      <c r="Q79" s="2" t="s">
        <v>84</v>
      </c>
      <c r="R79">
        <v>1</v>
      </c>
      <c r="S79" s="2" t="s">
        <v>124</v>
      </c>
      <c r="T79">
        <v>2</v>
      </c>
      <c r="U79">
        <v>9</v>
      </c>
      <c r="V79" s="2" t="s">
        <v>82</v>
      </c>
      <c r="W79" s="2" t="s">
        <v>103</v>
      </c>
      <c r="X79" s="2" t="s">
        <v>82</v>
      </c>
      <c r="Y79">
        <v>2</v>
      </c>
      <c r="Z79">
        <v>2</v>
      </c>
      <c r="AA79">
        <v>6</v>
      </c>
      <c r="AB79">
        <v>4</v>
      </c>
      <c r="AC79">
        <v>4</v>
      </c>
      <c r="AD79">
        <v>3</v>
      </c>
      <c r="AE79">
        <v>4</v>
      </c>
      <c r="AF79">
        <v>5</v>
      </c>
      <c r="AG79" s="2" t="s">
        <v>82</v>
      </c>
      <c r="AH79">
        <v>3</v>
      </c>
      <c r="AI79">
        <v>3</v>
      </c>
      <c r="AJ79">
        <v>2</v>
      </c>
      <c r="AK79">
        <v>3</v>
      </c>
      <c r="AL79">
        <v>3</v>
      </c>
      <c r="AM79">
        <v>4</v>
      </c>
      <c r="AN79">
        <v>2</v>
      </c>
      <c r="AO79">
        <v>5</v>
      </c>
      <c r="AP79">
        <v>4</v>
      </c>
      <c r="AQ79">
        <v>5</v>
      </c>
      <c r="AS79">
        <f t="shared" si="13"/>
        <v>0</v>
      </c>
      <c r="AT79" s="2" t="s">
        <v>291</v>
      </c>
      <c r="AX79">
        <f t="shared" si="14"/>
        <v>2</v>
      </c>
      <c r="AY79">
        <f t="shared" si="15"/>
        <v>2</v>
      </c>
      <c r="AZ79">
        <f t="shared" si="16"/>
        <v>4</v>
      </c>
      <c r="BB79">
        <f t="shared" si="17"/>
        <v>5</v>
      </c>
      <c r="BC79">
        <f t="shared" si="18"/>
        <v>9</v>
      </c>
      <c r="BD79">
        <f t="shared" si="19"/>
        <v>0</v>
      </c>
      <c r="BE79">
        <f t="shared" si="20"/>
        <v>3</v>
      </c>
      <c r="BF79">
        <f t="shared" si="21"/>
        <v>2</v>
      </c>
      <c r="BG79">
        <f t="shared" si="22"/>
        <v>2</v>
      </c>
      <c r="BH79">
        <f t="shared" si="23"/>
        <v>5</v>
      </c>
      <c r="BI79">
        <f t="shared" si="24"/>
        <v>6</v>
      </c>
      <c r="BK79">
        <f t="shared" si="25"/>
        <v>9</v>
      </c>
    </row>
    <row r="80" spans="1:63" ht="28.8" x14ac:dyDescent="0.3">
      <c r="A80" s="1">
        <v>45610.678344907406</v>
      </c>
      <c r="B80" s="1">
        <v>45610.679525462961</v>
      </c>
      <c r="C80">
        <v>0</v>
      </c>
      <c r="D80" s="2" t="s">
        <v>264</v>
      </c>
      <c r="E80">
        <v>100</v>
      </c>
      <c r="F80">
        <v>101</v>
      </c>
      <c r="G80">
        <v>1</v>
      </c>
      <c r="H80" s="1">
        <v>45610.679538530094</v>
      </c>
      <c r="I80" s="2" t="s">
        <v>265</v>
      </c>
      <c r="J80" s="2" t="s">
        <v>82</v>
      </c>
      <c r="K80" s="2" t="s">
        <v>82</v>
      </c>
      <c r="L80" s="2" t="s">
        <v>82</v>
      </c>
      <c r="M80" s="2" t="s">
        <v>82</v>
      </c>
      <c r="N80">
        <v>42.389400000000002</v>
      </c>
      <c r="O80">
        <v>-72.526499999999999</v>
      </c>
      <c r="P80" s="2" t="s">
        <v>83</v>
      </c>
      <c r="Q80" s="2" t="s">
        <v>84</v>
      </c>
      <c r="R80">
        <v>1</v>
      </c>
      <c r="S80" s="2" t="s">
        <v>119</v>
      </c>
      <c r="T80">
        <v>4</v>
      </c>
      <c r="U80">
        <v>7</v>
      </c>
      <c r="V80" s="2" t="s">
        <v>82</v>
      </c>
      <c r="W80" s="2" t="s">
        <v>266</v>
      </c>
      <c r="X80" s="2" t="s">
        <v>257</v>
      </c>
      <c r="Y80">
        <v>4</v>
      </c>
      <c r="Z80">
        <v>4</v>
      </c>
      <c r="AA80">
        <v>5</v>
      </c>
      <c r="AB80">
        <v>3</v>
      </c>
      <c r="AC80">
        <v>1</v>
      </c>
      <c r="AD80">
        <v>2</v>
      </c>
      <c r="AE80">
        <v>5</v>
      </c>
      <c r="AF80">
        <v>2</v>
      </c>
      <c r="AG80" s="2" t="s">
        <v>82</v>
      </c>
      <c r="AH80">
        <v>4</v>
      </c>
      <c r="AI80">
        <v>3</v>
      </c>
      <c r="AJ80">
        <v>1</v>
      </c>
      <c r="AK80">
        <v>1</v>
      </c>
      <c r="AL80">
        <v>5</v>
      </c>
      <c r="AM80">
        <v>2</v>
      </c>
      <c r="AN80">
        <v>3</v>
      </c>
      <c r="AO80">
        <v>4</v>
      </c>
      <c r="AP80">
        <v>3</v>
      </c>
      <c r="AQ80">
        <v>2</v>
      </c>
      <c r="AS80">
        <f t="shared" si="13"/>
        <v>20</v>
      </c>
      <c r="AT80" s="2" t="s">
        <v>294</v>
      </c>
      <c r="AX80">
        <f t="shared" si="14"/>
        <v>4</v>
      </c>
      <c r="AY80">
        <f t="shared" si="15"/>
        <v>4</v>
      </c>
      <c r="AZ80">
        <f t="shared" si="16"/>
        <v>5</v>
      </c>
      <c r="BB80">
        <f t="shared" si="17"/>
        <v>2</v>
      </c>
      <c r="BC80">
        <f t="shared" si="18"/>
        <v>7</v>
      </c>
      <c r="BD80">
        <f t="shared" si="19"/>
        <v>0</v>
      </c>
      <c r="BE80">
        <f t="shared" si="20"/>
        <v>3</v>
      </c>
      <c r="BF80">
        <f t="shared" si="21"/>
        <v>1</v>
      </c>
      <c r="BG80">
        <f t="shared" si="22"/>
        <v>3</v>
      </c>
      <c r="BH80">
        <f t="shared" si="23"/>
        <v>4</v>
      </c>
      <c r="BI80">
        <f t="shared" si="24"/>
        <v>5</v>
      </c>
      <c r="BK80">
        <f t="shared" si="25"/>
        <v>7</v>
      </c>
    </row>
    <row r="81" spans="1:67" ht="28.8" x14ac:dyDescent="0.3">
      <c r="A81" s="1">
        <v>45610.678807870368</v>
      </c>
      <c r="B81" s="1">
        <v>45610.68109953704</v>
      </c>
      <c r="C81">
        <v>0</v>
      </c>
      <c r="D81" s="2" t="s">
        <v>262</v>
      </c>
      <c r="E81">
        <v>100</v>
      </c>
      <c r="F81">
        <v>198</v>
      </c>
      <c r="G81">
        <v>1</v>
      </c>
      <c r="H81" s="1">
        <v>45610.681118159722</v>
      </c>
      <c r="I81" s="2" t="s">
        <v>267</v>
      </c>
      <c r="J81" s="2" t="s">
        <v>82</v>
      </c>
      <c r="K81" s="2" t="s">
        <v>82</v>
      </c>
      <c r="L81" s="2" t="s">
        <v>82</v>
      </c>
      <c r="M81" s="2" t="s">
        <v>82</v>
      </c>
      <c r="N81">
        <v>42.389400000000002</v>
      </c>
      <c r="O81">
        <v>-72.526499999999999</v>
      </c>
      <c r="P81" s="2" t="s">
        <v>83</v>
      </c>
      <c r="Q81" s="2" t="s">
        <v>84</v>
      </c>
      <c r="R81">
        <v>1</v>
      </c>
      <c r="S81" s="2" t="s">
        <v>119</v>
      </c>
      <c r="T81">
        <v>3</v>
      </c>
      <c r="U81">
        <v>8</v>
      </c>
      <c r="V81" s="2" t="s">
        <v>82</v>
      </c>
      <c r="W81" s="2" t="s">
        <v>86</v>
      </c>
      <c r="X81" s="2" t="s">
        <v>82</v>
      </c>
      <c r="Y81">
        <v>5</v>
      </c>
      <c r="Z81">
        <v>5</v>
      </c>
      <c r="AA81">
        <v>5</v>
      </c>
      <c r="AB81">
        <v>4</v>
      </c>
      <c r="AC81">
        <v>1</v>
      </c>
      <c r="AD81">
        <v>3</v>
      </c>
      <c r="AE81">
        <v>5</v>
      </c>
      <c r="AF81">
        <v>2</v>
      </c>
      <c r="AG81" s="2" t="s">
        <v>82</v>
      </c>
      <c r="AH81">
        <v>5</v>
      </c>
      <c r="AI81">
        <v>3</v>
      </c>
      <c r="AJ81">
        <v>1</v>
      </c>
      <c r="AK81">
        <v>1</v>
      </c>
      <c r="AL81">
        <v>2</v>
      </c>
      <c r="AM81">
        <v>2</v>
      </c>
      <c r="AN81">
        <v>5</v>
      </c>
      <c r="AO81">
        <v>5</v>
      </c>
      <c r="AP81">
        <v>4</v>
      </c>
      <c r="AQ81">
        <v>4</v>
      </c>
      <c r="AS81">
        <f t="shared" si="13"/>
        <v>20</v>
      </c>
      <c r="AT81" s="2" t="s">
        <v>292</v>
      </c>
      <c r="AX81">
        <f t="shared" si="14"/>
        <v>5</v>
      </c>
      <c r="AY81">
        <f t="shared" si="15"/>
        <v>5</v>
      </c>
      <c r="AZ81">
        <f t="shared" si="16"/>
        <v>5</v>
      </c>
      <c r="BB81">
        <f t="shared" si="17"/>
        <v>2</v>
      </c>
      <c r="BC81">
        <f t="shared" si="18"/>
        <v>8</v>
      </c>
      <c r="BD81">
        <f t="shared" si="19"/>
        <v>0</v>
      </c>
      <c r="BE81">
        <f t="shared" si="20"/>
        <v>3</v>
      </c>
      <c r="BF81">
        <f t="shared" si="21"/>
        <v>1</v>
      </c>
      <c r="BG81">
        <f t="shared" si="22"/>
        <v>5</v>
      </c>
      <c r="BH81">
        <f t="shared" si="23"/>
        <v>5</v>
      </c>
      <c r="BI81">
        <f t="shared" si="24"/>
        <v>5</v>
      </c>
      <c r="BK81">
        <f t="shared" si="25"/>
        <v>8</v>
      </c>
    </row>
    <row r="82" spans="1:67" ht="28.8" x14ac:dyDescent="0.3">
      <c r="A82" s="1">
        <v>45610.681909722225</v>
      </c>
      <c r="B82" s="1">
        <v>45610.68346064815</v>
      </c>
      <c r="C82">
        <v>0</v>
      </c>
      <c r="D82" s="2" t="s">
        <v>268</v>
      </c>
      <c r="E82">
        <v>100</v>
      </c>
      <c r="F82">
        <v>133</v>
      </c>
      <c r="G82">
        <v>1</v>
      </c>
      <c r="H82" s="1">
        <v>45610.683477129627</v>
      </c>
      <c r="I82" s="2" t="s">
        <v>269</v>
      </c>
      <c r="J82" s="2" t="s">
        <v>82</v>
      </c>
      <c r="K82" s="2" t="s">
        <v>82</v>
      </c>
      <c r="L82" s="2" t="s">
        <v>82</v>
      </c>
      <c r="M82" s="2" t="s">
        <v>82</v>
      </c>
      <c r="N82">
        <v>42.389400000000002</v>
      </c>
      <c r="O82">
        <v>-72.526499999999999</v>
      </c>
      <c r="P82" s="2" t="s">
        <v>83</v>
      </c>
      <c r="Q82" s="2" t="s">
        <v>84</v>
      </c>
      <c r="R82">
        <v>1</v>
      </c>
      <c r="S82" s="2" t="s">
        <v>119</v>
      </c>
      <c r="T82">
        <v>3</v>
      </c>
      <c r="U82">
        <v>8</v>
      </c>
      <c r="V82" s="2" t="s">
        <v>82</v>
      </c>
      <c r="W82" s="2" t="s">
        <v>111</v>
      </c>
      <c r="X82" s="2" t="s">
        <v>82</v>
      </c>
      <c r="Y82">
        <v>3</v>
      </c>
      <c r="Z82">
        <v>3</v>
      </c>
      <c r="AA82">
        <v>7</v>
      </c>
      <c r="AB82">
        <v>4</v>
      </c>
      <c r="AC82">
        <v>1</v>
      </c>
      <c r="AD82">
        <v>3</v>
      </c>
      <c r="AE82">
        <v>3</v>
      </c>
      <c r="AF82">
        <v>2</v>
      </c>
      <c r="AG82" s="2" t="s">
        <v>82</v>
      </c>
      <c r="AH82">
        <v>5</v>
      </c>
      <c r="AI82">
        <v>2</v>
      </c>
      <c r="AJ82">
        <v>1</v>
      </c>
      <c r="AK82">
        <v>1</v>
      </c>
      <c r="AL82">
        <v>5</v>
      </c>
      <c r="AM82">
        <v>1</v>
      </c>
      <c r="AN82">
        <v>2</v>
      </c>
      <c r="AO82">
        <v>3</v>
      </c>
      <c r="AP82">
        <v>2</v>
      </c>
      <c r="AQ82">
        <v>1</v>
      </c>
      <c r="AS82">
        <f t="shared" si="13"/>
        <v>20</v>
      </c>
      <c r="AT82" s="2" t="s">
        <v>293</v>
      </c>
      <c r="AX82">
        <f t="shared" si="14"/>
        <v>3</v>
      </c>
      <c r="AY82">
        <f t="shared" si="15"/>
        <v>3</v>
      </c>
      <c r="AZ82">
        <f t="shared" si="16"/>
        <v>3</v>
      </c>
      <c r="BB82">
        <f t="shared" si="17"/>
        <v>2</v>
      </c>
      <c r="BC82">
        <f t="shared" si="18"/>
        <v>8</v>
      </c>
      <c r="BD82">
        <f t="shared" si="19"/>
        <v>0</v>
      </c>
      <c r="BE82">
        <f t="shared" si="20"/>
        <v>2</v>
      </c>
      <c r="BF82">
        <f t="shared" si="21"/>
        <v>1</v>
      </c>
      <c r="BG82">
        <f t="shared" si="22"/>
        <v>2</v>
      </c>
      <c r="BH82">
        <f t="shared" si="23"/>
        <v>3</v>
      </c>
      <c r="BI82">
        <f t="shared" si="24"/>
        <v>7</v>
      </c>
      <c r="BK82">
        <f t="shared" si="25"/>
        <v>8</v>
      </c>
    </row>
    <row r="83" spans="1:67" ht="28.8" x14ac:dyDescent="0.3">
      <c r="A83" s="1">
        <v>45610.908831018518</v>
      </c>
      <c r="B83" s="1">
        <v>45610.912164351852</v>
      </c>
      <c r="C83">
        <v>0</v>
      </c>
      <c r="D83" s="2" t="s">
        <v>270</v>
      </c>
      <c r="E83">
        <v>100</v>
      </c>
      <c r="F83">
        <v>288</v>
      </c>
      <c r="G83">
        <v>1</v>
      </c>
      <c r="H83" s="1">
        <v>45610.912189155089</v>
      </c>
      <c r="I83" s="2" t="s">
        <v>271</v>
      </c>
      <c r="J83" s="2" t="s">
        <v>82</v>
      </c>
      <c r="K83" s="2" t="s">
        <v>82</v>
      </c>
      <c r="L83" s="2" t="s">
        <v>82</v>
      </c>
      <c r="M83" s="2" t="s">
        <v>82</v>
      </c>
      <c r="N83">
        <v>42.389400000000002</v>
      </c>
      <c r="O83">
        <v>-72.526499999999999</v>
      </c>
      <c r="P83" s="2" t="s">
        <v>83</v>
      </c>
      <c r="Q83" s="2" t="s">
        <v>84</v>
      </c>
      <c r="R83">
        <v>2</v>
      </c>
      <c r="S83" s="2" t="s">
        <v>119</v>
      </c>
      <c r="T83">
        <v>3</v>
      </c>
      <c r="U83">
        <v>9</v>
      </c>
      <c r="V83" s="2" t="s">
        <v>82</v>
      </c>
      <c r="W83" s="2" t="s">
        <v>95</v>
      </c>
      <c r="X83" s="2" t="s">
        <v>82</v>
      </c>
      <c r="Y83">
        <v>2</v>
      </c>
      <c r="Z83">
        <v>5</v>
      </c>
      <c r="AA83">
        <v>3</v>
      </c>
      <c r="AB83">
        <v>3</v>
      </c>
      <c r="AC83">
        <v>1</v>
      </c>
      <c r="AD83">
        <v>1</v>
      </c>
      <c r="AE83">
        <v>2</v>
      </c>
      <c r="AF83">
        <v>1</v>
      </c>
      <c r="AG83" s="2" t="s">
        <v>82</v>
      </c>
      <c r="AH83">
        <v>1</v>
      </c>
      <c r="AI83">
        <v>4</v>
      </c>
      <c r="AJ83">
        <v>3</v>
      </c>
      <c r="AK83">
        <v>2</v>
      </c>
      <c r="AL83">
        <v>1</v>
      </c>
      <c r="AM83">
        <v>2</v>
      </c>
      <c r="AN83">
        <v>5</v>
      </c>
      <c r="AO83">
        <v>5</v>
      </c>
      <c r="AP83">
        <v>4</v>
      </c>
      <c r="AQ83">
        <v>1</v>
      </c>
      <c r="AS83">
        <f t="shared" si="13"/>
        <v>20</v>
      </c>
      <c r="AT83" s="2" t="s">
        <v>291</v>
      </c>
      <c r="AX83">
        <f t="shared" si="14"/>
        <v>2</v>
      </c>
      <c r="AY83">
        <f t="shared" si="15"/>
        <v>5</v>
      </c>
      <c r="AZ83">
        <f t="shared" si="16"/>
        <v>2</v>
      </c>
      <c r="BB83">
        <f t="shared" si="17"/>
        <v>1</v>
      </c>
      <c r="BC83">
        <f t="shared" si="18"/>
        <v>9</v>
      </c>
      <c r="BD83">
        <f t="shared" si="19"/>
        <v>3</v>
      </c>
      <c r="BE83">
        <f t="shared" si="20"/>
        <v>4</v>
      </c>
      <c r="BF83">
        <f t="shared" si="21"/>
        <v>3</v>
      </c>
      <c r="BG83">
        <f t="shared" si="22"/>
        <v>5</v>
      </c>
      <c r="BH83">
        <f t="shared" si="23"/>
        <v>5</v>
      </c>
      <c r="BI83">
        <f t="shared" si="24"/>
        <v>3</v>
      </c>
      <c r="BK83">
        <f t="shared" si="25"/>
        <v>9</v>
      </c>
    </row>
    <row r="84" spans="1:67" ht="28.8" x14ac:dyDescent="0.3">
      <c r="A84" s="1">
        <v>45604.50439814815</v>
      </c>
      <c r="B84" s="1">
        <v>45604.504699074074</v>
      </c>
      <c r="C84">
        <v>0</v>
      </c>
      <c r="D84" s="2" t="s">
        <v>272</v>
      </c>
      <c r="E84">
        <v>88</v>
      </c>
      <c r="F84">
        <v>25</v>
      </c>
      <c r="G84">
        <v>0</v>
      </c>
      <c r="H84" s="1">
        <v>45611.504730162036</v>
      </c>
      <c r="I84" s="2" t="s">
        <v>273</v>
      </c>
      <c r="J84" s="2" t="s">
        <v>82</v>
      </c>
      <c r="K84" s="2" t="s">
        <v>82</v>
      </c>
      <c r="L84" s="2" t="s">
        <v>82</v>
      </c>
      <c r="M84" s="2" t="s">
        <v>82</v>
      </c>
      <c r="N84" s="2" t="s">
        <v>82</v>
      </c>
      <c r="O84" s="2" t="s">
        <v>82</v>
      </c>
      <c r="P84" s="2" t="s">
        <v>83</v>
      </c>
      <c r="Q84" s="2" t="s">
        <v>84</v>
      </c>
      <c r="R84">
        <v>1</v>
      </c>
      <c r="S84" s="2" t="s">
        <v>205</v>
      </c>
      <c r="T84">
        <v>1</v>
      </c>
      <c r="U84" s="2" t="s">
        <v>82</v>
      </c>
      <c r="V84" s="2" t="s">
        <v>82</v>
      </c>
      <c r="W84" s="2" t="s">
        <v>82</v>
      </c>
      <c r="X84" s="2" t="s">
        <v>82</v>
      </c>
      <c r="Y84" s="2" t="s">
        <v>82</v>
      </c>
      <c r="Z84" s="2" t="s">
        <v>82</v>
      </c>
      <c r="AA84" s="2" t="s">
        <v>82</v>
      </c>
      <c r="AB84" s="2" t="s">
        <v>82</v>
      </c>
      <c r="AC84" s="2" t="s">
        <v>82</v>
      </c>
      <c r="AD84" s="2" t="s">
        <v>82</v>
      </c>
      <c r="AE84" s="2" t="s">
        <v>82</v>
      </c>
      <c r="AF84" s="2" t="s">
        <v>82</v>
      </c>
      <c r="AG84" s="2" t="s">
        <v>82</v>
      </c>
      <c r="AH84" s="2" t="s">
        <v>82</v>
      </c>
      <c r="AI84" s="2" t="s">
        <v>82</v>
      </c>
      <c r="AJ84" s="2" t="s">
        <v>82</v>
      </c>
      <c r="AK84" s="2" t="s">
        <v>82</v>
      </c>
      <c r="AL84" s="2" t="s">
        <v>82</v>
      </c>
      <c r="AM84" s="2" t="s">
        <v>82</v>
      </c>
      <c r="AN84" s="2" t="s">
        <v>82</v>
      </c>
      <c r="AO84" s="2" t="s">
        <v>82</v>
      </c>
      <c r="AP84" s="2" t="s">
        <v>82</v>
      </c>
      <c r="AQ84" s="2" t="s">
        <v>82</v>
      </c>
      <c r="AS84">
        <f t="shared" si="13"/>
        <v>18</v>
      </c>
      <c r="AT84" s="2" t="s">
        <v>82</v>
      </c>
      <c r="AX84">
        <v>0</v>
      </c>
      <c r="AY84">
        <v>0</v>
      </c>
      <c r="AZ84">
        <v>3</v>
      </c>
      <c r="BB84">
        <v>0</v>
      </c>
      <c r="BC84">
        <v>0</v>
      </c>
      <c r="BD84">
        <f t="shared" si="19"/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</row>
    <row r="85" spans="1:67" ht="28.8" x14ac:dyDescent="0.3">
      <c r="A85" s="1">
        <v>45604.555659722224</v>
      </c>
      <c r="B85" s="1">
        <v>45604.556168981479</v>
      </c>
      <c r="C85">
        <v>0</v>
      </c>
      <c r="D85" s="2" t="s">
        <v>274</v>
      </c>
      <c r="E85">
        <v>88</v>
      </c>
      <c r="F85">
        <v>44</v>
      </c>
      <c r="G85">
        <v>0</v>
      </c>
      <c r="H85" s="1">
        <v>45611.556206134257</v>
      </c>
      <c r="I85" s="2" t="s">
        <v>275</v>
      </c>
      <c r="J85" s="2" t="s">
        <v>82</v>
      </c>
      <c r="K85" s="2" t="s">
        <v>82</v>
      </c>
      <c r="L85" s="2" t="s">
        <v>82</v>
      </c>
      <c r="M85" s="2" t="s">
        <v>82</v>
      </c>
      <c r="N85" s="2" t="s">
        <v>82</v>
      </c>
      <c r="O85" s="2" t="s">
        <v>82</v>
      </c>
      <c r="P85" s="2" t="s">
        <v>83</v>
      </c>
      <c r="Q85" s="2" t="s">
        <v>84</v>
      </c>
      <c r="R85">
        <v>2</v>
      </c>
      <c r="S85" s="2" t="s">
        <v>85</v>
      </c>
      <c r="T85">
        <v>3</v>
      </c>
      <c r="U85">
        <v>4</v>
      </c>
      <c r="V85" s="2" t="s">
        <v>82</v>
      </c>
      <c r="W85" s="2" t="s">
        <v>82</v>
      </c>
      <c r="X85" s="2" t="s">
        <v>82</v>
      </c>
      <c r="Y85">
        <v>2</v>
      </c>
      <c r="Z85">
        <v>2</v>
      </c>
      <c r="AA85">
        <v>5</v>
      </c>
      <c r="AB85">
        <v>3</v>
      </c>
      <c r="AC85">
        <v>1</v>
      </c>
      <c r="AD85">
        <v>2</v>
      </c>
      <c r="AE85">
        <v>3</v>
      </c>
      <c r="AF85">
        <v>2</v>
      </c>
      <c r="AG85" s="2" t="s">
        <v>82</v>
      </c>
      <c r="AH85">
        <v>3</v>
      </c>
      <c r="AI85" s="2" t="s">
        <v>82</v>
      </c>
      <c r="AJ85" s="2" t="s">
        <v>82</v>
      </c>
      <c r="AK85" s="2" t="s">
        <v>82</v>
      </c>
      <c r="AL85" s="2" t="s">
        <v>82</v>
      </c>
      <c r="AM85" s="2" t="s">
        <v>82</v>
      </c>
      <c r="AN85" s="2" t="s">
        <v>82</v>
      </c>
      <c r="AO85" s="2" t="s">
        <v>82</v>
      </c>
      <c r="AP85" s="2" t="s">
        <v>82</v>
      </c>
      <c r="AQ85" s="2" t="s">
        <v>82</v>
      </c>
      <c r="AS85">
        <f t="shared" si="13"/>
        <v>21</v>
      </c>
      <c r="AT85" s="2" t="s">
        <v>291</v>
      </c>
      <c r="AX85">
        <f t="shared" si="14"/>
        <v>2</v>
      </c>
      <c r="AY85">
        <f t="shared" si="15"/>
        <v>2</v>
      </c>
      <c r="AZ85">
        <f t="shared" si="16"/>
        <v>3</v>
      </c>
      <c r="BB85">
        <f t="shared" si="17"/>
        <v>2</v>
      </c>
      <c r="BC85">
        <f t="shared" si="18"/>
        <v>4</v>
      </c>
      <c r="BD85">
        <f t="shared" si="19"/>
        <v>0</v>
      </c>
      <c r="BE85">
        <v>0</v>
      </c>
      <c r="BF85">
        <v>0</v>
      </c>
      <c r="BG85">
        <v>0</v>
      </c>
      <c r="BH85">
        <v>0</v>
      </c>
      <c r="BI85">
        <f t="shared" si="24"/>
        <v>5</v>
      </c>
      <c r="BK85">
        <f t="shared" si="25"/>
        <v>4</v>
      </c>
    </row>
    <row r="86" spans="1:67" ht="28.8" x14ac:dyDescent="0.3">
      <c r="A86" s="1">
        <v>45605.592812499999</v>
      </c>
      <c r="B86" s="1">
        <v>45605.594293981485</v>
      </c>
      <c r="C86">
        <v>0</v>
      </c>
      <c r="D86" s="2" t="s">
        <v>276</v>
      </c>
      <c r="E86">
        <v>88</v>
      </c>
      <c r="F86">
        <v>128</v>
      </c>
      <c r="G86">
        <v>0</v>
      </c>
      <c r="H86" s="1">
        <v>45612.594317280091</v>
      </c>
      <c r="I86" s="2" t="s">
        <v>277</v>
      </c>
      <c r="J86" s="2" t="s">
        <v>82</v>
      </c>
      <c r="K86" s="2" t="s">
        <v>82</v>
      </c>
      <c r="L86" s="2" t="s">
        <v>82</v>
      </c>
      <c r="M86" s="2" t="s">
        <v>82</v>
      </c>
      <c r="N86" s="2" t="s">
        <v>82</v>
      </c>
      <c r="O86" s="2" t="s">
        <v>82</v>
      </c>
      <c r="P86" s="2" t="s">
        <v>83</v>
      </c>
      <c r="Q86" s="2" t="s">
        <v>84</v>
      </c>
      <c r="R86">
        <v>2</v>
      </c>
      <c r="S86" s="2" t="s">
        <v>278</v>
      </c>
      <c r="T86">
        <v>2</v>
      </c>
      <c r="U86">
        <v>4</v>
      </c>
      <c r="V86" s="2" t="s">
        <v>82</v>
      </c>
      <c r="W86" s="2" t="s">
        <v>253</v>
      </c>
      <c r="X86" s="2" t="s">
        <v>257</v>
      </c>
      <c r="Y86">
        <v>3</v>
      </c>
      <c r="Z86">
        <v>3</v>
      </c>
      <c r="AA86">
        <v>6</v>
      </c>
      <c r="AB86">
        <v>3</v>
      </c>
      <c r="AC86">
        <v>1</v>
      </c>
      <c r="AD86">
        <v>3</v>
      </c>
      <c r="AE86">
        <v>2</v>
      </c>
      <c r="AF86">
        <v>1</v>
      </c>
      <c r="AG86" s="2" t="s">
        <v>82</v>
      </c>
      <c r="AH86">
        <v>1</v>
      </c>
      <c r="AI86" s="2" t="s">
        <v>82</v>
      </c>
      <c r="AJ86" s="2" t="s">
        <v>82</v>
      </c>
      <c r="AK86" s="2" t="s">
        <v>82</v>
      </c>
      <c r="AL86" s="2" t="s">
        <v>82</v>
      </c>
      <c r="AM86" s="2" t="s">
        <v>82</v>
      </c>
      <c r="AN86" s="2" t="s">
        <v>82</v>
      </c>
      <c r="AO86" s="2" t="s">
        <v>82</v>
      </c>
      <c r="AP86" s="2" t="s">
        <v>82</v>
      </c>
      <c r="AQ86" s="2" t="s">
        <v>82</v>
      </c>
      <c r="AS86">
        <f t="shared" si="13"/>
        <v>0</v>
      </c>
      <c r="AT86" s="2" t="s">
        <v>293</v>
      </c>
      <c r="AX86">
        <f t="shared" si="14"/>
        <v>3</v>
      </c>
      <c r="AY86">
        <f t="shared" si="15"/>
        <v>3</v>
      </c>
      <c r="AZ86">
        <f t="shared" si="16"/>
        <v>2</v>
      </c>
      <c r="BB86">
        <f t="shared" si="17"/>
        <v>1</v>
      </c>
      <c r="BC86">
        <f t="shared" si="18"/>
        <v>4</v>
      </c>
      <c r="BD86">
        <f t="shared" si="19"/>
        <v>0</v>
      </c>
      <c r="BE86">
        <v>0</v>
      </c>
      <c r="BF86">
        <v>0</v>
      </c>
      <c r="BG86">
        <v>0</v>
      </c>
      <c r="BH86">
        <v>0</v>
      </c>
      <c r="BI86">
        <f t="shared" si="24"/>
        <v>6</v>
      </c>
      <c r="BK86">
        <f t="shared" si="25"/>
        <v>4</v>
      </c>
    </row>
    <row r="87" spans="1:67" ht="28.8" x14ac:dyDescent="0.3">
      <c r="A87" s="1">
        <v>45614.608506944445</v>
      </c>
      <c r="B87" s="1">
        <v>45614.609861111108</v>
      </c>
      <c r="C87">
        <v>0</v>
      </c>
      <c r="D87" s="2" t="s">
        <v>279</v>
      </c>
      <c r="E87">
        <v>100</v>
      </c>
      <c r="F87">
        <v>116</v>
      </c>
      <c r="G87">
        <v>1</v>
      </c>
      <c r="H87" s="1">
        <v>45614.60987375</v>
      </c>
      <c r="I87" s="2" t="s">
        <v>280</v>
      </c>
      <c r="J87" s="2" t="s">
        <v>82</v>
      </c>
      <c r="K87" s="2" t="s">
        <v>82</v>
      </c>
      <c r="L87" s="2" t="s">
        <v>82</v>
      </c>
      <c r="M87" s="2" t="s">
        <v>82</v>
      </c>
      <c r="N87">
        <v>42.389400000000002</v>
      </c>
      <c r="O87">
        <v>-72.526499999999999</v>
      </c>
      <c r="P87" s="2" t="s">
        <v>83</v>
      </c>
      <c r="Q87" s="2" t="s">
        <v>84</v>
      </c>
      <c r="R87">
        <v>2</v>
      </c>
      <c r="S87" s="2" t="s">
        <v>100</v>
      </c>
      <c r="T87">
        <v>3</v>
      </c>
      <c r="U87">
        <v>8</v>
      </c>
      <c r="V87" s="2" t="s">
        <v>82</v>
      </c>
      <c r="W87" s="2" t="s">
        <v>103</v>
      </c>
      <c r="X87" s="2" t="s">
        <v>82</v>
      </c>
      <c r="Y87">
        <v>2</v>
      </c>
      <c r="Z87">
        <v>2</v>
      </c>
      <c r="AA87">
        <v>4</v>
      </c>
      <c r="AB87">
        <v>2</v>
      </c>
      <c r="AC87">
        <v>1</v>
      </c>
      <c r="AD87">
        <v>1</v>
      </c>
      <c r="AE87">
        <v>3</v>
      </c>
      <c r="AF87">
        <v>2</v>
      </c>
      <c r="AG87" s="2" t="s">
        <v>82</v>
      </c>
      <c r="AH87">
        <v>1</v>
      </c>
      <c r="AI87">
        <v>3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S87">
        <f t="shared" si="13"/>
        <v>19</v>
      </c>
      <c r="AT87" s="2" t="s">
        <v>291</v>
      </c>
      <c r="AX87">
        <f t="shared" si="14"/>
        <v>2</v>
      </c>
      <c r="AY87">
        <f t="shared" si="15"/>
        <v>2</v>
      </c>
      <c r="AZ87">
        <f t="shared" si="16"/>
        <v>3</v>
      </c>
      <c r="BB87">
        <f t="shared" si="17"/>
        <v>2</v>
      </c>
      <c r="BC87">
        <f t="shared" si="18"/>
        <v>8</v>
      </c>
      <c r="BD87">
        <f t="shared" si="19"/>
        <v>0</v>
      </c>
      <c r="BE87">
        <f t="shared" si="20"/>
        <v>3</v>
      </c>
      <c r="BF87">
        <f t="shared" si="21"/>
        <v>1</v>
      </c>
      <c r="BG87">
        <f t="shared" si="22"/>
        <v>1</v>
      </c>
      <c r="BH87">
        <f t="shared" si="23"/>
        <v>1</v>
      </c>
      <c r="BI87">
        <f t="shared" si="24"/>
        <v>4</v>
      </c>
      <c r="BK87">
        <f t="shared" si="25"/>
        <v>8</v>
      </c>
    </row>
    <row r="88" spans="1:67" ht="28.8" x14ac:dyDescent="0.3">
      <c r="A88" s="1">
        <v>45618.544456018521</v>
      </c>
      <c r="B88" s="1">
        <v>45618.553356481483</v>
      </c>
      <c r="C88">
        <v>0</v>
      </c>
      <c r="D88" s="2" t="s">
        <v>281</v>
      </c>
      <c r="E88">
        <v>100</v>
      </c>
      <c r="F88">
        <v>769</v>
      </c>
      <c r="G88">
        <v>1</v>
      </c>
      <c r="H88" s="1">
        <v>45618.553375613425</v>
      </c>
      <c r="I88" s="2" t="s">
        <v>282</v>
      </c>
      <c r="J88" s="2" t="s">
        <v>82</v>
      </c>
      <c r="K88" s="2" t="s">
        <v>82</v>
      </c>
      <c r="L88" s="2" t="s">
        <v>82</v>
      </c>
      <c r="M88" s="2" t="s">
        <v>82</v>
      </c>
      <c r="N88">
        <v>42.259799999999998</v>
      </c>
      <c r="O88">
        <v>-72.239800000000002</v>
      </c>
      <c r="P88" s="2" t="s">
        <v>83</v>
      </c>
      <c r="Q88" s="2" t="s">
        <v>84</v>
      </c>
      <c r="R88">
        <v>2</v>
      </c>
      <c r="S88" s="2" t="s">
        <v>106</v>
      </c>
      <c r="T88">
        <v>4</v>
      </c>
      <c r="U88">
        <v>1</v>
      </c>
      <c r="V88" s="2" t="s">
        <v>82</v>
      </c>
      <c r="W88" s="2" t="s">
        <v>97</v>
      </c>
      <c r="X88" s="2" t="s">
        <v>82</v>
      </c>
      <c r="Y88">
        <v>5</v>
      </c>
      <c r="Z88">
        <v>3</v>
      </c>
      <c r="AA88">
        <v>4</v>
      </c>
      <c r="AB88">
        <v>3</v>
      </c>
      <c r="AC88">
        <v>1</v>
      </c>
      <c r="AD88">
        <v>1</v>
      </c>
      <c r="AE88">
        <v>2</v>
      </c>
      <c r="AF88">
        <v>3</v>
      </c>
      <c r="AG88" s="2" t="s">
        <v>82</v>
      </c>
      <c r="AH88">
        <v>5</v>
      </c>
      <c r="AI88">
        <v>3</v>
      </c>
      <c r="AJ88">
        <v>2</v>
      </c>
      <c r="AK88">
        <v>2</v>
      </c>
      <c r="AL88">
        <v>3</v>
      </c>
      <c r="AM88">
        <v>1</v>
      </c>
      <c r="AN88">
        <v>2</v>
      </c>
      <c r="AO88">
        <v>2</v>
      </c>
      <c r="AP88">
        <v>4</v>
      </c>
      <c r="AQ88">
        <v>2</v>
      </c>
      <c r="AS88">
        <f t="shared" si="13"/>
        <v>22</v>
      </c>
      <c r="AT88" s="2" t="s">
        <v>292</v>
      </c>
      <c r="AX88">
        <f t="shared" si="14"/>
        <v>5</v>
      </c>
      <c r="AY88">
        <f t="shared" si="15"/>
        <v>3</v>
      </c>
      <c r="AZ88">
        <f t="shared" si="16"/>
        <v>2</v>
      </c>
      <c r="BB88">
        <f t="shared" si="17"/>
        <v>3</v>
      </c>
      <c r="BC88">
        <f t="shared" si="18"/>
        <v>1</v>
      </c>
      <c r="BD88">
        <f t="shared" si="19"/>
        <v>-2</v>
      </c>
      <c r="BE88">
        <f t="shared" si="20"/>
        <v>3</v>
      </c>
      <c r="BF88">
        <f t="shared" si="21"/>
        <v>2</v>
      </c>
      <c r="BG88">
        <f t="shared" si="22"/>
        <v>2</v>
      </c>
      <c r="BH88">
        <f t="shared" si="23"/>
        <v>2</v>
      </c>
      <c r="BI88">
        <f t="shared" si="24"/>
        <v>4</v>
      </c>
      <c r="BK88">
        <f t="shared" si="25"/>
        <v>1</v>
      </c>
    </row>
    <row r="89" spans="1:67" ht="28.8" x14ac:dyDescent="0.3">
      <c r="A89" s="1">
        <v>45618.561076388891</v>
      </c>
      <c r="B89" s="1">
        <v>45618.566111111111</v>
      </c>
      <c r="C89">
        <v>0</v>
      </c>
      <c r="D89" s="2" t="s">
        <v>283</v>
      </c>
      <c r="E89">
        <v>100</v>
      </c>
      <c r="F89">
        <v>434</v>
      </c>
      <c r="G89">
        <v>1</v>
      </c>
      <c r="H89" s="1">
        <v>45618.566121886572</v>
      </c>
      <c r="I89" s="2" t="s">
        <v>284</v>
      </c>
      <c r="J89" s="2" t="s">
        <v>82</v>
      </c>
      <c r="K89" s="2" t="s">
        <v>82</v>
      </c>
      <c r="L89" s="2" t="s">
        <v>82</v>
      </c>
      <c r="M89" s="2" t="s">
        <v>82</v>
      </c>
      <c r="N89">
        <v>42.389400000000002</v>
      </c>
      <c r="O89">
        <v>-72.526499999999999</v>
      </c>
      <c r="P89" s="2" t="s">
        <v>83</v>
      </c>
      <c r="Q89" s="2" t="s">
        <v>84</v>
      </c>
      <c r="R89">
        <v>2</v>
      </c>
      <c r="S89" s="2" t="s">
        <v>100</v>
      </c>
      <c r="T89">
        <v>1</v>
      </c>
      <c r="U89">
        <v>9</v>
      </c>
      <c r="V89" s="2" t="s">
        <v>82</v>
      </c>
      <c r="W89" s="2" t="s">
        <v>97</v>
      </c>
      <c r="X89" s="2" t="s">
        <v>82</v>
      </c>
      <c r="Y89">
        <v>3</v>
      </c>
      <c r="Z89">
        <v>4</v>
      </c>
      <c r="AA89">
        <v>7</v>
      </c>
      <c r="AB89">
        <v>3</v>
      </c>
      <c r="AC89">
        <v>1</v>
      </c>
      <c r="AD89">
        <v>2</v>
      </c>
      <c r="AE89">
        <v>3</v>
      </c>
      <c r="AF89">
        <v>1</v>
      </c>
      <c r="AG89" s="2" t="s">
        <v>82</v>
      </c>
      <c r="AH89">
        <v>1</v>
      </c>
      <c r="AI89">
        <v>4</v>
      </c>
      <c r="AJ89">
        <v>1</v>
      </c>
      <c r="AK89" s="2" t="s">
        <v>82</v>
      </c>
      <c r="AL89" s="2" t="s">
        <v>82</v>
      </c>
      <c r="AM89" s="2" t="s">
        <v>82</v>
      </c>
      <c r="AN89" s="2" t="s">
        <v>82</v>
      </c>
      <c r="AO89" s="2" t="s">
        <v>82</v>
      </c>
      <c r="AP89" s="2" t="s">
        <v>82</v>
      </c>
      <c r="AQ89" s="2" t="s">
        <v>82</v>
      </c>
      <c r="AS89">
        <f t="shared" si="13"/>
        <v>19</v>
      </c>
      <c r="AT89" s="2" t="s">
        <v>293</v>
      </c>
      <c r="AX89">
        <f t="shared" si="14"/>
        <v>3</v>
      </c>
      <c r="AY89">
        <f t="shared" si="15"/>
        <v>4</v>
      </c>
      <c r="AZ89">
        <f t="shared" si="16"/>
        <v>3</v>
      </c>
      <c r="BB89">
        <f t="shared" si="17"/>
        <v>1</v>
      </c>
      <c r="BC89">
        <f t="shared" si="18"/>
        <v>9</v>
      </c>
      <c r="BD89">
        <f t="shared" si="19"/>
        <v>1</v>
      </c>
      <c r="BE89">
        <f t="shared" si="20"/>
        <v>4</v>
      </c>
      <c r="BF89">
        <f t="shared" si="21"/>
        <v>1</v>
      </c>
      <c r="BG89">
        <v>0</v>
      </c>
      <c r="BH89">
        <v>0</v>
      </c>
      <c r="BI89">
        <f t="shared" si="24"/>
        <v>7</v>
      </c>
      <c r="BK89">
        <f t="shared" si="25"/>
        <v>9</v>
      </c>
    </row>
    <row r="90" spans="1:67" ht="28.8" x14ac:dyDescent="0.3">
      <c r="AS90">
        <f>COUNTIF(AS3:AS89, "&gt;0")</f>
        <v>81</v>
      </c>
      <c r="AT90" s="2" t="s">
        <v>291</v>
      </c>
    </row>
    <row r="91" spans="1:67" x14ac:dyDescent="0.3">
      <c r="AR91" t="s">
        <v>286</v>
      </c>
      <c r="AS91">
        <f>SUM(AS3:AS89)/AS90</f>
        <v>20.37037037037037</v>
      </c>
      <c r="BJ91" t="s">
        <v>329</v>
      </c>
      <c r="BK91" s="4" t="s">
        <v>330</v>
      </c>
      <c r="BL91" t="s">
        <v>291</v>
      </c>
      <c r="BM91" t="s">
        <v>292</v>
      </c>
      <c r="BN91" t="s">
        <v>328</v>
      </c>
    </row>
    <row r="92" spans="1:67" x14ac:dyDescent="0.3">
      <c r="AO92" t="s">
        <v>344</v>
      </c>
      <c r="AR92" t="s">
        <v>287</v>
      </c>
      <c r="AS92">
        <f>MEDIAN(AS3:AS89)</f>
        <v>20</v>
      </c>
      <c r="AU92" t="s">
        <v>343</v>
      </c>
      <c r="AV92">
        <f>AVERAGE(AX3:AX89)</f>
        <v>2.3448275862068964</v>
      </c>
      <c r="AW92">
        <f>AVERAGE(AY3:AY89)</f>
        <v>2.4827586206896552</v>
      </c>
      <c r="BI92" t="s">
        <v>290</v>
      </c>
      <c r="BJ92">
        <f>COUNTIFS($Y$3:$Y$89,"1", $AE$3:$AE$89,"1")</f>
        <v>0</v>
      </c>
      <c r="BK92">
        <f>COUNTIFS($Y$3:$Y$89,"1", $AE$3:$AE$89,"2")</f>
        <v>0</v>
      </c>
      <c r="BL92">
        <f>COUNTIFS($Y$3:$Y$89,"1", $AE$3:$AE$89,"3")</f>
        <v>0</v>
      </c>
      <c r="BM92">
        <f>COUNTIFS($Y$3:$Y$89,"1", $AE$3:$AE$89,"4")</f>
        <v>0</v>
      </c>
      <c r="BN92">
        <f>COUNTIFS($Y$3:$Y$89,"1", $AE$3:$AE$89,"5")</f>
        <v>0</v>
      </c>
      <c r="BO92">
        <v>0</v>
      </c>
    </row>
    <row r="93" spans="1:67" x14ac:dyDescent="0.3">
      <c r="AN93" t="s">
        <v>345</v>
      </c>
      <c r="AO93">
        <f>COUNTIF($BD$3:$BD$89,"0")</f>
        <v>52</v>
      </c>
      <c r="AP93">
        <f>AO93/89</f>
        <v>0.5842696629213483</v>
      </c>
      <c r="AR93" t="s">
        <v>298</v>
      </c>
      <c r="AS93">
        <f>COUNTIFS(AS3:AS89,"&gt;22")</f>
        <v>1</v>
      </c>
      <c r="AU93" t="s">
        <v>287</v>
      </c>
      <c r="AV93">
        <f>MEDIAN(AX3:AX89)</f>
        <v>2</v>
      </c>
      <c r="AW93">
        <f>MEDIAN(AY3:AY89)</f>
        <v>2</v>
      </c>
      <c r="BI93" t="s">
        <v>291</v>
      </c>
      <c r="BJ93">
        <f>COUNTIFS($Y$3:$Y$89,"2", $AE$3:$AE$89,"1")/BO93</f>
        <v>3.3333333333333333E-2</v>
      </c>
      <c r="BK93">
        <f>COUNTIFS($Y$3:$Y$89,"2",  $AE$3:$AE$89,"2")/BO93</f>
        <v>0.25</v>
      </c>
      <c r="BL93">
        <f>COUNTIFS($Y$3:$Y$89,"2",  $AE$3:$AE$89,"3")/BO93</f>
        <v>0.4</v>
      </c>
      <c r="BM93">
        <f>COUNTIFS($Y$3:$Y$89,"2",$AE$3:$AE$89,"4")/BO93</f>
        <v>0.3</v>
      </c>
      <c r="BN93">
        <f>COUNTIFS($Y$3:$Y$89,"2",  $AE$3:$AE$89,"5")/BO93</f>
        <v>1.6666666666666666E-2</v>
      </c>
      <c r="BO93">
        <v>60</v>
      </c>
    </row>
    <row r="94" spans="1:67" x14ac:dyDescent="0.3">
      <c r="AN94" t="s">
        <v>346</v>
      </c>
      <c r="AO94">
        <f>COUNTIF($BD$3:$BD$89,"&gt;0")</f>
        <v>24</v>
      </c>
      <c r="AP94">
        <f t="shared" ref="AP94:AP95" si="26">AO94/89</f>
        <v>0.2696629213483146</v>
      </c>
      <c r="AR94">
        <v>22</v>
      </c>
      <c r="AS94">
        <f>COUNTIFS(AS3:AS89,"22")</f>
        <v>12</v>
      </c>
      <c r="AV94" t="s">
        <v>289</v>
      </c>
      <c r="AW94" t="s">
        <v>288</v>
      </c>
      <c r="AX94" t="s">
        <v>295</v>
      </c>
      <c r="BI94" t="s">
        <v>292</v>
      </c>
      <c r="BJ94">
        <f>COUNTIFS($Y$3:$Y$89,"3", $AE$3:$AE$89,"1")/BO94</f>
        <v>0</v>
      </c>
      <c r="BK94">
        <f>COUNTIFS($Y$3:$Y$89,"3", $AE$3:$AE$89,"2")/BO94</f>
        <v>0.35</v>
      </c>
      <c r="BL94">
        <f>COUNTIFS($Y$3:$Y$89,"3",  $AE$3:$AE$89,"3")/BO94</f>
        <v>0.4</v>
      </c>
      <c r="BM94">
        <f>COUNTIFS($Y$3:$Y$89,"3",$AE$3:$AE$89,"4")/BO94</f>
        <v>0.2</v>
      </c>
      <c r="BN94">
        <f>COUNTIFS($Y$3:$Y$89,"3", $AE$3:$AE$89,"5")/BO94</f>
        <v>0.05</v>
      </c>
      <c r="BO94">
        <v>20</v>
      </c>
    </row>
    <row r="95" spans="1:67" x14ac:dyDescent="0.3">
      <c r="AN95" t="s">
        <v>347</v>
      </c>
      <c r="AO95">
        <f>COUNTIF($BD$3:$BD$89,"&lt;0")</f>
        <v>11</v>
      </c>
      <c r="AP95">
        <f t="shared" si="26"/>
        <v>0.12359550561797752</v>
      </c>
      <c r="AR95">
        <v>21</v>
      </c>
      <c r="AS95">
        <f>COUNTIFS(AS3:AS89,"21")</f>
        <v>25</v>
      </c>
      <c r="AV95">
        <f>COUNTIF(Y$3:Y$89,"1")</f>
        <v>0</v>
      </c>
      <c r="AW95">
        <f>COUNTIF(Z3:Z89,"1")</f>
        <v>4</v>
      </c>
      <c r="AX95" t="s">
        <v>290</v>
      </c>
      <c r="BI95" t="s">
        <v>293</v>
      </c>
      <c r="BJ95">
        <f>COUNTIFS($Y$3:$Y$89,"4", $AE$3:$AE$89,"1")</f>
        <v>0</v>
      </c>
      <c r="BK95">
        <f>COUNTIFS($Y$3:$Y$89,"4",  $AE$3:$AE$89,"2")</f>
        <v>0</v>
      </c>
      <c r="BL95">
        <f>COUNTIFS($Y$3:$Y$89,"4",  $AE$3:$AE$89,"3")/BO95</f>
        <v>0</v>
      </c>
      <c r="BM95">
        <f>COUNTIFS($Y$3:$Y$89,"4", $AE$3:$AE$89,"4")/BO95</f>
        <v>0</v>
      </c>
      <c r="BN95">
        <f>COUNTIFS($Y$3:$Y$89,"4",  $AE$3:$AE$89,"5")/BO95</f>
        <v>1</v>
      </c>
      <c r="BO95">
        <v>1</v>
      </c>
    </row>
    <row r="96" spans="1:67" x14ac:dyDescent="0.3">
      <c r="AR96">
        <v>20</v>
      </c>
      <c r="AS96">
        <f>COUNTIFS(AS3:AS89,"20")</f>
        <v>26</v>
      </c>
      <c r="AV96">
        <f>COUNTIF(Y3:Y89,"2")</f>
        <v>60</v>
      </c>
      <c r="AW96">
        <f>COUNTIF(Z3:Z89,"2")</f>
        <v>40</v>
      </c>
      <c r="AX96" t="s">
        <v>291</v>
      </c>
      <c r="BI96" t="s">
        <v>294</v>
      </c>
      <c r="BJ96">
        <f>COUNTIFS($Y$3:$Y$89,"5", $AE$3:$AE$89,"1")</f>
        <v>0</v>
      </c>
      <c r="BK96">
        <f>COUNTIFS($Y$3:$Y$89,"5",  $AE$3:$AE$89,"2")/BO96</f>
        <v>0.25</v>
      </c>
      <c r="BL96">
        <f>COUNTIFS($Y$3:$Y$89,"5",  $AE$3:$AE$89,"3")/BO96</f>
        <v>0</v>
      </c>
      <c r="BM96">
        <f>COUNTIFS($Y$3:$Y$89,"5",$AE$3:$AE$89,"4")/BO96</f>
        <v>0</v>
      </c>
      <c r="BN96">
        <f>COUNTIFS($Y$3:$Y$89,"5",  $AE$3:$AE$89,"5")/BO96</f>
        <v>0.75</v>
      </c>
      <c r="BO96">
        <v>4</v>
      </c>
    </row>
    <row r="97" spans="38:67" x14ac:dyDescent="0.3">
      <c r="AR97">
        <v>19</v>
      </c>
      <c r="AS97">
        <f>COUNTIFS(AS3:AS89,"19")</f>
        <v>11</v>
      </c>
      <c r="AV97">
        <f>COUNTIF(Y3:Y89,"3")</f>
        <v>20</v>
      </c>
      <c r="AW97">
        <f>COUNTIF(Z3:Z89,"3")</f>
        <v>34</v>
      </c>
      <c r="AX97" t="s">
        <v>292</v>
      </c>
    </row>
    <row r="98" spans="38:67" x14ac:dyDescent="0.3">
      <c r="AR98">
        <v>18</v>
      </c>
      <c r="AS98">
        <f>COUNTIFS(AS3:AS89,"18")</f>
        <v>6</v>
      </c>
      <c r="AV98">
        <f>COUNTIF(Y3:Y89,"4")</f>
        <v>1</v>
      </c>
      <c r="AW98">
        <f>COUNTIF(Z3:Z89,"4")</f>
        <v>5</v>
      </c>
      <c r="AX98" t="s">
        <v>293</v>
      </c>
    </row>
    <row r="99" spans="38:67" x14ac:dyDescent="0.3">
      <c r="AV99">
        <f>COUNTIF(Y3:Y89,"5")</f>
        <v>4</v>
      </c>
      <c r="AW99">
        <f>COUNTIF(Z3:Z89,"5")</f>
        <v>2</v>
      </c>
      <c r="AX99" t="s">
        <v>294</v>
      </c>
      <c r="BJ99" t="s">
        <v>327</v>
      </c>
      <c r="BK99" s="4" t="s">
        <v>299</v>
      </c>
      <c r="BL99" t="s">
        <v>291</v>
      </c>
      <c r="BM99" t="s">
        <v>292</v>
      </c>
      <c r="BN99" t="s">
        <v>328</v>
      </c>
    </row>
    <row r="100" spans="38:67" x14ac:dyDescent="0.3">
      <c r="AM100">
        <v>18</v>
      </c>
      <c r="AN100">
        <v>19</v>
      </c>
      <c r="AO100">
        <v>20</v>
      </c>
      <c r="AP100">
        <v>21</v>
      </c>
      <c r="AQ100">
        <v>22</v>
      </c>
      <c r="BI100" t="s">
        <v>290</v>
      </c>
      <c r="BJ100">
        <f>COUNTIFS($Z$3:$Z$89,"1", $AE$3:$AE$89,"1")</f>
        <v>0</v>
      </c>
      <c r="BK100">
        <f>COUNTIFS($Z$3:$Z$89,"1", $AE$3:$AE$89,"2")/BO100</f>
        <v>0.25</v>
      </c>
      <c r="BL100">
        <f>COUNTIFS($Z$3:$Z$89,"1", $AE$3:$AE$89,"3")/BO100</f>
        <v>0.25</v>
      </c>
      <c r="BM100">
        <f>COUNTIFS($Z$3:$Z$89,"1", $AE$3:$AE$89,"4")/BO100</f>
        <v>0.25</v>
      </c>
      <c r="BN100">
        <f>COUNTIFS($Z$3:$Z$89,"1", $AE$3:$AE$89,"5")/BO100</f>
        <v>0.25</v>
      </c>
      <c r="BO100">
        <v>4</v>
      </c>
    </row>
    <row r="101" spans="38:67" x14ac:dyDescent="0.3">
      <c r="AL101" t="s">
        <v>290</v>
      </c>
      <c r="AM101">
        <f>COUNTIFS($Y$3:$Y$89,"1", $AS$3:$AS$89,"18")</f>
        <v>0</v>
      </c>
      <c r="AN101">
        <f>COUNTIFS($Y$3:$Y$89,"1", $AS$3:$AS$89,"19")</f>
        <v>0</v>
      </c>
      <c r="AO101">
        <f>COUNTIFS($Y$3:$Y$89,"1", $AS$3:$AS$89,"20")</f>
        <v>0</v>
      </c>
      <c r="AP101">
        <f>COUNTIFS($Y$3:$Y$89,"1", $AS$3:$AS$89,"21")</f>
        <v>0</v>
      </c>
      <c r="AQ101">
        <f>COUNTIFS($Y$3:$Y$89,"1", $AS$3:$AS$89,"22")</f>
        <v>0</v>
      </c>
      <c r="AR101">
        <v>0</v>
      </c>
      <c r="AV101">
        <f>AVERAGE(Y3:Y89)</f>
        <v>2.4</v>
      </c>
      <c r="AW101">
        <f>AVERAGE(Z3:Z89)</f>
        <v>2.5411764705882351</v>
      </c>
      <c r="BI101" t="s">
        <v>291</v>
      </c>
      <c r="BJ101">
        <f>COUNTIFS($Z$3:$Z$89,"2", $AE$3:$AE$89,"1")/BO101</f>
        <v>2.5000000000000001E-2</v>
      </c>
      <c r="BK101">
        <f>COUNTIFS($Z$3:$Z$89,"2",  $AE$3:$AE$89,"2")/BO101</f>
        <v>0.3</v>
      </c>
      <c r="BL101">
        <f>COUNTIFS($Z$3:$Z$89,"2",  $AE$3:$AE$89,"3")/BO101</f>
        <v>0.4</v>
      </c>
      <c r="BM101">
        <f>COUNTIFS($Z$3:$Z$89,"2",$AE$3:$AE$89,"4")/BO101</f>
        <v>0.27500000000000002</v>
      </c>
      <c r="BN101">
        <f>COUNTIFS($Z$3:$Z$89,"2",  $AE$3:$AE$89,"5")/BO101</f>
        <v>0</v>
      </c>
      <c r="BO101">
        <v>40</v>
      </c>
    </row>
    <row r="102" spans="38:67" x14ac:dyDescent="0.3">
      <c r="AL102" t="s">
        <v>291</v>
      </c>
      <c r="AM102">
        <f>COUNTIFS($Y$3:$Y$89,"2", $AS$3:$AS$89,"18")/AR102</f>
        <v>3.3333333333333333E-2</v>
      </c>
      <c r="AN102">
        <f>COUNTIFS($Y$3:$Y$89,"2", $AS$3:$AS$89,"19")/AR102</f>
        <v>0.11666666666666667</v>
      </c>
      <c r="AO102">
        <f>COUNTIFS($Y$3:$Y$89,"2", $AS$3:$AS$89,"20")/AR102</f>
        <v>0.3</v>
      </c>
      <c r="AP102">
        <f>COUNTIFS($Y$3:$Y$89,"2", $AS$3:$AS$89,"21")/AR102</f>
        <v>0.31666666666666665</v>
      </c>
      <c r="AQ102">
        <f>COUNTIFS($Y$3:$Y$89,"2", $AS$3:$AS$89,"22")/AR102</f>
        <v>0.15</v>
      </c>
      <c r="AR102">
        <v>60</v>
      </c>
      <c r="AV102" t="s">
        <v>296</v>
      </c>
      <c r="AW102" t="s">
        <v>297</v>
      </c>
      <c r="BI102" t="s">
        <v>292</v>
      </c>
      <c r="BJ102">
        <f>COUNTIFS($Z$3:$Z$89,"3", $AE$3:$AE$89,"1")/BO102</f>
        <v>2.9411764705882353E-2</v>
      </c>
      <c r="BK102">
        <f>COUNTIFS($Z$3:$Z$89,"3", $AE$3:$AE$89,"2")/BO102</f>
        <v>0.26470588235294118</v>
      </c>
      <c r="BL102">
        <f>COUNTIFS($Z$3:$Z$89,"3",  $AE$3:$AE$89,"3")/BO102</f>
        <v>0.38235294117647056</v>
      </c>
      <c r="BM102">
        <f>COUNTIFS($Z$3:$Z$89,"3",$AE$3:$AE$89,"4")/BO102</f>
        <v>0.23529411764705882</v>
      </c>
      <c r="BN102">
        <f>COUNTIFS($Z$3:$Z$89,"3", $AE$3:$AE$89,"5")/BO102</f>
        <v>8.8235294117647065E-2</v>
      </c>
      <c r="BO102">
        <v>34</v>
      </c>
    </row>
    <row r="103" spans="38:67" x14ac:dyDescent="0.3">
      <c r="AL103" t="s">
        <v>292</v>
      </c>
      <c r="AM103">
        <f>COUNTIFS($Y$3:$Y$89,"3", $AS$3:$AS$89,"18")/AR103</f>
        <v>0.15</v>
      </c>
      <c r="AN103">
        <f>COUNTIFS($Y$3:$Y$89,"3", $AS$3:$AS$89,"19")/AR103</f>
        <v>0.2</v>
      </c>
      <c r="AO103">
        <f>COUNTIFS($Y$3:$Y$89,"3", $AS$3:$AS$89,"20")/AR103</f>
        <v>0.2</v>
      </c>
      <c r="AP103">
        <f>COUNTIFS($Y$3:$Y$89,"3", $AS$3:$AS$89,"21")/AR103</f>
        <v>0.3</v>
      </c>
      <c r="AQ103">
        <f>COUNTIFS($Y$3:$Y$89,"3", $AS$3:$AS$89,"22")/AR103</f>
        <v>0.1</v>
      </c>
      <c r="AR103">
        <v>20</v>
      </c>
      <c r="BI103" t="s">
        <v>293</v>
      </c>
      <c r="BJ103">
        <f>COUNTIFS($Z$3:$Z$89,"4", $AE$3:$AE$89,"1")</f>
        <v>0</v>
      </c>
      <c r="BK103">
        <f>COUNTIFS($Z$3:$Z$89,"4",  $AE$3:$AE$89,"2")</f>
        <v>0</v>
      </c>
      <c r="BL103">
        <f>COUNTIFS($Z$3:$Z$89,"4",  $AE$3:$AE$89,"3")/BO103</f>
        <v>0.4</v>
      </c>
      <c r="BM103">
        <f>COUNTIFS($Z$3:$Z$89,"4", $AE$3:$AE$89,"4")/BO103</f>
        <v>0.4</v>
      </c>
      <c r="BN103">
        <f>COUNTIFS($Z$3:$Z$89,"4",  $AE$3:$AE$89,"5")/BO103</f>
        <v>0.2</v>
      </c>
      <c r="BO103">
        <v>5</v>
      </c>
    </row>
    <row r="104" spans="38:67" x14ac:dyDescent="0.3">
      <c r="AL104" t="s">
        <v>293</v>
      </c>
      <c r="AM104">
        <f>COUNTIFS($Y$3:$Y$89,"4", $AS$3:$AS$89,"18")</f>
        <v>0</v>
      </c>
      <c r="AN104">
        <f>COUNTIFS($Y$3:$Y$89,"4", $AS$3:$AS$89,"19")</f>
        <v>0</v>
      </c>
      <c r="AO104">
        <f>COUNTIFS($Y$3:$Y$89,"4", $AS$3:$AS$89,"20")/AR104</f>
        <v>1</v>
      </c>
      <c r="AP104">
        <f>COUNTIFS($Y$3:$Y$89,"4", $AS$3:$AS$89,"21")</f>
        <v>0</v>
      </c>
      <c r="AQ104">
        <f>COUNTIFS($Y$3:$Y$89,"4", $AS$3:$AS$89,"22")</f>
        <v>0</v>
      </c>
      <c r="AR104">
        <v>1</v>
      </c>
      <c r="AW104" t="s">
        <v>286</v>
      </c>
      <c r="AX104">
        <f>AVERAGE($AE$3:$AE$89)</f>
        <v>3.0930232558139537</v>
      </c>
      <c r="BI104" t="s">
        <v>294</v>
      </c>
      <c r="BJ104">
        <f>COUNTIFS($Z$3:$Z$89,"5", $AE$3:$AE$89,"1")</f>
        <v>0</v>
      </c>
      <c r="BK104">
        <f>COUNTIFS($Z$3:$Z$89,"5",  $AE$3:$AE$89,"2")/BO104</f>
        <v>0.5</v>
      </c>
      <c r="BL104">
        <f>COUNTIFS($Z$3:$Z$89,"5",  $AE$3:$AE$89,"3")/BO104</f>
        <v>0</v>
      </c>
      <c r="BM104">
        <f>COUNTIFS($Z$3:$Z$89,"5",$AE$3:$AE$89,"4")/BO104</f>
        <v>0</v>
      </c>
      <c r="BN104">
        <f>COUNTIFS($Z$3:$Z$89,"5",  $AE$3:$AE$89,"5")/BO104</f>
        <v>0.5</v>
      </c>
      <c r="BO104">
        <v>2</v>
      </c>
    </row>
    <row r="105" spans="38:67" x14ac:dyDescent="0.3">
      <c r="AL105" t="s">
        <v>294</v>
      </c>
      <c r="AM105">
        <f>COUNTIFS($Y$3:$Y$89,"5", $AS$3:$AS$89,"18")</f>
        <v>0</v>
      </c>
      <c r="AN105">
        <f>COUNTIFS($Y$3:$Y$89,"5", $AS$3:$AS$89,"19")</f>
        <v>0</v>
      </c>
      <c r="AO105">
        <f>COUNTIFS($Y$3:$Y$89,"5", $AS$3:$AS$89,"20")/AR105</f>
        <v>0.75</v>
      </c>
      <c r="AP105">
        <f>COUNTIFS($Y$3:$Y$89,"5", $AS$3:$AS$89,"21")</f>
        <v>0</v>
      </c>
      <c r="AQ105">
        <f>COUNTIFS($Y$3:$Y$89,"5", $AS$3:$AS$89,"22")/AR105</f>
        <v>0.25</v>
      </c>
      <c r="AR105">
        <v>4</v>
      </c>
      <c r="AW105" t="s">
        <v>287</v>
      </c>
      <c r="AX105">
        <f>MEDIAN($AE$3:$AE$89)</f>
        <v>3</v>
      </c>
    </row>
    <row r="106" spans="38:67" x14ac:dyDescent="0.3">
      <c r="AU106" t="s">
        <v>331</v>
      </c>
      <c r="AW106" t="s">
        <v>302</v>
      </c>
    </row>
    <row r="107" spans="38:67" x14ac:dyDescent="0.3">
      <c r="AU107">
        <f>COUNTIF($AF$3:$AF$89,"1")</f>
        <v>37</v>
      </c>
      <c r="AV107" s="8" t="s">
        <v>332</v>
      </c>
      <c r="AW107">
        <f>COUNTIF($AE$3:$AE$89,"1")</f>
        <v>2</v>
      </c>
      <c r="AX107" t="s">
        <v>329</v>
      </c>
      <c r="BH107" t="s">
        <v>358</v>
      </c>
      <c r="BI107" t="s">
        <v>369</v>
      </c>
      <c r="BJ107" t="s">
        <v>286</v>
      </c>
    </row>
    <row r="108" spans="38:67" x14ac:dyDescent="0.3">
      <c r="AU108">
        <f>COUNTIF($AF$3:$AF$89,"2")</f>
        <v>35</v>
      </c>
      <c r="AV108" s="8" t="s">
        <v>333</v>
      </c>
      <c r="AW108">
        <f>COUNTIF($AE$3:$AE$89,"2")</f>
        <v>23</v>
      </c>
      <c r="AX108" t="s">
        <v>330</v>
      </c>
      <c r="BH108" t="s">
        <v>359</v>
      </c>
      <c r="BI108">
        <f>COUNTIF(BK3:BK89,"1")</f>
        <v>10</v>
      </c>
      <c r="BJ108">
        <f>AVERAGEIFS(BK3:BK89,BK3:BK89,"1")</f>
        <v>1</v>
      </c>
    </row>
    <row r="109" spans="38:67" x14ac:dyDescent="0.3">
      <c r="AM109">
        <v>18</v>
      </c>
      <c r="AN109">
        <v>19</v>
      </c>
      <c r="AO109">
        <v>20</v>
      </c>
      <c r="AP109">
        <v>21</v>
      </c>
      <c r="AQ109">
        <v>22</v>
      </c>
      <c r="AU109">
        <f>COUNTIF($AF$3:$AF$89,"3")</f>
        <v>5</v>
      </c>
      <c r="AV109" s="8" t="s">
        <v>334</v>
      </c>
      <c r="AW109">
        <f>COUNTIF($AE$3:$AE$89,"3")</f>
        <v>32</v>
      </c>
      <c r="AX109" t="s">
        <v>291</v>
      </c>
      <c r="BH109" t="s">
        <v>360</v>
      </c>
      <c r="BI109">
        <f>COUNTIF(BK3:BK89,"2")</f>
        <v>4</v>
      </c>
    </row>
    <row r="110" spans="38:67" x14ac:dyDescent="0.3">
      <c r="AL110" t="s">
        <v>290</v>
      </c>
      <c r="AM110">
        <f>COUNTIFS($Z$3:$Z$89,"1", $AS$3:$AS$89,"18")/AR110</f>
        <v>0.25</v>
      </c>
      <c r="AN110">
        <f>COUNTIFS($Z$3:$Z$89,"1", $AS$3:$AS$89,"19")/AR110</f>
        <v>0.25</v>
      </c>
      <c r="AO110">
        <f>COUNTIFS($Z$3:$Z$89,"1", $AS$3:$AS$89,"20")/AR110</f>
        <v>0</v>
      </c>
      <c r="AP110">
        <f>COUNTIFS($Z$3:$Z$89,"1", $AS$3:$AS$89,"21")/AR110</f>
        <v>0.5</v>
      </c>
      <c r="AQ110">
        <f>COUNTIFS($Z$3:$Z$89,"1", $AS$3:$AS$89,"22")</f>
        <v>0</v>
      </c>
      <c r="AR110">
        <v>4</v>
      </c>
      <c r="AU110">
        <f>COUNTIF($AF$3:$AF$89,"4")</f>
        <v>4</v>
      </c>
      <c r="AV110" s="8" t="s">
        <v>335</v>
      </c>
      <c r="AW110">
        <f>COUNTIF($AE$3:$AE$89,"4")</f>
        <v>23</v>
      </c>
      <c r="AX110" t="s">
        <v>292</v>
      </c>
      <c r="BH110" t="s">
        <v>361</v>
      </c>
      <c r="BI110">
        <f>COUNTIF(BK3:BK89,"3")</f>
        <v>5</v>
      </c>
      <c r="BJ110">
        <f>AVERAGEIFS(BK3:BK89,BK3:BK89,"2")</f>
        <v>2</v>
      </c>
    </row>
    <row r="111" spans="38:67" x14ac:dyDescent="0.3">
      <c r="AL111" t="s">
        <v>291</v>
      </c>
      <c r="AM111">
        <f>COUNTIFS($Z$3:$Z$89,"2", $AS$3:$AS$89,"18")/AR111</f>
        <v>2.5000000000000001E-2</v>
      </c>
      <c r="AN111">
        <f>COUNTIFS($Z$3:$Z$89,"2", $AS$3:$AS$89,"19")/AR111</f>
        <v>0.1</v>
      </c>
      <c r="AO111">
        <f>COUNTIFS($Z$3:$Z$89,"2", $AS$3:$AS$89,"20")/AR111</f>
        <v>0.25</v>
      </c>
      <c r="AP111">
        <f>COUNTIFS($Z$3:$Z$89,"2", $AS$3:$AS$89,"21")/AR111</f>
        <v>0.32500000000000001</v>
      </c>
      <c r="AQ111">
        <f>COUNTIFS($Z$3:$Z$89,"2", $AS$3:$AS$89,"22")/AR111</f>
        <v>0.2</v>
      </c>
      <c r="AR111">
        <v>40</v>
      </c>
      <c r="AU111">
        <f>COUNTIF($AF$3:$AF$89,"5")</f>
        <v>1</v>
      </c>
      <c r="AV111" s="8" t="s">
        <v>336</v>
      </c>
      <c r="AW111">
        <f>COUNTIF($AE$3:$AE$89,"5")</f>
        <v>6</v>
      </c>
      <c r="AX111" t="s">
        <v>328</v>
      </c>
      <c r="BH111" t="s">
        <v>362</v>
      </c>
      <c r="BI111">
        <f>COUNTIF(BK3:BK89,"4")</f>
        <v>16</v>
      </c>
    </row>
    <row r="112" spans="38:67" x14ac:dyDescent="0.3">
      <c r="AL112" t="s">
        <v>292</v>
      </c>
      <c r="AM112">
        <f>COUNTIFS($Z$3:$Z$89,"3", $AS$3:$AS$89,"18")/AR112</f>
        <v>8.8235294117647065E-2</v>
      </c>
      <c r="AN112">
        <f>COUNTIFS($Z$3:$Z$89,"3", $AS$3:$AS$89,"19")/AR112</f>
        <v>0.11764705882352941</v>
      </c>
      <c r="AO112">
        <f>COUNTIFS($Z$3:$Z$89,"3", $AS$3:$AS$89,"20")/AR112</f>
        <v>0.38235294117647056</v>
      </c>
      <c r="AP112">
        <f>COUNTIFS($Z$3:$Z$89,"3", $AS$3:$AS$89,"21")/AR112</f>
        <v>0.23529411764705882</v>
      </c>
      <c r="AQ112">
        <f>COUNTIFS($Z$3:$Z$89,"3", $AS$3:$AS$89,"22")/AR112</f>
        <v>0.11764705882352941</v>
      </c>
      <c r="AR112">
        <v>34</v>
      </c>
      <c r="AU112">
        <f>COUNTIF($AF$3:$AF$89,"6")</f>
        <v>4</v>
      </c>
      <c r="AV112" s="8" t="s">
        <v>337</v>
      </c>
      <c r="BH112" t="s">
        <v>363</v>
      </c>
      <c r="BI112">
        <f>COUNTIF(BK3:BK89,"5")</f>
        <v>0</v>
      </c>
    </row>
    <row r="113" spans="38:62" x14ac:dyDescent="0.3">
      <c r="AL113" t="s">
        <v>293</v>
      </c>
      <c r="AM113">
        <f>COUNTIFS($Z$3:$Z$89,"4", $AS$3:$AS$89,"18")/AR113</f>
        <v>0</v>
      </c>
      <c r="AN113">
        <f>COUNTIFS($Z$3:$Z$89,"4", $AS$3:$AS$89,"19")/AR113</f>
        <v>0.4</v>
      </c>
      <c r="AO113">
        <f>COUNTIFS($Z$3:$Z$89,"4", $AS$3:$AS$89,"20")/AR113</f>
        <v>0.2</v>
      </c>
      <c r="AP113">
        <f>COUNTIFS($Z$3:$Z$89,"4", $AS$3:$AS$89,"21")/AR113</f>
        <v>0.4</v>
      </c>
      <c r="AQ113">
        <f>COUNTIFS($Z$3:$Z$89,"4", $AS$3:$AS$89,"22")/AR113</f>
        <v>0</v>
      </c>
      <c r="AR113">
        <v>5</v>
      </c>
      <c r="BH113" t="s">
        <v>364</v>
      </c>
      <c r="BI113">
        <f>COUNTIF(BK3:BK89,"6")</f>
        <v>5</v>
      </c>
    </row>
    <row r="114" spans="38:62" x14ac:dyDescent="0.3">
      <c r="AL114" t="s">
        <v>294</v>
      </c>
      <c r="AM114">
        <f>COUNTIFS($Z$3:$Z$89,"5", $AS$3:$AS$89,"18")/AM115</f>
        <v>0</v>
      </c>
      <c r="AN114">
        <f>COUNTIFS($Z$3:$Z$89,"5", $AS$3:$AS$89,"19")/AN115</f>
        <v>0</v>
      </c>
      <c r="AO114">
        <f>COUNTIFS($Z$3:$Z$89,"5", $AS$3:$AS$89,"20")/AR114</f>
        <v>1</v>
      </c>
      <c r="AP114">
        <f>COUNTIFS($Z$3:$Z$89,"5", $AS$3:$AS$89,"21")</f>
        <v>0</v>
      </c>
      <c r="AQ114">
        <f>COUNTIFS($Z$3:$Z$89,"5", $AS$3:$AS$89,"22")/AQ115</f>
        <v>0</v>
      </c>
      <c r="AR114">
        <v>2</v>
      </c>
      <c r="BH114" t="s">
        <v>365</v>
      </c>
      <c r="BI114">
        <f>COUNTIF(BK3:BK89,"7")</f>
        <v>12</v>
      </c>
    </row>
    <row r="115" spans="38:62" x14ac:dyDescent="0.3">
      <c r="AM115">
        <v>4</v>
      </c>
      <c r="AN115">
        <v>40</v>
      </c>
      <c r="AO115">
        <v>34</v>
      </c>
      <c r="AP115">
        <v>6</v>
      </c>
      <c r="AQ115">
        <v>2</v>
      </c>
      <c r="BH115" t="s">
        <v>366</v>
      </c>
      <c r="BI115">
        <f>COUNTIF(BK3:BK89,"8")</f>
        <v>5</v>
      </c>
    </row>
    <row r="116" spans="38:62" x14ac:dyDescent="0.3">
      <c r="BH116" t="s">
        <v>367</v>
      </c>
      <c r="BI116">
        <f>COUNTIF(BK3:BK89,"9")</f>
        <v>15</v>
      </c>
    </row>
    <row r="117" spans="38:62" x14ac:dyDescent="0.3">
      <c r="BH117" t="s">
        <v>368</v>
      </c>
      <c r="BI117">
        <f>COUNTIF(BK3:BK89,"10")</f>
        <v>13</v>
      </c>
    </row>
    <row r="120" spans="38:62" x14ac:dyDescent="0.3">
      <c r="AR120" t="s">
        <v>339</v>
      </c>
    </row>
    <row r="121" spans="38:62" x14ac:dyDescent="0.3">
      <c r="AS121" t="s">
        <v>332</v>
      </c>
      <c r="AT121" s="4" t="s">
        <v>338</v>
      </c>
      <c r="AU121" t="s">
        <v>341</v>
      </c>
      <c r="AV121" t="s">
        <v>335</v>
      </c>
      <c r="AW121" t="s">
        <v>336</v>
      </c>
    </row>
    <row r="122" spans="38:62" x14ac:dyDescent="0.3">
      <c r="AR122" t="s">
        <v>290</v>
      </c>
      <c r="AS122">
        <f>COUNTIFS($Y$3:$Y$89,"1", $AF$3:$AF$89,"1")</f>
        <v>0</v>
      </c>
      <c r="AT122">
        <f>COUNTIFS($Y$3:$Y$89,"1",$AF$3:$AF$89,"2")/AX122</f>
        <v>0</v>
      </c>
      <c r="AU122">
        <f>COUNTIFS($Y$3:$Y$89,"1", $AF$3:$AF$89,"3")/AX122</f>
        <v>0</v>
      </c>
      <c r="AV122">
        <f>COUNTIFS($Y$3:$Y$89,"1", $AF$3:$AF$89,"4")/AX122</f>
        <v>0</v>
      </c>
      <c r="AW122">
        <f>COUNTIFS($Y$3:$Y$89,"1", $AF$3:$AF$89,"5")/AX122</f>
        <v>0</v>
      </c>
      <c r="AX122">
        <v>1</v>
      </c>
    </row>
    <row r="123" spans="38:62" x14ac:dyDescent="0.3">
      <c r="AR123" t="s">
        <v>291</v>
      </c>
      <c r="AS123">
        <f>COUNTIFS($Y$3:$Y$89,"2", $AF$3:$AF$89,"1")/AX123</f>
        <v>28</v>
      </c>
      <c r="AT123">
        <f>COUNTIFS($Y$3:$Y$89,"2",  $AF$3:$AF$89,"2")/AX123</f>
        <v>25</v>
      </c>
      <c r="AU123">
        <f>COUNTIFS($Y$3:$Y$89,"2",  $AF$3:$AF$89,"3")/AX123</f>
        <v>1</v>
      </c>
      <c r="AV123">
        <f>COUNTIFS($Y$3:$Y$89,"2",$AF$3:$AF$89,"4")/AX123</f>
        <v>3</v>
      </c>
      <c r="AW123">
        <f>COUNTIFS($Y$3:$Y$89,"2",  $AF$3:$AF$89,"5")/AX123</f>
        <v>1</v>
      </c>
      <c r="AX123">
        <v>1</v>
      </c>
    </row>
    <row r="124" spans="38:62" x14ac:dyDescent="0.3">
      <c r="AR124" t="s">
        <v>292</v>
      </c>
      <c r="AS124">
        <f>COUNTIFS($Y$3:$Y$89,"3", $AF$3:$AF$89,"1")/AX124</f>
        <v>9</v>
      </c>
      <c r="AT124">
        <f>COUNTIFS($Y$3:$Y$89,"3", $AF$3:$AF$89,"2")/AX124</f>
        <v>7</v>
      </c>
      <c r="AU124">
        <f>COUNTIFS($Y$3:$Y$89,"3",  $AF$3:$AF$89,"3")/AX124</f>
        <v>2</v>
      </c>
      <c r="AV124">
        <f>COUNTIFS($Y$3:$Y$89,"3",$AF$3:$AF$89,"4")/AX124</f>
        <v>1</v>
      </c>
      <c r="AW124">
        <f>COUNTIFS($Y$3:$Y$89,"3", $AF$3:$AF$89,"5")/AX124</f>
        <v>0</v>
      </c>
      <c r="AX124">
        <v>1</v>
      </c>
    </row>
    <row r="125" spans="38:62" x14ac:dyDescent="0.3">
      <c r="AR125" t="s">
        <v>293</v>
      </c>
      <c r="AS125">
        <f>COUNTIFS($Y$3:$Y$89,"4", $AF$3:$AF$89,"1")</f>
        <v>0</v>
      </c>
      <c r="AT125">
        <v>0</v>
      </c>
      <c r="AU125">
        <f>COUNTIFS($Y$3:$Y$89,"4",  $AF$3:$AF$89,"3")/AX125</f>
        <v>0</v>
      </c>
      <c r="AV125">
        <f>COUNTIFS($Y$3:$Y$89,"4", $AF$3:$AF$89,"4")/AX125</f>
        <v>0</v>
      </c>
      <c r="AW125">
        <f>COUNTIFS($Y$3:$Y$89,"4",  $AF$3:$AF$89,"5")/AX125</f>
        <v>0</v>
      </c>
      <c r="AX125">
        <v>1</v>
      </c>
      <c r="BB125" t="s">
        <v>355</v>
      </c>
      <c r="BC125" t="s">
        <v>286</v>
      </c>
      <c r="BI125" t="s">
        <v>286</v>
      </c>
    </row>
    <row r="126" spans="38:62" x14ac:dyDescent="0.3">
      <c r="AR126" t="s">
        <v>294</v>
      </c>
      <c r="AS126">
        <f>COUNTIFS($Y$3:$Y$89,"5", $AF$3:$AF$89,"1")</f>
        <v>0</v>
      </c>
      <c r="AT126">
        <f>COUNTIFS($Y$3:$Y$89,"5",  $AF$3:$AF$89,"2")/AX126</f>
        <v>2</v>
      </c>
      <c r="AU126">
        <f>COUNTIFS($Y$3:$Y$89,"5",  $AF$3:$AF$89,"3")/AX126</f>
        <v>2</v>
      </c>
      <c r="AV126">
        <f>COUNTIFS($Y$3:$Y$89,"5",$AF$3:$AF$89,"4")/AX126</f>
        <v>0</v>
      </c>
      <c r="AW126">
        <f>COUNTIFS($Y$3:$Y$89,"5",  $AF$3:$AF$89,"5")/AX126</f>
        <v>0</v>
      </c>
      <c r="AX126">
        <v>1</v>
      </c>
      <c r="BB126" t="s">
        <v>350</v>
      </c>
      <c r="BC126">
        <f>AVERAGEIF(BE3:BE89,"&gt;=1",BE3:BE89)</f>
        <v>2.8780487804878048</v>
      </c>
      <c r="BI126" t="s">
        <v>287</v>
      </c>
      <c r="BJ126" cm="1">
        <f t="array" ref="BJ126">MEDIAN(IF(BE3:BE89&gt;=1, BE3:BE89))</f>
        <v>3</v>
      </c>
    </row>
    <row r="127" spans="38:62" x14ac:dyDescent="0.3">
      <c r="AS127">
        <f>SUM(AS122:AS126)</f>
        <v>37</v>
      </c>
      <c r="AT127">
        <f>SUM(AT122:AT126)</f>
        <v>34</v>
      </c>
      <c r="AU127">
        <v>5</v>
      </c>
      <c r="AV127">
        <v>4</v>
      </c>
      <c r="AW127">
        <v>1</v>
      </c>
      <c r="BB127" t="s">
        <v>332</v>
      </c>
      <c r="BC127">
        <f>AVERAGEIFS(BE3:BE89,BE3:BE89,"&gt;=1",AF3:AF89,"1")</f>
        <v>2.9428571428571431</v>
      </c>
      <c r="BD127">
        <f>BC127*37</f>
        <v>108.8857142857143</v>
      </c>
    </row>
    <row r="128" spans="38:62" x14ac:dyDescent="0.3">
      <c r="AR128" t="s">
        <v>340</v>
      </c>
      <c r="BB128" t="s">
        <v>338</v>
      </c>
      <c r="BC128">
        <f>AVERAGEIFS(BE3:BE89,BE3:BE89,"&gt;=1",AF3:AF89,"2")</f>
        <v>2.6363636363636362</v>
      </c>
      <c r="BD128">
        <f>BC128*35</f>
        <v>92.272727272727266</v>
      </c>
      <c r="BE128">
        <f>(BD127+BD128)/72</f>
        <v>2.7938672438672438</v>
      </c>
    </row>
    <row r="129" spans="44:70" x14ac:dyDescent="0.3">
      <c r="AS129" t="s">
        <v>332</v>
      </c>
      <c r="AT129" s="4" t="s">
        <v>338</v>
      </c>
      <c r="AU129" t="s">
        <v>341</v>
      </c>
      <c r="AV129" t="s">
        <v>335</v>
      </c>
      <c r="AW129" t="s">
        <v>336</v>
      </c>
      <c r="AX129" t="s">
        <v>337</v>
      </c>
      <c r="BB129" t="s">
        <v>341</v>
      </c>
      <c r="BC129">
        <f>AVERAGEIFS(BE3:BE89,BE3:BE89,"&gt;=1",AF3:AF89,"3")</f>
        <v>3.6</v>
      </c>
    </row>
    <row r="130" spans="44:70" x14ac:dyDescent="0.3">
      <c r="AR130" t="s">
        <v>290</v>
      </c>
      <c r="AS130">
        <f>COUNTIFS($Z$3:$Z$89,"1", $AF$3:$AF$89,"1")/AX130</f>
        <v>0</v>
      </c>
      <c r="AT130">
        <f>COUNTIFS($Z$3:$Z$89,"1",$AF$3:$AF$89,"2")/AX130</f>
        <v>0.75</v>
      </c>
      <c r="AU130">
        <f>COUNTIFS($Z$3:$Z$89,"1", $AF$3:$AF$89,"3")/AX130</f>
        <v>0.25</v>
      </c>
      <c r="AV130">
        <f>COUNTIFS($Z$3:$Z$89,"1", $AF$3:$AF$89,"4")/AX130</f>
        <v>0</v>
      </c>
      <c r="AW130">
        <f>COUNTIFS($Z$3:$Z$89,"1", $AF$3:$AF$89,"5")/AX130</f>
        <v>0</v>
      </c>
      <c r="AX130">
        <v>4</v>
      </c>
      <c r="BB130" t="s">
        <v>335</v>
      </c>
      <c r="BC130">
        <f>AVERAGEIFS(BE3:BE89,BE3:BE89,"&gt;=1",AF3:AF89,"4")</f>
        <v>3</v>
      </c>
    </row>
    <row r="131" spans="44:70" x14ac:dyDescent="0.3">
      <c r="AR131" t="s">
        <v>291</v>
      </c>
      <c r="AS131">
        <f>COUNTIFS($Z$3:$Z$89,"2", $AF$3:$AF$89,"1")/AX131</f>
        <v>0.4</v>
      </c>
      <c r="AT131">
        <f>COUNTIFS($Z$3:$Z$89,"2",  $AF$3:$AF$89,"2")/AX131</f>
        <v>0.47499999999999998</v>
      </c>
      <c r="AU131">
        <f>COUNTIFS($Z$3:$Z$89,"2",  $AF$3:$AF$89,"3")/AX131</f>
        <v>2.5000000000000001E-2</v>
      </c>
      <c r="AV131">
        <f>COUNTIFS($Z$3:$Z$89,"2",$AF$3:$AF$89,"4")/AX131</f>
        <v>2.5000000000000001E-2</v>
      </c>
      <c r="AW131">
        <f>COUNTIFS($Z$3:$Z$89,"2",  $AF$3:$AF$89,"5")/AX131</f>
        <v>2.5000000000000001E-2</v>
      </c>
      <c r="AX131">
        <v>40</v>
      </c>
      <c r="BB131" t="s">
        <v>351</v>
      </c>
      <c r="BC131">
        <f>AVERAGEIFS(BE3:BE89,BE3:BE89,"&gt;=1",AF3:AF89,"5")</f>
        <v>3</v>
      </c>
      <c r="BF131" t="s">
        <v>349</v>
      </c>
      <c r="BG131">
        <f>BC126</f>
        <v>2.8780487804878048</v>
      </c>
      <c r="BH131" t="s">
        <v>297</v>
      </c>
      <c r="BI131" t="s">
        <v>359</v>
      </c>
      <c r="BJ131" t="s">
        <v>360</v>
      </c>
      <c r="BK131" t="s">
        <v>371</v>
      </c>
      <c r="BL131" t="s">
        <v>370</v>
      </c>
      <c r="BM131" t="s">
        <v>372</v>
      </c>
      <c r="BN131" t="s">
        <v>373</v>
      </c>
      <c r="BO131" t="s">
        <v>376</v>
      </c>
      <c r="BP131" t="s">
        <v>374</v>
      </c>
      <c r="BQ131" t="s">
        <v>375</v>
      </c>
    </row>
    <row r="132" spans="44:70" x14ac:dyDescent="0.3">
      <c r="AR132" t="s">
        <v>292</v>
      </c>
      <c r="AS132">
        <f>COUNTIFS($Z$3:$Z$89,"3", $AF$3:$AF$89,"1")/AX132</f>
        <v>0.5</v>
      </c>
      <c r="AT132">
        <f>COUNTIFS($Z$3:$Z$89,"3", $AF$3:$AF$89,"2")/AX132</f>
        <v>0.29411764705882354</v>
      </c>
      <c r="AU132">
        <f>COUNTIFS($Z$3:$Z$89,"3",  $AF$3:$AF$89,"3")/AX132</f>
        <v>8.8235294117647065E-2</v>
      </c>
      <c r="AV132">
        <f>COUNTIFS($Z$3:$Z$89,"3",$AF$3:$AF$89,"4")/AX132</f>
        <v>8.8235294117647065E-2</v>
      </c>
      <c r="AW132">
        <f>COUNTIFS($Z$3:$Z$89,"3", $AF$3:$AF$89,"5")/AX132</f>
        <v>0</v>
      </c>
      <c r="AX132">
        <v>34</v>
      </c>
      <c r="BB132" t="s">
        <v>337</v>
      </c>
      <c r="BC132">
        <f>AVERAGEIFS(BE3:BE89,BE3:BE89,"&gt;=1",AF3:AF89,"6")</f>
        <v>3.25</v>
      </c>
      <c r="BG132">
        <f>BE128</f>
        <v>2.7938672438672438</v>
      </c>
      <c r="BH132" t="s">
        <v>290</v>
      </c>
      <c r="BI132">
        <f>COUNTIFS($Z$3:$Z$89,"1", $BK$3:$BK$89,"1")/BR132</f>
        <v>0.5</v>
      </c>
      <c r="BJ132">
        <f>COUNTIFS($Z$3:$Z$89,"1", $BK$3:$BK$89,"2")</f>
        <v>0</v>
      </c>
      <c r="BK132">
        <f>COUNTIFS($Z$3:$Z$89,"1", $BK$3:$BK$89,"3")</f>
        <v>0</v>
      </c>
      <c r="BL132">
        <f>COUNTIFS($Z$3:$Z$89,"1", $BK$3:$BK$89,"4")/BR132</f>
        <v>0.25</v>
      </c>
      <c r="BM132">
        <f>COUNTIFS($Z$3:$Z$89,"1", $BK$3:$BK$89,"5")</f>
        <v>0</v>
      </c>
      <c r="BN132">
        <f>COUNTIFS($Z$3:$Z$89,"1", $BK$3:$BK$89,"6")</f>
        <v>0</v>
      </c>
      <c r="BO132">
        <f>COUNTIFS($Z$3:$Z$89,"1", $BK$3:$BK$89,"7")</f>
        <v>0</v>
      </c>
      <c r="BP132">
        <f>COUNTIFS($Z$3:$Z$89,"1", $BK$3:$BK$89,"8")</f>
        <v>0</v>
      </c>
      <c r="BQ132">
        <f>COUNTIFS($Z$3:$Z$89,"1", $BK$3:$BK$89,"9")</f>
        <v>0</v>
      </c>
      <c r="BR132">
        <v>4</v>
      </c>
    </row>
    <row r="133" spans="44:70" x14ac:dyDescent="0.3">
      <c r="AR133" t="s">
        <v>293</v>
      </c>
      <c r="AS133">
        <f>COUNTIFS($Z$3:$Z$89,"4", $AF$3:$AF$89,"1")/AX133</f>
        <v>0.6</v>
      </c>
      <c r="AT133">
        <f>COUNTIFS($Z$3:$Z$89,"4",  $AF$3:$AF$89,"2")/AX133</f>
        <v>0.4</v>
      </c>
      <c r="AU133">
        <f>COUNTIFS($Z$3:$Z$89,"4",  $AF$3:$AF$89,"3")/AX133</f>
        <v>0</v>
      </c>
      <c r="AV133">
        <f>COUNTIFS($Z$3:$Z$89,"4", $AF$3:$AF$89,"4")/AX133</f>
        <v>0</v>
      </c>
      <c r="AW133">
        <f>COUNTIFS($Z$3:$Z$89,"4",  $AF$3:$AF$89,"5")/AX133</f>
        <v>0</v>
      </c>
      <c r="AX133">
        <v>5</v>
      </c>
      <c r="BH133" t="s">
        <v>291</v>
      </c>
      <c r="BI133">
        <f>COUNTIFS($Z$3:$Z$89,"2", $BK$3:$BK$89,"1")/BR133</f>
        <v>0.15</v>
      </c>
      <c r="BJ133">
        <f>COUNTIFS($Z$3:$Z$89,"2", $BK$3:$BK$89,"2")/BR133</f>
        <v>0.05</v>
      </c>
      <c r="BK133">
        <f>COUNTIFS($Z$3:$Z$89,"2", $BK$3:$BK$89,"3")/BR133</f>
        <v>0.05</v>
      </c>
      <c r="BL133">
        <f>COUNTIFS($Z$3:$Z$89,"2", $BK$3:$BK$89,"4")/BR133</f>
        <v>0.15</v>
      </c>
      <c r="BM133">
        <f>COUNTIFS($Z$3:$Z$89,"2", $BK$3:$BK$89,"5")</f>
        <v>0</v>
      </c>
      <c r="BN133">
        <f>COUNTIFS($Z$3:$Z$89,"2", $BK$3:$BK$89,"6")/BR133</f>
        <v>0.05</v>
      </c>
      <c r="BO133">
        <f>COUNTIFS($Z$3:$Z$89,"2", $BK$3:$BK$89,"7")/BR133</f>
        <v>0.125</v>
      </c>
      <c r="BP133">
        <f>COUNTIFS($Z$3:$Z$89,"2", $BK$3:$BK$89,"8")/BR133</f>
        <v>2.5000000000000001E-2</v>
      </c>
      <c r="BQ133">
        <f>COUNTIFS($Z$3:$Z$89,"2", $BK$3:$BK$89,"9")/BR133</f>
        <v>0.22500000000000001</v>
      </c>
      <c r="BR133">
        <v>40</v>
      </c>
    </row>
    <row r="134" spans="44:70" x14ac:dyDescent="0.3">
      <c r="AR134" t="s">
        <v>294</v>
      </c>
      <c r="AS134">
        <f>COUNTIFS($Z$3:$Z$89,"5", $AF$3:$AF$89,"1")/AX134</f>
        <v>0.5</v>
      </c>
      <c r="AT134">
        <f>COUNTIFS($Z$3:$Z$89,"5",  $AF$3:$AF$89,"2")/AX134</f>
        <v>0.5</v>
      </c>
      <c r="AU134">
        <f>COUNTIFS($Z$3:$Z$89,"5",  $AF$3:$AF$89,"3")/AX134</f>
        <v>0</v>
      </c>
      <c r="AV134">
        <f>COUNTIFS($Z$3:$Z$89,"5",$AF$3:$AF$89,"4")/AX134</f>
        <v>0</v>
      </c>
      <c r="AW134">
        <f>COUNTIFS($Z$3:$Z$89,"5",  $AF$3:$AF$89,"5")/AX134</f>
        <v>0</v>
      </c>
      <c r="AX134">
        <v>2</v>
      </c>
      <c r="BH134" t="s">
        <v>292</v>
      </c>
      <c r="BI134">
        <f>COUNTIFS($Z$3:$Z$89,"3", $BK$3:$BK$89,"1")/BR133</f>
        <v>0.05</v>
      </c>
      <c r="BJ134">
        <f>COUNTIFS($Z$3:$Z$89,"3", $BK$3:$BK$89,"2")/BR134</f>
        <v>2.9411764705882353E-2</v>
      </c>
      <c r="BK134">
        <f>COUNTIFS($Z$3:$Z$89,"3", $BK$3:$BK$89,"3")/BR134</f>
        <v>8.8235294117647065E-2</v>
      </c>
      <c r="BL134">
        <f>COUNTIFS($Z$3:$Z$89,"3", $BK$3:$BK$89,"4")/BR134</f>
        <v>0.26470588235294118</v>
      </c>
      <c r="BM134">
        <f>COUNTIFS($Z$3:$Z$89,"3", $BK$3:$BK$89,"5")</f>
        <v>0</v>
      </c>
      <c r="BN134">
        <f>COUNTIFS($Z$3:$Z$89,"3", $BK$3:$BK$89,"6")/BR134</f>
        <v>5.8823529411764705E-2</v>
      </c>
      <c r="BO134">
        <f>COUNTIFS($Z$3:$Z$89,"3", $BK$3:$BK$89,"7")/BR134</f>
        <v>0.17647058823529413</v>
      </c>
      <c r="BP134">
        <f>COUNTIFS($Z$3:$Z$89,"3", $BK$3:$BK$89,"8")/BR134</f>
        <v>8.8235294117647065E-2</v>
      </c>
      <c r="BQ134">
        <f>COUNTIFS($Z$3:$Z$89,"3", $BK$3:$BK$89,"9")/BR134</f>
        <v>8.8235294117647065E-2</v>
      </c>
      <c r="BR134">
        <v>34</v>
      </c>
    </row>
    <row r="135" spans="44:70" x14ac:dyDescent="0.3">
      <c r="BB135" t="s">
        <v>354</v>
      </c>
      <c r="BC135" t="s">
        <v>286</v>
      </c>
      <c r="BF135" t="s">
        <v>286</v>
      </c>
      <c r="BH135" t="s">
        <v>293</v>
      </c>
      <c r="BI135">
        <f>COUNTIFS($Z$3:$Z$89,"4", $BK$3:$BK$89,"1")</f>
        <v>0</v>
      </c>
      <c r="BJ135">
        <f>COUNTIFS($Z$3:$Z$89,"4", $BK$3:$BK$89,"2")/BR135</f>
        <v>0.2</v>
      </c>
      <c r="BK135">
        <f>COUNTIFS($Z$3:$Z$89,"4", $BK$3:$BK$89,"3")</f>
        <v>0</v>
      </c>
      <c r="BL135">
        <f>COUNTIFS($Z$3:$Z$89,"4", $BK$3:$BK$89,"4")</f>
        <v>0</v>
      </c>
      <c r="BM135">
        <f>COUNTIFS($Z$3:$Z$89,"4", $BK$3:$BK$89,"5")</f>
        <v>0</v>
      </c>
      <c r="BN135">
        <f>COUNTIFS($Z$3:$Z$89,"4", $BK$3:$BK$89,"6")/BR135</f>
        <v>0.2</v>
      </c>
      <c r="BO135">
        <f>COUNTIFS($Z$3:$Z$89,"4", $BK$3:$BK$89,"7")/BR135</f>
        <v>0.2</v>
      </c>
      <c r="BP135">
        <f>COUNTIFS($Z$3:$Z$89,"4", $BK$3:$BK$89,"8")</f>
        <v>0</v>
      </c>
      <c r="BQ135">
        <f>COUNTIFS($Z$3:$Z$89,"4", $BK$3:$BK$89,"9")/BR135</f>
        <v>0.4</v>
      </c>
      <c r="BR135">
        <v>5</v>
      </c>
    </row>
    <row r="136" spans="44:70" x14ac:dyDescent="0.3">
      <c r="BB136" t="s">
        <v>350</v>
      </c>
      <c r="BC136">
        <f>AVERAGEIFS(BF3:BF89,BF3:BF89,"&gt;=1")</f>
        <v>1.5121951219512195</v>
      </c>
      <c r="BE136" t="s">
        <v>350</v>
      </c>
      <c r="BF136">
        <f>AVERAGEIFS(BI3:BI89,BI3:BI89,"&gt;=1")</f>
        <v>5.0352941176470587</v>
      </c>
      <c r="BH136" t="s">
        <v>294</v>
      </c>
      <c r="BI136">
        <f>COUNTIFS($Z$3:$Z$89,"5", $BK$3:$BK$89,"1")</f>
        <v>0</v>
      </c>
      <c r="BJ136">
        <f>COUNTIFS($Z$3:$Z$89,"5", $BK$3:$BK$89,"2")</f>
        <v>0</v>
      </c>
      <c r="BK136">
        <f>COUNTIFS($Z$3:$Z$89,"5", $BK$3:$BK$89,"3")</f>
        <v>0</v>
      </c>
      <c r="BL136">
        <f>COUNTIFS($Z$3:$Z$89,"5", $BK$3:$BK$89,"4")</f>
        <v>0</v>
      </c>
      <c r="BM136">
        <f>COUNTIFS($Z$3:$Z$89,"5", $BK$3:$BK$89,"5")</f>
        <v>0</v>
      </c>
      <c r="BN136">
        <f>COUNTIFS($Z$3:$Z$89,"5", $BK$3:$BK$89,"6")</f>
        <v>0</v>
      </c>
      <c r="BO136">
        <f>COUNTIFS($Z$3:$Z$89,"5", $BK$3:$BK$89,"7")</f>
        <v>0</v>
      </c>
      <c r="BP136">
        <f>COUNTIFS($Z$3:$Z$89,"5", $BK$3:$BK$89,"8")/BR136</f>
        <v>0.5</v>
      </c>
      <c r="BQ136">
        <f>COUNTIFS($Z$3:$Z$89,"5", $BK$3:$BK$89,"9")/BR136</f>
        <v>0.5</v>
      </c>
      <c r="BR136">
        <v>2</v>
      </c>
    </row>
    <row r="137" spans="44:70" x14ac:dyDescent="0.3">
      <c r="AS137" t="s">
        <v>332</v>
      </c>
      <c r="AT137" t="s">
        <v>338</v>
      </c>
      <c r="AU137" t="s">
        <v>341</v>
      </c>
      <c r="AV137" t="s">
        <v>335</v>
      </c>
      <c r="AW137" t="s">
        <v>336</v>
      </c>
      <c r="BB137" t="s">
        <v>332</v>
      </c>
      <c r="BC137">
        <f>AVERAGEIFS(BF3:BF89,BF3:BF89,"&gt;=1",AF3:AF89,"1")</f>
        <v>1.5142857142857142</v>
      </c>
      <c r="BE137" t="s">
        <v>332</v>
      </c>
      <c r="BF137">
        <f>AVERAGEIFS(BI3:BI89,BI3:BI89,"&gt;=1",AF3:AF89,"1")</f>
        <v>4.7027027027027026</v>
      </c>
    </row>
    <row r="138" spans="44:70" x14ac:dyDescent="0.3">
      <c r="AS138">
        <v>37</v>
      </c>
      <c r="AT138">
        <v>34</v>
      </c>
      <c r="AU138">
        <v>5</v>
      </c>
      <c r="AV138">
        <v>3</v>
      </c>
      <c r="AW138">
        <v>1</v>
      </c>
      <c r="BB138" t="s">
        <v>338</v>
      </c>
      <c r="BC138">
        <f>AVERAGEIFS(BF3:BF89,BF3:BF89,"&gt;=1",AF3:AF89,"2")</f>
        <v>1.5151515151515151</v>
      </c>
      <c r="BE138" t="s">
        <v>338</v>
      </c>
      <c r="BF138">
        <f>AVERAGEIFS(BI3:BI89,BI3:BI89,"&gt;=1",AF3:AF89,"2")</f>
        <v>5</v>
      </c>
      <c r="BH138" t="s">
        <v>377</v>
      </c>
      <c r="BI138" t="s">
        <v>359</v>
      </c>
      <c r="BJ138" t="s">
        <v>360</v>
      </c>
      <c r="BK138" t="s">
        <v>371</v>
      </c>
      <c r="BL138" t="s">
        <v>370</v>
      </c>
      <c r="BM138" t="s">
        <v>372</v>
      </c>
      <c r="BN138" t="s">
        <v>373</v>
      </c>
      <c r="BO138" t="s">
        <v>376</v>
      </c>
      <c r="BP138" t="s">
        <v>374</v>
      </c>
      <c r="BQ138" t="s">
        <v>375</v>
      </c>
    </row>
    <row r="139" spans="44:70" x14ac:dyDescent="0.3">
      <c r="BB139" t="s">
        <v>341</v>
      </c>
      <c r="BC139">
        <f>AVERAGEIFS(BF3:BF89,BF3:BF89,"&gt;=1",AF3:AF89,"3")</f>
        <v>1.6</v>
      </c>
      <c r="BE139" t="s">
        <v>341</v>
      </c>
      <c r="BF139">
        <f>AVERAGEIFS(BI3:BI89,BI3:BI89,"&gt;=1",AF3:AF89,"3")</f>
        <v>6.4</v>
      </c>
      <c r="BH139" t="s">
        <v>290</v>
      </c>
      <c r="BI139">
        <f>COUNTIFS($Y$3:$Y$89,"1", $BK$3:$BK$89,"1")</f>
        <v>0</v>
      </c>
      <c r="BJ139">
        <f>COUNTIFS($Y$3:$Y$89,"1", $BK$3:$BK$89,"2")</f>
        <v>0</v>
      </c>
      <c r="BK139">
        <f>COUNTIFS($Y$3:$Y$89,"1", $BK$3:$BK$89,"3")</f>
        <v>0</v>
      </c>
      <c r="BL139">
        <f>COUNTIFS($Y$3:$Y$89,"1", $BK$3:$BK$89,"4")</f>
        <v>0</v>
      </c>
      <c r="BM139">
        <f>COUNTIFS($Y$3:$Y$89,"1", $BK$3:$BK$89,"5")</f>
        <v>0</v>
      </c>
      <c r="BN139">
        <f>COUNTIFS($Y$3:$Y$89,"1", $BK$3:$BK$89,"6")</f>
        <v>0</v>
      </c>
      <c r="BO139">
        <f>COUNTIFS($Y$3:$Y$89,"1", $BK$3:$BK$89,"7")</f>
        <v>0</v>
      </c>
      <c r="BP139">
        <f>COUNTIFS($Y$3:$Y$89,"1", $BK$3:$BK$89,"8")</f>
        <v>0</v>
      </c>
      <c r="BQ139">
        <f>COUNTIFS($Y$3:$Y$89,"1", $BK$3:$BK$89,"9")</f>
        <v>0</v>
      </c>
      <c r="BR139">
        <v>0</v>
      </c>
    </row>
    <row r="140" spans="44:70" x14ac:dyDescent="0.3">
      <c r="BB140" t="s">
        <v>335</v>
      </c>
      <c r="BC140">
        <f>AVERAGEIFS(BF3:BF89,BF3:BF89,"&gt;=1",AF3:AF89,"4")</f>
        <v>1.5</v>
      </c>
      <c r="BE140" t="s">
        <v>335</v>
      </c>
      <c r="BF140">
        <f>AVERAGEIFS(BI3:BI89,BI3:BI89,"&gt;=1",AF3:AF89,"4")</f>
        <v>6.25</v>
      </c>
      <c r="BH140" t="s">
        <v>291</v>
      </c>
      <c r="BI140">
        <f>COUNTIFS($Y$3:$Y$89,"2", $BK$3:$BK$89,"1")/BR140</f>
        <v>0.11666666666666667</v>
      </c>
      <c r="BJ140">
        <f>COUNTIFS($Y$3:$Y$89,"2", $BK$3:$BK$89,"2")/BR140</f>
        <v>6.6666666666666666E-2</v>
      </c>
      <c r="BK140">
        <f>COUNTIFS($Y$3:$Y$89,"2", $BK$3:$BK$89,"3")/BR140</f>
        <v>6.6666666666666666E-2</v>
      </c>
      <c r="BL140">
        <f>COUNTIFS($Y$3:$Y$89,"2", $BK$3:$BK$89,"4")/BR140</f>
        <v>0.16666666666666666</v>
      </c>
      <c r="BM140">
        <f>COUNTIFS($Y$3:$Y$89,"2", $BK$3:$BK$89,"5")</f>
        <v>0</v>
      </c>
      <c r="BN140">
        <f>COUNTIFS($Y$3:$Y$89,"2", $BK$3:$BK$89,"6")/BR140</f>
        <v>0.05</v>
      </c>
      <c r="BO140">
        <f>COUNTIFS($Y$3:$Y$89,"2", $BK$3:$BK$89,"7")/BR140</f>
        <v>0.16666666666666666</v>
      </c>
      <c r="BP140">
        <f>COUNTIFS($Y$3:$Y$89,"2", $BK$3:$BK$89,"8")/BR140</f>
        <v>1.6666666666666666E-2</v>
      </c>
      <c r="BQ140">
        <f>COUNTIFS($Y$3:$Y$89,"2", $BK$3:$BK$89,"9")/BR140</f>
        <v>0.15</v>
      </c>
      <c r="BR140">
        <v>60</v>
      </c>
    </row>
    <row r="141" spans="44:70" x14ac:dyDescent="0.3">
      <c r="BB141" t="s">
        <v>351</v>
      </c>
      <c r="BC141">
        <f>AVERAGEIFS(BF3:BF89,BF3:BF89,"&gt;=1",AF3:AF89,"5")</f>
        <v>2</v>
      </c>
      <c r="BE141" t="s">
        <v>351</v>
      </c>
      <c r="BF141">
        <f>AVERAGEIFS(BI3:BI89,BI3:BI89,"&gt;=1",AF3:AF89,"5")</f>
        <v>6</v>
      </c>
      <c r="BH141" t="s">
        <v>292</v>
      </c>
      <c r="BI141">
        <f>COUNTIFS($Y$3:$Y$89,"3", $BK$3:$BK$89,"1")/BR141</f>
        <v>0.1</v>
      </c>
      <c r="BJ141">
        <f>COUNTIFS($Y$3:$Y$89,"3", $BK$3:$BK$89,"2")</f>
        <v>0</v>
      </c>
      <c r="BK141">
        <f>COUNTIFS($Y$3:$Y$89,"3", $BK$3:$BK$89,"3")/BR141</f>
        <v>0.05</v>
      </c>
      <c r="BL141">
        <f>COUNTIFS($Y$3:$Y$89,"3", $BK$3:$BK$89,"4")/BR141</f>
        <v>0.25</v>
      </c>
      <c r="BM141">
        <f>COUNTIFS($Y$3:$Y$89,"3", $BK$3:$BK$89,"5")</f>
        <v>0</v>
      </c>
      <c r="BN141">
        <f>COUNTIFS($Y$3:$Y$89,"3", $BK$3:$BK$89,"6")/BR141</f>
        <v>0.1</v>
      </c>
      <c r="BO141">
        <f>COUNTIFS($Y$3:$Y$89,"3", $BK$3:$BK$89,"7")/BR141</f>
        <v>0.05</v>
      </c>
      <c r="BP141">
        <f>COUNTIFS($Y$3:$Y$89,"3", $BK$3:$BK$89,"8")/BR141</f>
        <v>0.1</v>
      </c>
      <c r="BQ141">
        <f>COUNTIFS($Y$3:$Y$89,"3", $BK$3:$BK$89,"9")/BR141</f>
        <v>0.3</v>
      </c>
      <c r="BR141">
        <v>20</v>
      </c>
    </row>
    <row r="142" spans="44:70" x14ac:dyDescent="0.3">
      <c r="BB142" t="s">
        <v>337</v>
      </c>
      <c r="BC142">
        <f>AVERAGEIFS(BF3:BF89,BF3:BF89,"&gt;=1",AF3:AF89,"6")</f>
        <v>1.25</v>
      </c>
      <c r="BE142" t="s">
        <v>337</v>
      </c>
      <c r="BF142">
        <f>AVERAGEIFS(BI3:BI89,BI3:BI89,"&gt;=1",AF3:AF89,"6")</f>
        <v>5.333333333333333</v>
      </c>
      <c r="BH142" t="s">
        <v>293</v>
      </c>
      <c r="BI142">
        <f>COUNTIFS($Y$3:$Y$89,"4", $BK$3:$BK$89,"1")/BR142</f>
        <v>0</v>
      </c>
      <c r="BJ142">
        <f>COUNTIFS($Y$3:$Y$89,"4", $BK$3:$BK$89,"2")</f>
        <v>0</v>
      </c>
      <c r="BK142">
        <f>COUNTIFS($Y$3:$Y$89,"4", $BK$3:$BK$89,"3")</f>
        <v>0</v>
      </c>
      <c r="BL142">
        <f>COUNTIFS($Y$3:$Y$89,"4", $BK$3:$BK$89,"4")</f>
        <v>0</v>
      </c>
      <c r="BM142">
        <f>COUNTIFS($Y$3:$Y$89,"4", $BK$3:$BK$89,"5")</f>
        <v>0</v>
      </c>
      <c r="BN142">
        <f>COUNTIFS($Y$3:$Y$89,"4", $BK$3:$BK$89,"6")</f>
        <v>0</v>
      </c>
      <c r="BO142">
        <v>0</v>
      </c>
      <c r="BP142">
        <f>COUNTIFS($Y$3:$Y$89,"4", $BK$3:$BK$89,"8")</f>
        <v>0</v>
      </c>
      <c r="BQ142">
        <f>COUNTIFS($Y$3:$Y$89,"4", $BK$3:$BK$89,"9")</f>
        <v>0</v>
      </c>
      <c r="BR142">
        <v>1</v>
      </c>
    </row>
    <row r="143" spans="44:70" x14ac:dyDescent="0.3">
      <c r="BB143" t="s">
        <v>356</v>
      </c>
      <c r="BC143" t="s">
        <v>286</v>
      </c>
      <c r="BH143" t="s">
        <v>294</v>
      </c>
      <c r="BI143">
        <f>COUNTIFS($Y$3:$Y$89,"5", $BK$3:$BK$89,"1")/BR143</f>
        <v>0.25</v>
      </c>
      <c r="BJ143">
        <f>COUNTIFS($Y$3:$Y$89,"5", $BK$3:$BK$89,"2")</f>
        <v>0</v>
      </c>
      <c r="BK143">
        <f>COUNTIFS($Y$3:$Y$89,"5", $BK$3:$BK$89,"3")</f>
        <v>0</v>
      </c>
      <c r="BL143">
        <f>COUNTIFS($Y$3:$Y$89,"5", $BK$3:$BK$89,"4")/BR141</f>
        <v>0.05</v>
      </c>
      <c r="BM143">
        <f>COUNTIFS($Y$3:$Y$89,"5", $BK$3:$BK$89,"5")</f>
        <v>0</v>
      </c>
      <c r="BN143">
        <f>COUNTIFS($Y$3:$Y$89,"5", $BK$3:$BK$89,"6")</f>
        <v>0</v>
      </c>
      <c r="BO143">
        <f>COUNTIFS($Y$3:$Y$89,"5", $BK$3:$BK$89,"7")</f>
        <v>0</v>
      </c>
      <c r="BP143">
        <f>COUNTIFS($Y$3:$Y$89,"5", $BK$3:$BK$89,"8")/BR141</f>
        <v>0.1</v>
      </c>
      <c r="BQ143">
        <f>COUNTIFS($Y$3:$Y$89,"5", $BK$3:$BK$89,"9")</f>
        <v>0</v>
      </c>
      <c r="BR143">
        <v>4</v>
      </c>
    </row>
    <row r="144" spans="44:70" x14ac:dyDescent="0.3">
      <c r="BB144" t="s">
        <v>350</v>
      </c>
      <c r="BC144">
        <f>AVERAGEIFS(BG3:BG89,BG3:BG89,"&gt;=1")</f>
        <v>2.3950617283950617</v>
      </c>
    </row>
    <row r="145" spans="54:55" x14ac:dyDescent="0.3">
      <c r="BB145" t="s">
        <v>332</v>
      </c>
      <c r="BC145">
        <f>AVERAGEIFS(BG3:BG89,BG3:BG89,"&gt;=1",AF3:AF89,"1")</f>
        <v>2.3823529411764706</v>
      </c>
    </row>
    <row r="146" spans="54:55" x14ac:dyDescent="0.3">
      <c r="BB146" t="s">
        <v>338</v>
      </c>
      <c r="BC146">
        <f>AVERAGEIFS(BG3:BG89,BG3:BG89,"&gt;=1",AF3:AF89,"2")</f>
        <v>2.4545454545454546</v>
      </c>
    </row>
    <row r="147" spans="54:55" x14ac:dyDescent="0.3">
      <c r="BB147" t="s">
        <v>341</v>
      </c>
      <c r="BC147">
        <f>AVERAGEIFS(BG3:BG89,BG3:BG89,"&gt;=1",AF3:AF89,"3")</f>
        <v>2.4</v>
      </c>
    </row>
    <row r="148" spans="54:55" x14ac:dyDescent="0.3">
      <c r="BB148" t="s">
        <v>335</v>
      </c>
      <c r="BC148">
        <f>AVERAGEIFS(BG3:BG89,BG3:BG89,"&gt;=1",AF3:AF89,"4")</f>
        <v>1.5</v>
      </c>
    </row>
    <row r="149" spans="54:55" x14ac:dyDescent="0.3">
      <c r="BB149" t="s">
        <v>351</v>
      </c>
      <c r="BC149">
        <f>AVERAGEIFS(BG3:BG89,BG3:BG89,"&gt;=1",AF3:AF89,"5")</f>
        <v>2</v>
      </c>
    </row>
    <row r="150" spans="54:55" x14ac:dyDescent="0.3">
      <c r="BB150" t="s">
        <v>337</v>
      </c>
      <c r="BC150">
        <f>AVERAGEIFS(BG3:BG89,BG3:BG89,"&gt;=1",AF3:AF89,"6")</f>
        <v>3</v>
      </c>
    </row>
    <row r="152" spans="54:55" x14ac:dyDescent="0.3">
      <c r="BB152" t="s">
        <v>357</v>
      </c>
      <c r="BC152" t="s">
        <v>286</v>
      </c>
    </row>
    <row r="153" spans="54:55" x14ac:dyDescent="0.3">
      <c r="BB153" t="s">
        <v>350</v>
      </c>
      <c r="BC153">
        <f>AVERAGEIFS(BH3:BH89,BH3:BH89,"&gt;=1")</f>
        <v>2.4938271604938271</v>
      </c>
    </row>
    <row r="154" spans="54:55" x14ac:dyDescent="0.3">
      <c r="BB154" t="s">
        <v>332</v>
      </c>
      <c r="BC154">
        <f>AVERAGEIFS(BH3:BH89,BH3:BH89,"&gt;=1",AF3:AF89,"1")</f>
        <v>2.3823529411764706</v>
      </c>
    </row>
    <row r="155" spans="54:55" x14ac:dyDescent="0.3">
      <c r="BB155" t="s">
        <v>338</v>
      </c>
      <c r="BC155">
        <f>AVERAGEIFS(BH3:BH89,BH3:BH89,"&gt;=1",AF3:AF89,"2")</f>
        <v>2.5454545454545454</v>
      </c>
    </row>
    <row r="156" spans="54:55" x14ac:dyDescent="0.3">
      <c r="BB156" t="s">
        <v>341</v>
      </c>
      <c r="BC156">
        <f>AVERAGEIFS(BH3:BH89,BH3:BH89,"&gt;=1",AF3:AF89,"3")</f>
        <v>2.2000000000000002</v>
      </c>
    </row>
    <row r="157" spans="54:55" x14ac:dyDescent="0.3">
      <c r="BB157" t="s">
        <v>335</v>
      </c>
      <c r="BC157">
        <f>AVERAGEIFS(BH3:BH89,BH3:BH89,"&gt;=1",AF3:AF89,"4")</f>
        <v>2</v>
      </c>
    </row>
    <row r="158" spans="54:55" x14ac:dyDescent="0.3">
      <c r="BB158" t="s">
        <v>351</v>
      </c>
      <c r="BC158">
        <f>AVERAGEIFS(BH3:BH89,BH3:BH89,"&gt;=1",AF3:AF89,"5")</f>
        <v>5</v>
      </c>
    </row>
    <row r="159" spans="54:55" x14ac:dyDescent="0.3">
      <c r="BB159" t="s">
        <v>337</v>
      </c>
      <c r="BC159">
        <f>AVERAGEIFS(BH3:BH89,BH3:BH89,"&gt;=1",AF3:AF89,"6")</f>
        <v>3.25</v>
      </c>
    </row>
  </sheetData>
  <autoFilter ref="A2:AQ90" xr:uid="{00000000-0009-0000-0000-000000000000}"/>
  <pageMargins left="0.7" right="0.7" top="0.75" bottom="0.75" header="0.3" footer="0.3"/>
  <pageSetup orientation="portrait" r:id="rId1"/>
  <ignoredErrors>
    <ignoredError sqref="D2:D89 I1:I89 J1:J89 K1:K89 L1:L89 M1:M89 P1:P89 Q1:Q89 S1:S89 V1:V57 W1:W89 X1:X59 AG1:AG89 X61:X89 V59:V8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regression</vt:lpstr>
      <vt:lpstr>Weekend Regression Social Media</vt:lpstr>
      <vt:lpstr>Sheet4</vt:lpstr>
      <vt:lpstr>Sheet0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Samuel Warren</cp:lastModifiedBy>
  <cp:revision/>
  <dcterms:created xsi:type="dcterms:W3CDTF">2024-11-25T00:39:32Z</dcterms:created>
  <dcterms:modified xsi:type="dcterms:W3CDTF">2025-01-07T17:37:44Z</dcterms:modified>
  <cp:category/>
  <cp:contentStatus/>
</cp:coreProperties>
</file>