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 tabRatio="908" activeTab="2"/>
  </bookViews>
  <sheets>
    <sheet name="单位" sheetId="2" r:id="rId1"/>
    <sheet name="公交站计算表" sheetId="23" r:id="rId2"/>
    <sheet name="公交站成本分析表" sheetId="27" r:id="rId3"/>
  </sheets>
  <definedNames>
    <definedName name="_">#REF!</definedName>
    <definedName name="dw">单位!$A$1:$A$23</definedName>
    <definedName name="_xlnm.Print_Area" localSheetId="1">公交站计算表!$A$1:$L$83</definedName>
    <definedName name="_xlnm.Print_Titles" localSheetId="2">公交站成本分析表!$1:$3</definedName>
    <definedName name="_xlnm.Print_Titles" localSheetId="1">公交站计算表!$1:$2</definedName>
    <definedName name="sl">ROUND(EVALUATE(SUBSTITUTE(SUBSTITUTE(公交站计算表!$F1,"[","*ISTEXT(""["),"]","]"")")),2)</definedName>
    <definedName name="xm">#REF!</definedName>
  </definedNames>
  <calcPr calcId="144525"/>
</workbook>
</file>

<file path=xl/comments1.xml><?xml version="1.0" encoding="utf-8"?>
<comments xmlns="http://schemas.openxmlformats.org/spreadsheetml/2006/main">
  <authors>
    <author>29722</author>
  </authors>
  <commentList>
    <comment ref="A2" authorId="0">
      <text>
        <r>
          <rPr>
            <sz val="9"/>
            <rFont val="宋体"/>
            <charset val="134"/>
          </rPr>
          <t xml:space="preserve">提示：首行请勿删除，删除则不会自动排序
</t>
        </r>
      </text>
    </comment>
  </commentList>
</comments>
</file>

<file path=xl/sharedStrings.xml><?xml version="1.0" encoding="utf-8"?>
<sst xmlns="http://schemas.openxmlformats.org/spreadsheetml/2006/main" count="289">
  <si>
    <t>m</t>
  </si>
  <si>
    <t>本页请勿删除，方便单位下拉选择，如单位中没有时，可在A列处向下填写</t>
  </si>
  <si>
    <r>
      <rPr>
        <sz val="12"/>
        <rFont val="Times New Roman"/>
        <charset val="0"/>
      </rPr>
      <t>m</t>
    </r>
    <r>
      <rPr>
        <vertAlign val="superscript"/>
        <sz val="12"/>
        <rFont val="Times New Roman"/>
        <charset val="0"/>
      </rPr>
      <t>2</t>
    </r>
  </si>
  <si>
    <r>
      <rPr>
        <sz val="12"/>
        <rFont val="Times New Roman"/>
        <charset val="0"/>
      </rPr>
      <t>m</t>
    </r>
    <r>
      <rPr>
        <vertAlign val="superscript"/>
        <sz val="12"/>
        <rFont val="Times New Roman"/>
        <charset val="0"/>
      </rPr>
      <t>3</t>
    </r>
  </si>
  <si>
    <t>kg</t>
  </si>
  <si>
    <t>t</t>
  </si>
  <si>
    <t>只</t>
  </si>
  <si>
    <t>个</t>
  </si>
  <si>
    <t>副</t>
  </si>
  <si>
    <t>组</t>
  </si>
  <si>
    <t>支</t>
  </si>
  <si>
    <t>把</t>
  </si>
  <si>
    <t>套</t>
  </si>
  <si>
    <t>座</t>
  </si>
  <si>
    <t>根</t>
  </si>
  <si>
    <t>Φ</t>
  </si>
  <si>
    <t>工程量计算表</t>
  </si>
  <si>
    <t>序号</t>
  </si>
  <si>
    <t>项目名称/部位</t>
  </si>
  <si>
    <t>单位</t>
  </si>
  <si>
    <t>计算公式</t>
  </si>
  <si>
    <t>数量</t>
  </si>
  <si>
    <t>模板</t>
  </si>
  <si>
    <t>预算汇总</t>
  </si>
  <si>
    <t>代码</t>
  </si>
  <si>
    <t>索引1</t>
  </si>
  <si>
    <t>清单数量</t>
  </si>
  <si>
    <t>人工平整场地</t>
  </si>
  <si>
    <t>m2</t>
  </si>
  <si>
    <t>公交站首层、二层板为免拆模板</t>
  </si>
  <si>
    <t>人工挖土方 深度4m以内 一般土</t>
  </si>
  <si>
    <t>m3</t>
  </si>
  <si>
    <t>回填土</t>
  </si>
  <si>
    <t>=F4-F6-F7-F8-F11-F51</t>
  </si>
  <si>
    <t>混凝土垫层 厚度10cm以内</t>
  </si>
  <si>
    <t>现浇混凝土 带形基础 混凝土 无梁式</t>
  </si>
  <si>
    <t>现浇混凝土 桩承台基础 独立</t>
  </si>
  <si>
    <t>现浇混凝土 矩形柱</t>
  </si>
  <si>
    <t>现浇混凝土 构造柱</t>
  </si>
  <si>
    <t>现浇混凝土 基础梁、地圈梁、基础加筋带</t>
  </si>
  <si>
    <t>现浇混凝土 矩形梁(单梁、连续梁)</t>
  </si>
  <si>
    <t>预制梁</t>
  </si>
  <si>
    <t>现浇混凝土 圈梁</t>
  </si>
  <si>
    <t>现浇混凝土 过梁</t>
  </si>
  <si>
    <t>现浇混凝土 直形墙 墙厚 30cm以内</t>
  </si>
  <si>
    <t>现浇混凝土 有梁板</t>
  </si>
  <si>
    <t>现浇混凝土 栏板</t>
  </si>
  <si>
    <t>花池</t>
  </si>
  <si>
    <t>坡道</t>
  </si>
  <si>
    <t>现浇混凝土 散水 水泥砂浆面层20mm 混凝土50mm</t>
  </si>
  <si>
    <t>30厚保温砂浆</t>
  </si>
  <si>
    <t>=F23+F24</t>
  </si>
  <si>
    <t>30厚保温天棚</t>
  </si>
  <si>
    <t>不同交界处钢丝网</t>
  </si>
  <si>
    <t>3018.2176*0.2</t>
  </si>
  <si>
    <t>地面1 地砖楼面</t>
  </si>
  <si>
    <t>地下外墙保温板</t>
  </si>
  <si>
    <t>顶棚2 直接刮腻子无机涂料顶棚</t>
  </si>
  <si>
    <t>顶棚4 岩棉保温顶棚</t>
  </si>
  <si>
    <t>29.4423</t>
  </si>
  <si>
    <t>截桩头</t>
  </si>
  <si>
    <t>楼面1 地砖楼面</t>
  </si>
  <si>
    <t>楼面2 防滑地砖防水楼面</t>
  </si>
  <si>
    <t>楼面2 防滑地砖防水楼面 防水</t>
  </si>
  <si>
    <t>楼面3 防滑地砖地面</t>
  </si>
  <si>
    <t>内墙1 刮腻子无机涂料墙面</t>
  </si>
  <si>
    <t>内墙2 贴釉面砖墙面</t>
  </si>
  <si>
    <t>砌筑加气块墙</t>
  </si>
  <si>
    <t>砌筑加气块墙 零星砌体</t>
  </si>
  <si>
    <t>踢脚1 面砖踢脚</t>
  </si>
  <si>
    <t>天棚1 铝合金T型龙骨矿棉装饰板吊顶</t>
  </si>
  <si>
    <t>423.395</t>
  </si>
  <si>
    <t>天棚3 铝合金方形板吊顶</t>
  </si>
  <si>
    <t>外墙15厚抹灰找平</t>
  </si>
  <si>
    <t>685.4207-75+9</t>
  </si>
  <si>
    <t>屋面1 坡屋面</t>
  </si>
  <si>
    <t>屋面2 不上人屋面</t>
  </si>
  <si>
    <t>20.01</t>
  </si>
  <si>
    <t>屋面2 不上人屋面 防水</t>
  </si>
  <si>
    <t>36.414+15.6726</t>
  </si>
  <si>
    <t>檐沟</t>
  </si>
  <si>
    <t>檐沟 SBS防水</t>
  </si>
  <si>
    <t>檐沟 SBS防水附加层</t>
  </si>
  <si>
    <t>檐沟 防水保护层</t>
  </si>
  <si>
    <t>页岩标砖基础 干拌砌筑砂浆</t>
  </si>
  <si>
    <t>钢筋工程</t>
  </si>
  <si>
    <t>+F53+F54+F55</t>
  </si>
  <si>
    <t>10以内钢筋</t>
  </si>
  <si>
    <t>17.689</t>
  </si>
  <si>
    <t>20以内钢筋</t>
  </si>
  <si>
    <t>16.048</t>
  </si>
  <si>
    <t>20以外钢筋</t>
  </si>
  <si>
    <t>8.988</t>
  </si>
  <si>
    <t>电渣压力焊</t>
  </si>
  <si>
    <t>320</t>
  </si>
  <si>
    <t>套筒连接</t>
  </si>
  <si>
    <t>354</t>
  </si>
  <si>
    <t>挡烟垂壁</t>
  </si>
  <si>
    <r>
      <rPr>
        <sz val="9"/>
        <rFont val="宋体"/>
        <charset val="134"/>
      </rPr>
      <t>（</t>
    </r>
    <r>
      <rPr>
        <sz val="9"/>
        <rFont val="Times New Roman"/>
        <charset val="0"/>
      </rPr>
      <t>4.25-0.7</t>
    </r>
    <r>
      <rPr>
        <sz val="9"/>
        <rFont val="宋体"/>
        <charset val="134"/>
      </rPr>
      <t>）*2.8[一层楼梯间处]</t>
    </r>
  </si>
  <si>
    <t>水簸箕</t>
  </si>
  <si>
    <t>0.4*0.4</t>
  </si>
  <si>
    <t>卫生间墩台</t>
  </si>
  <si>
    <t>300高</t>
  </si>
  <si>
    <t>排气道出屋面</t>
  </si>
  <si>
    <t>12J5-2 K13-2</t>
  </si>
  <si>
    <t>1</t>
  </si>
  <si>
    <t>屋面上人孔</t>
  </si>
  <si>
    <t>12J5-2 K14</t>
  </si>
  <si>
    <t>UPVC雨水管</t>
  </si>
  <si>
    <t>12J5-1 E2/7,E6/2，E3/B</t>
  </si>
  <si>
    <r>
      <rPr>
        <sz val="9"/>
        <rFont val="Times New Roman"/>
        <charset val="0"/>
      </rPr>
      <t>4[</t>
    </r>
    <r>
      <rPr>
        <sz val="9"/>
        <rFont val="宋体"/>
        <charset val="134"/>
      </rPr>
      <t>根</t>
    </r>
    <r>
      <rPr>
        <sz val="9"/>
        <rFont val="Times New Roman"/>
        <charset val="0"/>
      </rPr>
      <t>]*</t>
    </r>
    <r>
      <rPr>
        <sz val="9"/>
        <rFont val="宋体"/>
        <charset val="134"/>
      </rPr>
      <t>（</t>
    </r>
    <r>
      <rPr>
        <sz val="9"/>
        <rFont val="Times New Roman"/>
        <charset val="0"/>
      </rPr>
      <t>11.4[</t>
    </r>
    <r>
      <rPr>
        <sz val="9"/>
        <rFont val="宋体"/>
        <charset val="134"/>
      </rPr>
      <t>高</t>
    </r>
    <r>
      <rPr>
        <sz val="9"/>
        <rFont val="Times New Roman"/>
        <charset val="0"/>
      </rPr>
      <t>]+0.3[</t>
    </r>
    <r>
      <rPr>
        <sz val="9"/>
        <rFont val="宋体"/>
        <charset val="134"/>
      </rPr>
      <t>考虑外伸</t>
    </r>
    <r>
      <rPr>
        <sz val="9"/>
        <rFont val="Times New Roman"/>
        <charset val="0"/>
      </rPr>
      <t>]</t>
    </r>
    <r>
      <rPr>
        <sz val="9"/>
        <rFont val="宋体"/>
        <charset val="134"/>
      </rPr>
      <t>）</t>
    </r>
  </si>
  <si>
    <t>UPVC排水口</t>
  </si>
  <si>
    <t>E3/B</t>
  </si>
  <si>
    <r>
      <rPr>
        <sz val="9"/>
        <rFont val="Times New Roman"/>
        <charset val="0"/>
      </rPr>
      <t>4+1[</t>
    </r>
    <r>
      <rPr>
        <sz val="9"/>
        <rFont val="宋体"/>
        <charset val="134"/>
      </rPr>
      <t>一层</t>
    </r>
    <r>
      <rPr>
        <sz val="9"/>
        <rFont val="Times New Roman"/>
        <charset val="0"/>
      </rPr>
      <t>]</t>
    </r>
  </si>
  <si>
    <t>D70PVC泄水嘴</t>
  </si>
  <si>
    <t>空调冷凝管</t>
  </si>
  <si>
    <t>穿墙套管</t>
  </si>
  <si>
    <t>现浇混凝土模板措施费 坡道</t>
  </si>
  <si>
    <t>现浇混凝土模板措施费 散水</t>
  </si>
  <si>
    <t>现浇混凝土模板措施费 垫层</t>
  </si>
  <si>
    <t>现浇混凝土模板措施费 带形基础 钢筋混凝土 无梁式</t>
  </si>
  <si>
    <t>现浇混凝土模板措施费 桩承台基础 独立</t>
  </si>
  <si>
    <t>现浇混凝土模板措施费 矩形柱</t>
  </si>
  <si>
    <t>现浇混凝土模板措施费 构造柱</t>
  </si>
  <si>
    <t>现浇混凝土模板措施费 基础梁、地圈梁、基础加筋带</t>
  </si>
  <si>
    <t>现浇混凝土模板措施费 矩形梁(单梁、连续梁)</t>
  </si>
  <si>
    <t>现浇混凝土模板措施费 圈梁 直形</t>
  </si>
  <si>
    <t>现浇混凝土模板措施费 过梁</t>
  </si>
  <si>
    <t>现浇混凝土模板措施费 直形墙</t>
  </si>
  <si>
    <t>现浇混凝土模板措施费 有梁板</t>
  </si>
  <si>
    <t>现浇混凝土模板措施费 栏板</t>
  </si>
  <si>
    <t>成 本 分 析 表</t>
  </si>
  <si>
    <t>工程名称：XX项目 公交车站</t>
  </si>
  <si>
    <t>项目名称</t>
  </si>
  <si>
    <t>工程量</t>
  </si>
  <si>
    <t>单价</t>
  </si>
  <si>
    <t>金额</t>
  </si>
  <si>
    <t>单方造价</t>
  </si>
  <si>
    <t>工作内容</t>
  </si>
  <si>
    <t>备  注</t>
  </si>
  <si>
    <t>参考</t>
  </si>
  <si>
    <t>一、</t>
  </si>
  <si>
    <t>劳务分包</t>
  </si>
  <si>
    <t>（一）</t>
  </si>
  <si>
    <t>主体结构</t>
  </si>
  <si>
    <t>（1）人工费</t>
  </si>
  <si>
    <t>不含主材</t>
  </si>
  <si>
    <t>砼浇筑</t>
  </si>
  <si>
    <t>钢筋</t>
  </si>
  <si>
    <t>按建筑平米包干费用，人工及辅材，含绑丝、垫块、机械维修</t>
  </si>
  <si>
    <t>模板（不含二次结构模板）</t>
  </si>
  <si>
    <t>木模</t>
  </si>
  <si>
    <t>免拆模板</t>
  </si>
  <si>
    <t>一层、二层柱、板增加免拆</t>
  </si>
  <si>
    <t>预制构件安装</t>
  </si>
  <si>
    <t>人工费小计</t>
  </si>
  <si>
    <t>（2）材料费</t>
  </si>
  <si>
    <t>模板、木方</t>
  </si>
  <si>
    <t>按模板、方木费用，折半计算。按4层使用量</t>
  </si>
  <si>
    <t>钢管扣件等租赁</t>
  </si>
  <si>
    <t>租赁按照楼座高低及施工日期，综合考虑建筑平米费用，楼越高，施工周期越长，考虑费用越多</t>
  </si>
  <si>
    <t>辅材费用</t>
  </si>
  <si>
    <t>钢筋、模板辅材</t>
  </si>
  <si>
    <t>辅材费用为钢筋的绑丝、垫块等，综合考虑可按3元/㎡，模板辅材为钢丝、铁钉等，综合考虑5元左右。钢筋辅材在钢筋平米包干中已包含，可以省去</t>
  </si>
  <si>
    <t>钢筋机械</t>
  </si>
  <si>
    <t>钢筋机械为现场钢筋制作所用机械，可按照钢筋机械价格/2折旧费后计算</t>
  </si>
  <si>
    <t>钢筋接头</t>
  </si>
  <si>
    <t>材料费小计</t>
  </si>
  <si>
    <t>劳务分包：大计</t>
  </si>
  <si>
    <t>（二）</t>
  </si>
  <si>
    <t>二次结构</t>
  </si>
  <si>
    <t>二次结构砼</t>
  </si>
  <si>
    <t>含人工、模板，不含材料</t>
  </si>
  <si>
    <t>包含二次结构打混凝土、模板、钢筋制作、植筋人工</t>
  </si>
  <si>
    <t>地上砌块 蒸压加气砼砌块</t>
  </si>
  <si>
    <t>含材料、人工</t>
  </si>
  <si>
    <t>地下砌体 页岩砖基础</t>
  </si>
  <si>
    <t>二次结构大计</t>
  </si>
  <si>
    <t>（三）</t>
  </si>
  <si>
    <t>粗装修及其他</t>
  </si>
  <si>
    <t>1、</t>
  </si>
  <si>
    <t>楼地面工程</t>
  </si>
  <si>
    <t>20mm水泥砂浆找平层、保护层</t>
  </si>
  <si>
    <t>地面1、地面2、楼面1、楼面2</t>
  </si>
  <si>
    <t>含材料、含素浆</t>
  </si>
  <si>
    <t>方量折算</t>
  </si>
  <si>
    <t>有筋细石混凝土地面找平（80mm）</t>
  </si>
  <si>
    <t>地面2、楼面2、</t>
  </si>
  <si>
    <t>人工</t>
  </si>
  <si>
    <t>C20</t>
  </si>
  <si>
    <t>有筋细石混凝土地面找平（100mm）</t>
  </si>
  <si>
    <t>地面1、地面2</t>
  </si>
  <si>
    <t>有筋细石混凝土地面找平（330mm）</t>
  </si>
  <si>
    <t>C25</t>
  </si>
  <si>
    <t>真空镀铝聚酯膜0.2厚</t>
  </si>
  <si>
    <t>含材料费</t>
  </si>
  <si>
    <t>无筋细石混凝土地面找平</t>
  </si>
  <si>
    <t>纯人工价格，混凝土材料费计入材料中</t>
  </si>
  <si>
    <t>水泥砂浆楼梯、坡道压光面层 带防滑条</t>
  </si>
  <si>
    <t>楼地面工程 小计</t>
  </si>
  <si>
    <t>2、</t>
  </si>
  <si>
    <t>墙面工程</t>
  </si>
  <si>
    <t>25mm保温砂浆墙面</t>
  </si>
  <si>
    <t>含材料、按照，成活价格。</t>
  </si>
  <si>
    <t>15mm保温砂浆墙面</t>
  </si>
  <si>
    <t>外墙15mm抹灰找平</t>
  </si>
  <si>
    <t>混凝土墙面打磨修补</t>
  </si>
  <si>
    <t>10mm墙面抹灰</t>
  </si>
  <si>
    <t>20mm墙面抹灰</t>
  </si>
  <si>
    <t>墙面批抗裂砂浆压网格布</t>
  </si>
  <si>
    <t>墙面挂网 耐碱玻纤网</t>
  </si>
  <si>
    <t>墙面挂网 镀锌钢丝</t>
  </si>
  <si>
    <t>墙面工程 小计</t>
  </si>
  <si>
    <t>3、</t>
  </si>
  <si>
    <t>天棚工程</t>
  </si>
  <si>
    <t>天棚30厚保温板挂钢丝网抹抗裂砂浆</t>
  </si>
  <si>
    <t>天棚工程 小计</t>
  </si>
  <si>
    <t>4、</t>
  </si>
  <si>
    <t>其他工程</t>
  </si>
  <si>
    <t>土方人工配合</t>
  </si>
  <si>
    <t>坡道 12J12 P26-3</t>
  </si>
  <si>
    <t>散水 12J9-1 P95-3</t>
  </si>
  <si>
    <t>花池 12J9-1 P112-3</t>
  </si>
  <si>
    <t>垃圾道、通风道</t>
  </si>
  <si>
    <t>含材料、按照，成活价格。单人工20元/m</t>
  </si>
  <si>
    <t>100厚挤塑保温板粘结</t>
  </si>
  <si>
    <t>按挤塑板500元/m³，地面保温直接铺放人工约3-5元，如钉铆钉为5元。</t>
  </si>
  <si>
    <t>30厚挤塑保温板粘结</t>
  </si>
  <si>
    <t>20厚挤塑保温板粘结</t>
  </si>
  <si>
    <t>其他工程 小计</t>
  </si>
  <si>
    <t>粗装修及其他 大计</t>
  </si>
  <si>
    <t>二、</t>
  </si>
  <si>
    <t>专业分包</t>
  </si>
  <si>
    <t>脚手架（挑出式）</t>
  </si>
  <si>
    <t>主楼外架一般为建筑面积40元左右，全钢爬架55元左右，地库外架单价略低，按外围一圈计算即可</t>
  </si>
  <si>
    <t>1.5mm厚聚合物水泥防水涂料</t>
  </si>
  <si>
    <t>2.0mm厚非固化橡胶沥青防水涂料</t>
  </si>
  <si>
    <t>1.5mm厚湿铺高分子膜基防水卷材</t>
  </si>
  <si>
    <t>天棚2.0厚涂刷型聚合物水泥防水砂浆</t>
  </si>
  <si>
    <t>外墙涂料</t>
  </si>
  <si>
    <t>外墙面砖</t>
  </si>
  <si>
    <t>栏杆</t>
  </si>
  <si>
    <t>屋面发泡砼</t>
  </si>
  <si>
    <t>外墙FS保温板</t>
  </si>
  <si>
    <t>XPS为挤塑板，挤塑板材料费约80-85元左右/㎡，人工约10元/㎡，增加运输等费用约2~3元</t>
  </si>
  <si>
    <t>专业分包 大计</t>
  </si>
  <si>
    <t>三、</t>
  </si>
  <si>
    <t>主材</t>
  </si>
  <si>
    <t>均价</t>
  </si>
  <si>
    <t>C15 砼</t>
  </si>
  <si>
    <t>C20 砼</t>
  </si>
  <si>
    <t>C25 砼</t>
  </si>
  <si>
    <t>C30 砼</t>
  </si>
  <si>
    <t>依C30为基础，每降低一个标号减10元，每增加一标号加15元</t>
  </si>
  <si>
    <t>C35 砼</t>
  </si>
  <si>
    <t>超过C30后每标号增加15元</t>
  </si>
  <si>
    <t>C40 砼</t>
  </si>
  <si>
    <t>C15细石</t>
  </si>
  <si>
    <t>细石砼价格按照提高一级砼价格</t>
  </si>
  <si>
    <t>C20细石</t>
  </si>
  <si>
    <t>主材费 大计</t>
  </si>
  <si>
    <t>四、</t>
  </si>
  <si>
    <t>其他费用</t>
  </si>
  <si>
    <t>文明施工</t>
  </si>
  <si>
    <t>现场水电</t>
  </si>
  <si>
    <t>现场管理费</t>
  </si>
  <si>
    <t>可按施工工期以及现场所需要的管理人员人数*工资*天数后得出，一般管理人员按5人</t>
  </si>
  <si>
    <t>临设费用</t>
  </si>
  <si>
    <t>试验费</t>
  </si>
  <si>
    <t>一般材料试验费</t>
  </si>
  <si>
    <t>塔吊、电梯基础</t>
  </si>
  <si>
    <t>其他费用 大计</t>
  </si>
  <si>
    <t>五、</t>
  </si>
  <si>
    <t>机械费</t>
  </si>
  <si>
    <t>吊车费用</t>
  </si>
  <si>
    <t>月</t>
  </si>
  <si>
    <t>按工期合理安排</t>
  </si>
  <si>
    <t>电梯费用</t>
  </si>
  <si>
    <t>砼泵送费</t>
  </si>
  <si>
    <t>按全部混凝土量计算</t>
  </si>
  <si>
    <t>机械费 大计</t>
  </si>
  <si>
    <t>合计：（一+二+三+四+五）</t>
  </si>
  <si>
    <t>六、</t>
  </si>
  <si>
    <t>利润（一+二+三+四+五）*（六）</t>
  </si>
  <si>
    <t>七、</t>
  </si>
  <si>
    <t>税金（一+二+三+四+五+六）*（七）</t>
  </si>
  <si>
    <t>六+七：大计</t>
  </si>
  <si>
    <t>总   计</t>
  </si>
  <si>
    <t>说明：不含预制构建安装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</si>
</sst>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&quot;图&quot;&quot;纸&quot;&quot;建&quot;&quot;筑&quot;&quot;面&quot;&quot;积&quot;&quot;（&quot;General&quot;）&quot;&quot;㎡&quot;"/>
    <numFmt numFmtId="178" formatCode="&quot;建&quot;&quot;筑&quot;&quot;面&quot;&quot;积&quot;&quot;（&quot;General&quot;）&quot;"/>
    <numFmt numFmtId="179" formatCode="0.00_ "/>
  </numFmts>
  <fonts count="54">
    <font>
      <sz val="12"/>
      <name val="宋体"/>
      <charset val="134"/>
    </font>
    <font>
      <sz val="12"/>
      <color rgb="FF00B0F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2"/>
      <name val="宋体"/>
      <charset val="134"/>
    </font>
    <font>
      <sz val="11"/>
      <color rgb="FF00B0F0"/>
      <name val="宋体"/>
      <charset val="134"/>
    </font>
    <font>
      <sz val="10"/>
      <name val="宋体"/>
      <charset val="134"/>
    </font>
    <font>
      <b/>
      <sz val="18"/>
      <color indexed="8"/>
      <name val="宋体"/>
      <charset val="134"/>
    </font>
    <font>
      <b/>
      <sz val="18"/>
      <name val="宋体"/>
      <charset val="134"/>
    </font>
    <font>
      <b/>
      <sz val="10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0"/>
      <color indexed="10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b/>
      <sz val="11"/>
      <color rgb="FF00B0F0"/>
      <name val="宋体"/>
      <charset val="134"/>
    </font>
    <font>
      <b/>
      <sz val="10"/>
      <color rgb="FF00B0F0"/>
      <name val="宋体"/>
      <charset val="134"/>
    </font>
    <font>
      <b/>
      <sz val="11"/>
      <color rgb="FFFF0000"/>
      <name val="宋体"/>
      <charset val="134"/>
    </font>
    <font>
      <b/>
      <sz val="10"/>
      <color rgb="FFFF0000"/>
      <name val="宋体"/>
      <charset val="134"/>
    </font>
    <font>
      <b/>
      <sz val="11"/>
      <color indexed="10"/>
      <name val="宋体"/>
      <charset val="134"/>
    </font>
    <font>
      <sz val="9"/>
      <color indexed="8"/>
      <name val="宋体"/>
      <charset val="134"/>
    </font>
    <font>
      <sz val="10"/>
      <color rgb="FFFF0000"/>
      <name val="宋体"/>
      <charset val="134"/>
    </font>
    <font>
      <sz val="14"/>
      <color indexed="8"/>
      <name val="宋体"/>
      <charset val="134"/>
    </font>
    <font>
      <b/>
      <sz val="14"/>
      <color rgb="FFFF0000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9"/>
      <color indexed="20"/>
      <name val="宋体"/>
      <charset val="134"/>
    </font>
    <font>
      <u val="doubleAccounting"/>
      <sz val="9"/>
      <color indexed="62"/>
      <name val="宋体"/>
      <charset val="134"/>
    </font>
    <font>
      <sz val="9"/>
      <name val="Times New Roman"/>
      <charset val="0"/>
    </font>
    <font>
      <sz val="9"/>
      <color indexed="9"/>
      <name val="宋体"/>
      <charset val="134"/>
    </font>
    <font>
      <sz val="12"/>
      <name val="Times New Roman"/>
      <charset val="0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2"/>
      <color indexed="36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vertAlign val="superscript"/>
      <sz val="12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BFFD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34" fillId="18" borderId="0" applyNumberFormat="0" applyBorder="0" applyAlignment="0" applyProtection="0">
      <alignment vertical="center"/>
    </xf>
    <xf numFmtId="0" fontId="42" fillId="14" borderId="9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34" fillId="16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1" fillId="13" borderId="10" applyNumberFormat="0" applyFont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5" fillId="10" borderId="6" applyNumberFormat="0" applyAlignment="0" applyProtection="0">
      <alignment vertical="center"/>
    </xf>
    <xf numFmtId="0" fontId="39" fillId="10" borderId="9" applyNumberFormat="0" applyAlignment="0" applyProtection="0">
      <alignment vertical="center"/>
    </xf>
    <xf numFmtId="0" fontId="48" fillId="21" borderId="13" applyNumberFormat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1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applyFo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78" fontId="12" fillId="2" borderId="1" xfId="0" applyNumberFormat="1" applyFont="1" applyFill="1" applyBorder="1" applyAlignment="1">
      <alignment vertical="center"/>
    </xf>
    <xf numFmtId="178" fontId="13" fillId="2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76" fontId="14" fillId="3" borderId="1" xfId="0" applyNumberFormat="1" applyFont="1" applyFill="1" applyBorder="1" applyAlignment="1">
      <alignment horizontal="center" vertical="center"/>
    </xf>
    <xf numFmtId="176" fontId="16" fillId="3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179" fontId="2" fillId="0" borderId="1" xfId="0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176" fontId="17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right" vertical="center"/>
    </xf>
    <xf numFmtId="176" fontId="10" fillId="3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1" fillId="4" borderId="0" xfId="0" applyFont="1" applyFill="1" applyAlignment="1">
      <alignment vertical="center"/>
    </xf>
    <xf numFmtId="0" fontId="22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9" fontId="10" fillId="2" borderId="1" xfId="0" applyNumberFormat="1" applyFont="1" applyFill="1" applyBorder="1" applyAlignment="1">
      <alignment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right" vertical="center"/>
    </xf>
    <xf numFmtId="9" fontId="10" fillId="2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9" fontId="21" fillId="0" borderId="1" xfId="0" applyNumberFormat="1" applyFont="1" applyFill="1" applyBorder="1" applyAlignment="1">
      <alignment horizontal="center" vertical="center"/>
    </xf>
    <xf numFmtId="176" fontId="21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76" fontId="25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27" fillId="0" borderId="0" xfId="0" applyFont="1" applyFill="1" applyAlignment="1" applyProtection="1">
      <alignment vertical="center" wrapText="1"/>
    </xf>
    <xf numFmtId="0" fontId="27" fillId="0" borderId="0" xfId="0" applyFont="1" applyFill="1" applyAlignment="1" applyProtection="1">
      <alignment horizontal="center" vertical="center" wrapText="1"/>
    </xf>
    <xf numFmtId="0" fontId="27" fillId="0" borderId="4" xfId="0" applyFont="1" applyFill="1" applyBorder="1" applyAlignment="1" applyProtection="1">
      <alignment horizontal="center" vertical="center" wrapText="1"/>
      <protection locked="0"/>
    </xf>
    <xf numFmtId="0" fontId="27" fillId="5" borderId="4" xfId="0" applyFont="1" applyFill="1" applyBorder="1" applyAlignment="1" applyProtection="1">
      <alignment vertical="center" wrapText="1"/>
      <protection locked="0"/>
    </xf>
    <xf numFmtId="49" fontId="27" fillId="0" borderId="4" xfId="0" applyNumberFormat="1" applyFont="1" applyFill="1" applyBorder="1" applyAlignment="1" applyProtection="1">
      <alignment vertical="center"/>
      <protection locked="0"/>
    </xf>
    <xf numFmtId="49" fontId="27" fillId="0" borderId="4" xfId="0" applyNumberFormat="1" applyFont="1" applyFill="1" applyBorder="1" applyAlignment="1" applyProtection="1">
      <alignment vertical="center" wrapText="1"/>
      <protection locked="0"/>
    </xf>
    <xf numFmtId="0" fontId="27" fillId="0" borderId="4" xfId="0" applyFont="1" applyFill="1" applyBorder="1" applyAlignment="1" applyProtection="1">
      <alignment vertical="center" wrapText="1"/>
      <protection locked="0"/>
    </xf>
    <xf numFmtId="0" fontId="28" fillId="3" borderId="4" xfId="0" applyNumberFormat="1" applyFont="1" applyFill="1" applyBorder="1" applyAlignment="1" applyProtection="1">
      <alignment vertical="center" wrapText="1"/>
      <protection locked="0"/>
    </xf>
    <xf numFmtId="0" fontId="29" fillId="0" borderId="0" xfId="0" applyNumberFormat="1" applyFont="1" applyFill="1" applyAlignment="1" applyProtection="1">
      <alignment vertical="center" wrapText="1"/>
      <protection locked="0"/>
    </xf>
    <xf numFmtId="0" fontId="27" fillId="0" borderId="0" xfId="0" applyNumberFormat="1" applyFont="1" applyFill="1" applyBorder="1" applyAlignment="1" applyProtection="1">
      <alignment vertical="center" wrapText="1"/>
      <protection locked="0"/>
    </xf>
    <xf numFmtId="0" fontId="27" fillId="0" borderId="1" xfId="0" applyFont="1" applyFill="1" applyBorder="1" applyAlignment="1" applyProtection="1">
      <alignment vertical="center" wrapText="1"/>
      <protection locked="0"/>
    </xf>
    <xf numFmtId="0" fontId="27" fillId="0" borderId="0" xfId="0" applyFont="1" applyFill="1" applyAlignment="1" applyProtection="1">
      <alignment vertical="center" wrapText="1"/>
      <protection locked="0"/>
    </xf>
    <xf numFmtId="179" fontId="27" fillId="0" borderId="0" xfId="0" applyNumberFormat="1" applyFont="1" applyFill="1" applyBorder="1" applyAlignment="1" applyProtection="1">
      <alignment horizontal="center" vertical="center" wrapText="1"/>
    </xf>
    <xf numFmtId="0" fontId="26" fillId="0" borderId="0" xfId="0" applyFont="1" applyFill="1" applyBorder="1" applyAlignment="1" applyProtection="1">
      <alignment horizontal="center" vertical="center" wrapText="1"/>
    </xf>
    <xf numFmtId="0" fontId="26" fillId="3" borderId="0" xfId="0" applyFont="1" applyFill="1" applyBorder="1" applyAlignment="1" applyProtection="1">
      <alignment horizontal="center" vertical="center" wrapText="1"/>
    </xf>
    <xf numFmtId="179" fontId="27" fillId="2" borderId="4" xfId="0" applyNumberFormat="1" applyFont="1" applyFill="1" applyBorder="1" applyAlignment="1" applyProtection="1">
      <alignment horizontal="center" vertical="center" wrapText="1"/>
    </xf>
    <xf numFmtId="0" fontId="27" fillId="2" borderId="4" xfId="0" applyFont="1" applyFill="1" applyBorder="1" applyAlignment="1" applyProtection="1">
      <alignment horizontal="center" vertical="center" wrapText="1"/>
    </xf>
    <xf numFmtId="49" fontId="27" fillId="2" borderId="4" xfId="0" applyNumberFormat="1" applyFont="1" applyFill="1" applyBorder="1" applyAlignment="1" applyProtection="1">
      <alignment horizontal="center" vertical="center" wrapText="1"/>
    </xf>
    <xf numFmtId="0" fontId="27" fillId="2" borderId="4" xfId="0" applyNumberFormat="1" applyFont="1" applyFill="1" applyBorder="1" applyAlignment="1" applyProtection="1">
      <alignment horizontal="center" vertical="center" wrapText="1"/>
    </xf>
    <xf numFmtId="0" fontId="27" fillId="0" borderId="4" xfId="0" applyNumberFormat="1" applyFont="1" applyFill="1" applyBorder="1" applyAlignment="1" applyProtection="1">
      <alignment horizontal="center" vertical="center"/>
      <protection locked="0"/>
    </xf>
    <xf numFmtId="0" fontId="27" fillId="5" borderId="4" xfId="0" applyFont="1" applyFill="1" applyBorder="1" applyAlignment="1" applyProtection="1">
      <alignment horizontal="center" vertical="center" wrapText="1"/>
      <protection locked="0"/>
    </xf>
    <xf numFmtId="49" fontId="6" fillId="0" borderId="4" xfId="0" applyNumberFormat="1" applyFont="1" applyFill="1" applyBorder="1" applyAlignment="1" applyProtection="1">
      <alignment horizontal="left" vertical="center"/>
      <protection locked="0"/>
    </xf>
    <xf numFmtId="49" fontId="6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27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7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7" fillId="6" borderId="4" xfId="0" applyFont="1" applyFill="1" applyBorder="1" applyAlignment="1" applyProtection="1">
      <alignment horizontal="center" vertical="center" wrapText="1"/>
      <protection locked="0"/>
    </xf>
    <xf numFmtId="49" fontId="30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7" fillId="3" borderId="4" xfId="0" applyFont="1" applyFill="1" applyBorder="1" applyAlignment="1" applyProtection="1">
      <alignment horizontal="center" vertical="center" wrapText="1"/>
      <protection locked="0"/>
    </xf>
    <xf numFmtId="0" fontId="29" fillId="0" borderId="0" xfId="0" applyNumberFormat="1" applyFont="1" applyFill="1" applyAlignment="1" applyProtection="1">
      <alignment horizontal="right" vertical="center" wrapText="1"/>
    </xf>
    <xf numFmtId="0" fontId="27" fillId="0" borderId="0" xfId="0" applyNumberFormat="1" applyFont="1" applyFill="1" applyBorder="1" applyAlignment="1" applyProtection="1">
      <alignment vertical="center" wrapText="1"/>
    </xf>
    <xf numFmtId="0" fontId="31" fillId="0" borderId="0" xfId="0" applyFont="1" applyFill="1" applyBorder="1" applyAlignment="1" applyProtection="1">
      <alignment vertical="center" wrapText="1"/>
    </xf>
    <xf numFmtId="0" fontId="27" fillId="7" borderId="5" xfId="0" applyNumberFormat="1" applyFont="1" applyFill="1" applyBorder="1" applyAlignment="1" applyProtection="1">
      <alignment horizontal="center" vertical="center" wrapText="1"/>
    </xf>
    <xf numFmtId="0" fontId="27" fillId="0" borderId="0" xfId="0" applyNumberFormat="1" applyFont="1" applyFill="1" applyBorder="1" applyAlignment="1" applyProtection="1">
      <alignment horizontal="center" vertical="center" wrapText="1"/>
    </xf>
    <xf numFmtId="0" fontId="27" fillId="7" borderId="1" xfId="0" applyNumberFormat="1" applyFont="1" applyFill="1" applyBorder="1" applyAlignment="1" applyProtection="1">
      <alignment horizontal="center" vertical="center" wrapText="1"/>
    </xf>
    <xf numFmtId="0" fontId="29" fillId="0" borderId="5" xfId="0" applyNumberFormat="1" applyFont="1" applyFill="1" applyBorder="1" applyAlignment="1" applyProtection="1">
      <alignment vertical="center" wrapText="1"/>
    </xf>
    <xf numFmtId="0" fontId="30" fillId="0" borderId="1" xfId="0" applyFont="1" applyFill="1" applyBorder="1" applyAlignment="1" applyProtection="1">
      <alignment vertical="center" wrapText="1"/>
    </xf>
    <xf numFmtId="0" fontId="27" fillId="0" borderId="0" xfId="0" applyFont="1" applyFill="1" applyAlignment="1" applyProtection="1">
      <alignment horizontal="left" vertical="center"/>
      <protection locked="0"/>
    </xf>
    <xf numFmtId="0" fontId="30" fillId="0" borderId="0" xfId="0" applyFont="1" applyFill="1" applyAlignment="1" applyProtection="1">
      <alignment vertical="center" wrapText="1"/>
      <protection locked="0"/>
    </xf>
    <xf numFmtId="0" fontId="3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indexed="20"/>
      </font>
    </dxf>
  </dxfs>
  <tableStyles count="0" defaultTableStyle="TableStyleMedium9" defaultPivotStyle="PivotStyleLight16"/>
  <colors>
    <mruColors>
      <color rgb="00FFFFFF"/>
      <color rgb="0000B0F0"/>
      <color rgb="00FBFFD0"/>
      <color rgb="00C6E0B4"/>
      <color rgb="00FFFF99"/>
      <color rgb="00800080"/>
      <color rgb="00333399"/>
      <color rgb="00E2EFDA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D10" sqref="D10"/>
    </sheetView>
  </sheetViews>
  <sheetFormatPr defaultColWidth="9" defaultRowHeight="14.25" outlineLevelCol="1"/>
  <sheetData>
    <row r="1" ht="15.75" spans="1:2">
      <c r="A1" s="131" t="s">
        <v>0</v>
      </c>
      <c r="B1" t="s">
        <v>1</v>
      </c>
    </row>
    <row r="2" ht="18" spans="1:1">
      <c r="A2" s="131" t="s">
        <v>2</v>
      </c>
    </row>
    <row r="3" ht="18" spans="1:1">
      <c r="A3" s="131" t="s">
        <v>3</v>
      </c>
    </row>
    <row r="4" ht="15.75" spans="1:1">
      <c r="A4" s="131" t="s">
        <v>4</v>
      </c>
    </row>
    <row r="5" ht="15.75" spans="1:1">
      <c r="A5" s="131" t="s">
        <v>5</v>
      </c>
    </row>
    <row r="6" spans="1:1">
      <c r="A6" s="8" t="s">
        <v>6</v>
      </c>
    </row>
    <row r="7" spans="1:1">
      <c r="A7" s="8" t="s">
        <v>7</v>
      </c>
    </row>
    <row r="8" spans="1:1">
      <c r="A8" t="s">
        <v>8</v>
      </c>
    </row>
    <row r="9" spans="1:1">
      <c r="A9" s="8" t="s">
        <v>9</v>
      </c>
    </row>
    <row r="10" spans="1:1">
      <c r="A10" s="8" t="s">
        <v>10</v>
      </c>
    </row>
    <row r="11" spans="1:1">
      <c r="A11" s="8" t="s">
        <v>11</v>
      </c>
    </row>
    <row r="12" spans="1:1">
      <c r="A12" s="8" t="s">
        <v>12</v>
      </c>
    </row>
    <row r="13" spans="1:1">
      <c r="A13" s="8" t="s">
        <v>13</v>
      </c>
    </row>
    <row r="14" spans="1:1">
      <c r="A14" t="s">
        <v>14</v>
      </c>
    </row>
    <row r="15" spans="1:1">
      <c r="A15" t="s">
        <v>15</v>
      </c>
    </row>
  </sheetData>
  <pageMargins left="0.75" right="0.75" top="1" bottom="1" header="0.5" footer="0.5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83"/>
  <sheetViews>
    <sheetView workbookViewId="0">
      <pane xSplit="1" ySplit="2" topLeftCell="C3" activePane="bottomRight" state="frozen"/>
      <selection/>
      <selection pane="topRight"/>
      <selection pane="bottomLeft"/>
      <selection pane="bottomRight" activeCell="R13" sqref="R13"/>
    </sheetView>
  </sheetViews>
  <sheetFormatPr defaultColWidth="9" defaultRowHeight="19.5" customHeight="1"/>
  <cols>
    <col min="1" max="1" width="6.7" style="95" customWidth="1"/>
    <col min="2" max="2" width="6.7" style="96" hidden="1" customWidth="1"/>
    <col min="3" max="3" width="39" style="97" customWidth="1"/>
    <col min="4" max="4" width="27.9" style="98" customWidth="1"/>
    <col min="5" max="5" width="7" style="99" customWidth="1"/>
    <col min="6" max="6" width="34.4" style="98" customWidth="1"/>
    <col min="7" max="7" width="8.7" style="100" customWidth="1"/>
    <col min="8" max="8" width="8.7" style="100" customWidth="1" collapsed="1"/>
    <col min="9" max="9" width="8.2" style="101" hidden="1" customWidth="1" outlineLevel="1"/>
    <col min="10" max="11" width="7.9" style="102" hidden="1" customWidth="1" outlineLevel="1"/>
    <col min="12" max="12" width="7.9" style="103" hidden="1" customWidth="1" outlineLevel="1"/>
    <col min="13" max="13" width="7.9" style="104" customWidth="1"/>
    <col min="14" max="14" width="6" style="104" customWidth="1"/>
    <col min="15" max="15" width="7.4" style="104" customWidth="1"/>
    <col min="16" max="16" width="8.2" style="104" customWidth="1"/>
    <col min="17" max="17" width="5.6" style="104" customWidth="1"/>
    <col min="18" max="20" width="9" style="104"/>
    <col min="21" max="21" width="8.1" style="104" customWidth="1"/>
    <col min="22" max="16384" width="9" style="104"/>
  </cols>
  <sheetData>
    <row r="1" s="93" customFormat="1" ht="25.95" customHeight="1" spans="1:12">
      <c r="A1" s="105"/>
      <c r="B1" s="106" t="s">
        <v>16</v>
      </c>
      <c r="C1" s="106"/>
      <c r="D1" s="106"/>
      <c r="E1" s="106"/>
      <c r="F1" s="106"/>
      <c r="G1" s="107"/>
      <c r="H1" s="107"/>
      <c r="I1" s="121"/>
      <c r="J1" s="122"/>
      <c r="K1" s="122"/>
      <c r="L1" s="123"/>
    </row>
    <row r="2" s="94" customFormat="1" customHeight="1" spans="1:16">
      <c r="A2" s="108" t="s">
        <v>17</v>
      </c>
      <c r="B2" s="109" t="s">
        <v>17</v>
      </c>
      <c r="C2" s="110" t="s">
        <v>18</v>
      </c>
      <c r="D2" s="110"/>
      <c r="E2" s="109" t="s">
        <v>19</v>
      </c>
      <c r="F2" s="110" t="s">
        <v>20</v>
      </c>
      <c r="G2" s="111" t="s">
        <v>21</v>
      </c>
      <c r="H2" s="111" t="s">
        <v>22</v>
      </c>
      <c r="I2" s="124" t="s">
        <v>23</v>
      </c>
      <c r="J2" s="125" t="s">
        <v>24</v>
      </c>
      <c r="K2" s="125" t="s">
        <v>25</v>
      </c>
      <c r="L2" s="126" t="s">
        <v>26</v>
      </c>
      <c r="P2" s="93"/>
    </row>
    <row r="3" s="93" customFormat="1" customHeight="1" spans="1:13">
      <c r="A3" s="112">
        <v>1</v>
      </c>
      <c r="B3" s="113"/>
      <c r="C3" s="114" t="s">
        <v>27</v>
      </c>
      <c r="D3" s="115"/>
      <c r="E3" s="116" t="s">
        <v>28</v>
      </c>
      <c r="F3" s="117">
        <v>213.635</v>
      </c>
      <c r="G3" s="100">
        <f ca="1" t="shared" ref="G3:G34" si="0">IF(F3="","",sl)</f>
        <v>213.64</v>
      </c>
      <c r="H3" s="100"/>
      <c r="I3" s="127">
        <f ca="1">IF(C3&lt;&gt;"",SUMIF(J:J,$J3,G:G),"")</f>
        <v>213.64</v>
      </c>
      <c r="J3" s="102">
        <f>IF(F3="","",COUNTA($C$3:$C3))</f>
        <v>1</v>
      </c>
      <c r="K3" s="102">
        <v>0</v>
      </c>
      <c r="L3" s="128" t="e">
        <f ca="1">IF(I3="","",I3-IF(D3="预留长度",G3,0)-IF(#REF!=J3,IF(#REF!="预留长度",#REF!,0),0)-IF(#REF!=J3,IF(#REF!="预留长度",#REF!,0),0)-IF(#REF!=J3,IF(#REF!="预留长度",#REF!,0),0)-IF(#REF!=J3,IF(#REF!="预留长度",#REF!,0),0)-IF(J52=J3,IF(D52="预留长度",G52,0),0)-IF(J59=J3,IF(D59="预留长度",G59,0),0)-IF(J60=J3,IF(D60="预留长度",G60,0),0)-IF(J61=J3,IF(D61="预留长度",G60,0),0)-IF(J63=J3,IF(D63="预留长度",G60,0),0)-IF(J60=J3,IF(D64="预留长度",G64,0),0)-IF(J65=J3,IF(D65="预留长度",G60,0),0))</f>
        <v>#REF!</v>
      </c>
      <c r="M3" s="129" t="s">
        <v>29</v>
      </c>
    </row>
    <row r="4" customHeight="1" spans="1:12">
      <c r="A4" s="112">
        <f>IF(K4=0,COUNTIF(K$3:K4,0),"")</f>
        <v>2</v>
      </c>
      <c r="B4" s="113"/>
      <c r="C4" s="114" t="s">
        <v>30</v>
      </c>
      <c r="D4" s="115"/>
      <c r="E4" s="116" t="s">
        <v>31</v>
      </c>
      <c r="F4" s="117">
        <v>448.7137</v>
      </c>
      <c r="G4" s="100">
        <f ca="1" t="shared" si="0"/>
        <v>448.71</v>
      </c>
      <c r="I4" s="127">
        <f ca="1">IF(C4&lt;&gt;"",SUMIF(J:J,$J4,G:G),"")</f>
        <v>448.71</v>
      </c>
      <c r="J4" s="102">
        <f>IF(F4="","",COUNTA($C$3:$C4))</f>
        <v>2</v>
      </c>
      <c r="K4" s="102">
        <f>IF(B4=1,0,IF(C4="","",COUNTIF(C$3:C3,C4)))</f>
        <v>0</v>
      </c>
      <c r="L4" s="128" t="e">
        <f ca="1">IF(I4="","",I4-IF(D4="预留长度",G4,0)-IF(#REF!=J4,IF(#REF!="预留长度",#REF!,0),0)-IF(#REF!=J4,IF(#REF!="预留长度",#REF!,0),0)-IF(#REF!=J4,IF(#REF!="预留长度",#REF!,0),0)-IF(J52=J4,IF(D52="预留长度",G52,0),0)-IF(J59=J4,IF(D59="预留长度",G59,0),0)-IF(J60=J4,IF(D60="预留长度",G60,0),0)-IF(J61=J4,IF(D61="预留长度",G61,0),0)-IF(J63=J4,IF(D63="预留长度",G61,0),0)-IF(J64=J4,IF(D64="预留长度",G61,0),0)-IF(J61=J4,IF(D65="预留长度",G65,0),0)-IF(J66=J4,IF(D66="预留长度",G61,0),0))</f>
        <v>#REF!</v>
      </c>
    </row>
    <row r="5" customHeight="1" spans="1:12">
      <c r="A5" s="112">
        <f>IF(K5=0,COUNTIF(K$3:K5,0),"")</f>
        <v>3</v>
      </c>
      <c r="B5" s="113"/>
      <c r="C5" s="114" t="s">
        <v>32</v>
      </c>
      <c r="D5" s="115"/>
      <c r="E5" s="116" t="s">
        <v>31</v>
      </c>
      <c r="F5" s="117" t="s">
        <v>33</v>
      </c>
      <c r="G5" s="100">
        <f ca="1" t="shared" si="0"/>
        <v>337.84</v>
      </c>
      <c r="I5" s="127">
        <f ca="1">IF(C5&lt;&gt;"",SUMIF(J:J,$J5,G:G),"")</f>
        <v>337.84</v>
      </c>
      <c r="J5" s="102">
        <f>IF(F5="","",COUNTA($C$3:$C5))</f>
        <v>3</v>
      </c>
      <c r="K5" s="102">
        <f>IF(B5=1,0,IF(C5="","",COUNTIF(C$3:C4,C5)))</f>
        <v>0</v>
      </c>
      <c r="L5" s="128" t="e">
        <f ca="1">IF(I5="","",I5-IF(D5="预留长度",G5,0)-IF(#REF!=J5,IF(#REF!="预留长度",#REF!,0),0)-IF(#REF!=J5,IF(#REF!="预留长度",#REF!,0),0)-IF(J52=J5,IF(D52="预留长度",G52,0),0)-IF(J53=J5,IF(D53="预留长度",G53,0),0)-IF(J60=J5,IF(D60="预留长度",G60,0),0)-IF(J61=J5,IF(D61="预留长度",G61,0),0)-IF(J62=J5,IF(D62="预留长度",G62,0),0)-IF(J64=J5,IF(D64="预留长度",G62,0),0)-IF(J65=J5,IF(D65="预留长度",G62,0),0)-IF(J62=J5,IF(D66="预留长度",G66,0),0)-IF(J67=J5,IF(D67="预留长度",G62,0),0))</f>
        <v>#REF!</v>
      </c>
    </row>
    <row r="6" customHeight="1" spans="1:12">
      <c r="A6" s="112">
        <f>IF(K6=0,COUNTIF(K$3:K6,0),"")</f>
        <v>4</v>
      </c>
      <c r="B6" s="113"/>
      <c r="C6" s="114" t="s">
        <v>34</v>
      </c>
      <c r="D6" s="115"/>
      <c r="E6" s="116" t="s">
        <v>31</v>
      </c>
      <c r="F6" s="117">
        <v>20.7848</v>
      </c>
      <c r="G6" s="100">
        <f ca="1" t="shared" si="0"/>
        <v>20.78</v>
      </c>
      <c r="I6" s="127">
        <f ca="1" t="shared" ref="I6:I22" si="1">IF(C6&lt;&gt;"",SUMIF(J:J,$J6,G:G),"")</f>
        <v>20.78</v>
      </c>
      <c r="J6" s="102">
        <f>IF(F6="","",COUNTA($C$3:$C6))</f>
        <v>4</v>
      </c>
      <c r="K6" s="102">
        <f>IF(B6=1,0,IF(C6="","",COUNTIF(C$3:C4,C6)))</f>
        <v>0</v>
      </c>
      <c r="L6" s="128" t="e">
        <f ca="1">IF(I6="","",I6-IF(D6="预留长度",G6,0)-IF(#REF!=J6,IF(#REF!="预留长度",#REF!,0),0)-IF(#REF!=J6,IF(#REF!="预留长度",#REF!,0),0)-IF(J52=J6,IF(D52="预留长度",G52,0),0)-IF(J53=J6,IF(D53="预留长度",G53,0),0)-IF(J60=J6,IF(D60="预留长度",G60,0),0)-IF(J61=J6,IF(D61="预留长度",G61,0),0)-IF(J62=J6,IF(D62="预留长度",G62,0),0)-IF(J64=J6,IF(D64="预留长度",G62,0),0)-IF(J65=J6,IF(D65="预留长度",G62,0),0)-IF(J62=J6,IF(D66="预留长度",G66,0),0)-IF(J67=J6,IF(D67="预留长度",G62,0),0))</f>
        <v>#REF!</v>
      </c>
    </row>
    <row r="7" customHeight="1" spans="1:12">
      <c r="A7" s="112">
        <f>IF(K7=0,COUNTIF(K$3:K7,0),"")</f>
        <v>5</v>
      </c>
      <c r="B7" s="113"/>
      <c r="C7" s="114" t="s">
        <v>35</v>
      </c>
      <c r="D7" s="115"/>
      <c r="E7" s="116" t="s">
        <v>31</v>
      </c>
      <c r="F7" s="117">
        <v>6.6498</v>
      </c>
      <c r="G7" s="100">
        <f ca="1" t="shared" si="0"/>
        <v>6.65</v>
      </c>
      <c r="I7" s="127">
        <f ca="1" t="shared" si="1"/>
        <v>6.65</v>
      </c>
      <c r="J7" s="102">
        <f>IF(F7="","",COUNTA($C$3:$C7))</f>
        <v>5</v>
      </c>
      <c r="K7" s="102">
        <f>IF(B7=1,0,IF(C7="","",COUNTIF(C$3:C6,C7)))</f>
        <v>0</v>
      </c>
      <c r="L7" s="128" t="e">
        <f ca="1">IF(I7="","",I7-IF(D7="预留长度",G7,0)-IF(#REF!=J7,IF(#REF!="预留长度",#REF!,0),0)-IF(J52=J7,IF(D52="预留长度",G52,0),0)-IF(J53=J7,IF(D53="预留长度",G53,0),0)-IF(J54=J7,IF(D54="预留长度",G54,0),0)-IF(J61=J7,IF(D61="预留长度",G61,0),0)-IF(J62=J7,IF(D62="预留长度",G62,0),0)-IF(J63=J7,IF(D63="预留长度",G63,0),0)-IF(J65=J7,IF(D65="预留长度",G63,0),0)-IF(J66=J7,IF(D66="预留长度",G63,0),0)-IF(J63=J7,IF(D67="预留长度",G67,0),0)-IF(#REF!=J7,IF(#REF!="预留长度",G63,0),0))</f>
        <v>#REF!</v>
      </c>
    </row>
    <row r="8" customHeight="1" spans="1:12">
      <c r="A8" s="112">
        <f>IF(K8=0,COUNTIF(K$3:K8,0),"")</f>
        <v>6</v>
      </c>
      <c r="B8" s="113"/>
      <c r="C8" s="114" t="s">
        <v>36</v>
      </c>
      <c r="D8" s="115"/>
      <c r="E8" s="116" t="s">
        <v>31</v>
      </c>
      <c r="F8" s="117">
        <v>32.5395</v>
      </c>
      <c r="G8" s="100">
        <f ca="1" t="shared" si="0"/>
        <v>32.54</v>
      </c>
      <c r="I8" s="127">
        <f ca="1" t="shared" si="1"/>
        <v>32.54</v>
      </c>
      <c r="J8" s="102">
        <f>IF(F8="","",COUNTA($C$3:$C8))</f>
        <v>6</v>
      </c>
      <c r="K8" s="102">
        <f>IF(B8=1,0,IF(C8="","",COUNTIF(C$3:C7,C8)))</f>
        <v>0</v>
      </c>
      <c r="L8" s="128" t="e">
        <f ca="1">IF(I8="","",I8-IF(D8="预留长度",G8,0)-IF(J52=J8,IF(D52="预留长度",G52,0),0)-IF(J53=J8,IF(D53="预留长度",G53,0),0)-IF(J54=J8,IF(D54="预留长度",G54,0),0)-IF(J55=J8,IF(D55="预留长度",G55,0),0)-IF(J62=J8,IF(D62="预留长度",G62,0),0)-IF(J63=J8,IF(D63="预留长度",G63,0),0)-IF(J64=J8,IF(D64="预留长度",G64,0),0)-IF(J66=J8,IF(D66="预留长度",G64,0),0)-IF(J67=J8,IF(D67="预留长度",G64,0),0)-IF(J64=J8,IF(#REF!="预留长度",#REF!,0),0)-IF(#REF!=J8,IF(#REF!="预留长度",G64,0),0))</f>
        <v>#REF!</v>
      </c>
    </row>
    <row r="9" customHeight="1" spans="1:12">
      <c r="A9" s="112">
        <f>IF(K9=0,COUNTIF(K$3:K9,0),"")</f>
        <v>7</v>
      </c>
      <c r="B9" s="113"/>
      <c r="C9" s="114" t="s">
        <v>37</v>
      </c>
      <c r="D9" s="115"/>
      <c r="E9" s="116" t="s">
        <v>31</v>
      </c>
      <c r="F9" s="117">
        <v>45.1129</v>
      </c>
      <c r="G9" s="100">
        <f ca="1" t="shared" si="0"/>
        <v>45.11</v>
      </c>
      <c r="I9" s="127">
        <f ca="1" t="shared" si="1"/>
        <v>45.11</v>
      </c>
      <c r="J9" s="102">
        <f>IF(F9="","",COUNTA($C$3:$C9))</f>
        <v>7</v>
      </c>
      <c r="K9" s="102">
        <f>IF(B9=1,0,IF(C9="","",COUNTIF(C$3:C8,C9)))</f>
        <v>0</v>
      </c>
      <c r="L9" s="128" t="e">
        <f ca="1">IF(I9="","",I9-IF(D9="预留长度",G9,0)-IF(J53=J9,IF(D53="预留长度",G53,0),0)-IF(J54=J9,IF(D54="预留长度",G54,0),0)-IF(J55=J9,IF(D55="预留长度",G55,0),0)-IF(J56=J9,IF(D56="预留长度",G56,0),0)-IF(J63=J9,IF(D63="预留长度",G63,0),0)-IF(J64=J9,IF(D64="预留长度",G64,0),0)-IF(J65=J9,IF(D65="预留长度",G65,0),0)-IF(J67=J9,IF(D67="预留长度",G65,0),0)-IF(#REF!=J9,IF(#REF!="预留长度",G65,0),0)-IF(J65=J9,IF(#REF!="预留长度",#REF!,0),0)-IF(#REF!=J9,IF(#REF!="预留长度",G65,0),0))</f>
        <v>#REF!</v>
      </c>
    </row>
    <row r="10" customHeight="1" spans="1:12">
      <c r="A10" s="112">
        <f>IF(K10=0,COUNTIF(K$3:K10,0),"")</f>
        <v>8</v>
      </c>
      <c r="B10" s="113"/>
      <c r="C10" s="114" t="s">
        <v>38</v>
      </c>
      <c r="D10" s="115"/>
      <c r="E10" s="116" t="s">
        <v>31</v>
      </c>
      <c r="F10" s="117">
        <v>30.0392</v>
      </c>
      <c r="G10" s="100">
        <f ca="1" t="shared" si="0"/>
        <v>30.04</v>
      </c>
      <c r="I10" s="127">
        <f ca="1" t="shared" si="1"/>
        <v>30.04</v>
      </c>
      <c r="J10" s="102">
        <f>IF(F10="","",COUNTA($C$3:$C10))</f>
        <v>8</v>
      </c>
      <c r="K10" s="102">
        <f>IF(B10=1,0,IF(C10="","",COUNTIF(C$3:C9,C10)))</f>
        <v>0</v>
      </c>
      <c r="L10" s="128" t="e">
        <f ca="1">IF(I10="","",I10-IF(D10="预留长度",G10,0)-IF(J54=J10,IF(D54="预留长度",G54,0),0)-IF(J55=J10,IF(D55="预留长度",G55,0),0)-IF(J56=J10,IF(D56="预留长度",G56,0),0)-IF(J57=J10,IF(D57="预留长度",G57,0),0)-IF(J64=J10,IF(D64="预留长度",G64,0),0)-IF(J65=J10,IF(D65="预留长度",G65,0),0)-IF(J66=J10,IF(D66="预留长度",G66,0),0)-IF(#REF!=J10,IF(#REF!="预留长度",G66,0),0)-IF(#REF!=J10,IF(#REF!="预留长度",G66,0),0)-IF(J66=J10,IF(#REF!="预留长度",#REF!,0),0)-IF(#REF!=J10,IF(#REF!="预留长度",G66,0),0))</f>
        <v>#REF!</v>
      </c>
    </row>
    <row r="11" customHeight="1" spans="1:12">
      <c r="A11" s="112">
        <f>IF(K11=0,COUNTIF(K$3:K11,0),"")</f>
        <v>9</v>
      </c>
      <c r="B11" s="113"/>
      <c r="C11" s="114" t="s">
        <v>39</v>
      </c>
      <c r="D11" s="115"/>
      <c r="E11" s="116" t="s">
        <v>31</v>
      </c>
      <c r="F11" s="117">
        <v>18.4322</v>
      </c>
      <c r="G11" s="100">
        <f ca="1" t="shared" si="0"/>
        <v>18.43</v>
      </c>
      <c r="I11" s="127">
        <f ca="1" t="shared" si="1"/>
        <v>18.43</v>
      </c>
      <c r="J11" s="102">
        <f>IF(F11="","",COUNTA($C$3:$C11))</f>
        <v>9</v>
      </c>
      <c r="K11" s="102">
        <f>IF(B11=1,0,IF(C11="","",COUNTIF(C$3:C10,C11)))</f>
        <v>0</v>
      </c>
      <c r="L11" s="128" t="e">
        <f ca="1">IF(I11="","",I11-IF(D11="预留长度",G11,0)-IF(J55=J11,IF(D55="预留长度",G55,0),0)-IF(J56=J11,IF(D56="预留长度",G56,0),0)-IF(J57=J11,IF(D57="预留长度",G57,0),0)-IF(J58=J11,IF(D58="预留长度",G58,0),0)-IF(J65=J11,IF(D65="预留长度",G65,0),0)-IF(J66=J11,IF(D66="预留长度",G66,0),0)-IF(J67=J11,IF(D67="预留长度",G67,0),0)-IF(#REF!=J11,IF(#REF!="预留长度",G67,0),0)-IF(#REF!=J11,IF(#REF!="预留长度",G67,0),0)-IF(J67=J11,IF(#REF!="预留长度",#REF!,0),0)-IF(#REF!=J11,IF(#REF!="预留长度",G67,0),0))</f>
        <v>#REF!</v>
      </c>
    </row>
    <row r="12" customHeight="1" spans="1:12">
      <c r="A12" s="112">
        <f>IF(K12=0,COUNTIF(K$3:K12,0),"")</f>
        <v>10</v>
      </c>
      <c r="B12" s="113"/>
      <c r="C12" s="114" t="s">
        <v>40</v>
      </c>
      <c r="D12" s="115"/>
      <c r="E12" s="116" t="s">
        <v>31</v>
      </c>
      <c r="F12" s="117">
        <v>63.9261</v>
      </c>
      <c r="G12" s="100">
        <f ca="1" t="shared" si="0"/>
        <v>63.93</v>
      </c>
      <c r="I12" s="127">
        <f ca="1" t="shared" si="1"/>
        <v>63.93</v>
      </c>
      <c r="J12" s="102">
        <f>IF(F12="","",COUNTA($C$3:$C12))</f>
        <v>10</v>
      </c>
      <c r="K12" s="102">
        <f>IF(B12=1,0,IF(C12="","",COUNTIF(C$3:C11,C12)))</f>
        <v>0</v>
      </c>
      <c r="L12" s="128" t="e">
        <f ca="1">IF(I12="","",I12-IF(D12="预留长度",G12,0)-IF(J56=J12,IF(D56="预留长度",G56,0),0)-IF(J57=J12,IF(D57="预留长度",G57,0),0)-IF(J58=J12,IF(D58="预留长度",G58,0),0)-IF(J59=J12,IF(D59="预留长度",G59,0),0)-IF(J66=J12,IF(D66="预留长度",G66,0),0)-IF(J67=J12,IF(D67="预留长度",G67,0),0)-IF(#REF!=J12,IF(#REF!="预留长度",#REF!,0),0)-IF(#REF!=J12,IF(#REF!="预留长度",#REF!,0),0)-IF(#REF!=J12,IF(#REF!="预留长度",#REF!,0),0)-IF(#REF!=J12,IF(#REF!="预留长度",#REF!,0),0)-IF(#REF!=J12,IF(#REF!="预留长度",#REF!,0),0))</f>
        <v>#REF!</v>
      </c>
    </row>
    <row r="13" customHeight="1" spans="1:12">
      <c r="A13" s="112">
        <f>IF(K13=0,COUNTIF(K$3:K13,0),"")</f>
        <v>11</v>
      </c>
      <c r="B13" s="113"/>
      <c r="C13" s="114" t="s">
        <v>41</v>
      </c>
      <c r="D13" s="115"/>
      <c r="E13" s="116" t="s">
        <v>31</v>
      </c>
      <c r="F13" s="117">
        <v>10.6158</v>
      </c>
      <c r="G13" s="100">
        <f ca="1" t="shared" si="0"/>
        <v>10.62</v>
      </c>
      <c r="I13" s="127">
        <f ca="1" t="shared" si="1"/>
        <v>10.62</v>
      </c>
      <c r="J13" s="102">
        <f>IF(F13="","",COUNTA($C$3:$C13))</f>
        <v>11</v>
      </c>
      <c r="K13" s="102">
        <f>IF(B13=1,0,IF(C13="","",COUNTIF(C$3:C12,C13)))</f>
        <v>0</v>
      </c>
      <c r="L13" s="128" t="e">
        <f ca="1">IF(I13="","",I13-IF(D13="预留长度",G13,0)-IF(J57=J13,IF(D57="预留长度",G57,0),0)-IF(J58=J13,IF(D58="预留长度",G58,0),0)-IF(J59=J13,IF(D59="预留长度",G59,0),0)-IF(J60=J13,IF(D60="预留长度",G60,0),0)-IF(J67=J13,IF(D67="预留长度",G67,0),0)-IF(#REF!=J13,IF(#REF!="预留长度",#REF!,0),0)-IF(#REF!=J13,IF(#REF!="预留长度",#REF!,0),0)-IF(#REF!=J13,IF(#REF!="预留长度",#REF!,0),0)-IF(#REF!=J13,IF(#REF!="预留长度",#REF!,0),0)-IF(#REF!=J13,IF(#REF!="预留长度",#REF!,0),0)-IF(#REF!=J13,IF(#REF!="预留长度",#REF!,0),0))</f>
        <v>#REF!</v>
      </c>
    </row>
    <row r="14" customHeight="1" spans="1:12">
      <c r="A14" s="112">
        <f>IF(K14=0,COUNTIF(K$3:K14,0),"")</f>
        <v>12</v>
      </c>
      <c r="B14" s="113"/>
      <c r="C14" s="114" t="s">
        <v>42</v>
      </c>
      <c r="D14" s="115"/>
      <c r="E14" s="116" t="s">
        <v>31</v>
      </c>
      <c r="F14" s="117">
        <v>4.8299</v>
      </c>
      <c r="G14" s="100">
        <f ca="1" t="shared" si="0"/>
        <v>4.83</v>
      </c>
      <c r="I14" s="127">
        <f ca="1" t="shared" si="1"/>
        <v>4.83</v>
      </c>
      <c r="J14" s="102">
        <f>IF(F14="","",COUNTA($C$3:$C14))</f>
        <v>12</v>
      </c>
      <c r="K14" s="102">
        <f>IF(B14=1,0,IF(C14="","",COUNTIF(C$3:C13,C14)))</f>
        <v>0</v>
      </c>
      <c r="L14" s="128" t="e">
        <f ca="1">IF(I14="","",I14-IF(D14="预留长度",G14,0)-IF(J58=J14,IF(D58="预留长度",G58,0),0)-IF(J59=J14,IF(D59="预留长度",G59,0),0)-IF(J60=J14,IF(D60="预留长度",G60,0),0)-IF(J61=J14,IF(D61="预留长度",G61,0),0)-IF(#REF!=J14,IF(#REF!="预留长度",#REF!,0),0)-IF(#REF!=J14,IF(#REF!="预留长度",#REF!,0),0)-IF(#REF!=J14,IF(#REF!="预留长度",#REF!,0),0)-IF(#REF!=J14,IF(#REF!="预留长度",#REF!,0),0)-IF(#REF!=J14,IF(#REF!="预留长度",#REF!,0),0)-IF(#REF!=J14,IF(#REF!="预留长度",#REF!,0),0)-IF(#REF!=J14,IF(#REF!="预留长度",#REF!,0),0))</f>
        <v>#REF!</v>
      </c>
    </row>
    <row r="15" customHeight="1" spans="1:12">
      <c r="A15" s="112">
        <f>IF(K15=0,COUNTIF(K$3:K15,0),"")</f>
        <v>13</v>
      </c>
      <c r="B15" s="113"/>
      <c r="C15" s="114" t="s">
        <v>43</v>
      </c>
      <c r="D15" s="115"/>
      <c r="E15" s="116" t="s">
        <v>31</v>
      </c>
      <c r="F15" s="117">
        <v>5.6037</v>
      </c>
      <c r="G15" s="100">
        <f ca="1" t="shared" si="0"/>
        <v>5.6</v>
      </c>
      <c r="I15" s="127">
        <f ca="1" t="shared" si="1"/>
        <v>5.6</v>
      </c>
      <c r="J15" s="102">
        <f>IF(F15="","",COUNTA($C$3:$C15))</f>
        <v>13</v>
      </c>
      <c r="K15" s="102">
        <f>IF(B15=1,0,IF(C15="","",COUNTIF(C$3:C14,C15)))</f>
        <v>0</v>
      </c>
      <c r="L15" s="128" t="e">
        <f ca="1">IF(I15="","",I15-IF(D15="预留长度",G15,0)-IF(J59=J15,IF(D59="预留长度",G59,0),0)-IF(J60=J15,IF(D60="预留长度",G60,0),0)-IF(J61=J15,IF(D61="预留长度",G61,0),0)-IF(J62=J15,IF(D62="预留长度",G62,0),0)-IF(#REF!=J15,IF(#REF!="预留长度",#REF!,0),0)-IF(#REF!=J15,IF(#REF!="预留长度",#REF!,0),0)-IF(#REF!=J15,IF(#REF!="预留长度",#REF!,0),0)-IF(#REF!=J15,IF(#REF!="预留长度",#REF!,0),0)-IF(#REF!=J15,IF(#REF!="预留长度",#REF!,0),0)-IF(#REF!=J15,IF(#REF!="预留长度",#REF!,0),0)-IF(#REF!=J15,IF(#REF!="预留长度",#REF!,0),0))</f>
        <v>#REF!</v>
      </c>
    </row>
    <row r="16" customHeight="1" spans="1:12">
      <c r="A16" s="112">
        <f>IF(K16=0,COUNTIF(K$3:K16,0),"")</f>
        <v>14</v>
      </c>
      <c r="B16" s="113"/>
      <c r="C16" s="114" t="s">
        <v>44</v>
      </c>
      <c r="D16" s="115"/>
      <c r="E16" s="116" t="s">
        <v>31</v>
      </c>
      <c r="F16" s="117">
        <v>6.6169</v>
      </c>
      <c r="G16" s="100">
        <f ca="1" t="shared" si="0"/>
        <v>6.62</v>
      </c>
      <c r="I16" s="127">
        <f ca="1" t="shared" si="1"/>
        <v>6.62</v>
      </c>
      <c r="J16" s="102">
        <f>IF(F16="","",COUNTA($C$3:$C16))</f>
        <v>14</v>
      </c>
      <c r="K16" s="102">
        <f>IF(B16=1,0,IF(C16="","",COUNTIF(C$3:C15,C16)))</f>
        <v>0</v>
      </c>
      <c r="L16" s="128" t="e">
        <f ca="1">IF(I16="","",I16-IF(D16="预留长度",G16,0)-IF(J60=J16,IF(D60="预留长度",G60,0),0)-IF(J61=J16,IF(D61="预留长度",G61,0),0)-IF(J62=J16,IF(D62="预留长度",G62,0),0)-IF(J63=J16,IF(D63="预留长度",G63,0),0)-IF(#REF!=J16,IF(#REF!="预留长度",#REF!,0),0)-IF(#REF!=J16,IF(#REF!="预留长度",#REF!,0),0)-IF(#REF!=J16,IF(#REF!="预留长度",#REF!,0),0)-IF(#REF!=J16,IF(#REF!="预留长度",#REF!,0),0)-IF(#REF!=J16,IF(#REF!="预留长度",#REF!,0),0)-IF(#REF!=J16,IF(#REF!="预留长度",#REF!,0),0)-IF(#REF!=J16,IF(#REF!="预留长度",#REF!,0),0))</f>
        <v>#REF!</v>
      </c>
    </row>
    <row r="17" customHeight="1" spans="1:12">
      <c r="A17" s="112">
        <f>IF(K17=0,COUNTIF(K$3:K17,0),"")</f>
        <v>15</v>
      </c>
      <c r="B17" s="113"/>
      <c r="C17" s="114" t="s">
        <v>45</v>
      </c>
      <c r="D17" s="115"/>
      <c r="E17" s="116" t="s">
        <v>31</v>
      </c>
      <c r="F17" s="117">
        <v>66.5573</v>
      </c>
      <c r="G17" s="100">
        <f ca="1" t="shared" si="0"/>
        <v>66.56</v>
      </c>
      <c r="I17" s="127">
        <f ca="1" t="shared" si="1"/>
        <v>66.56</v>
      </c>
      <c r="J17" s="102">
        <f>IF(F17="","",COUNTA($C$3:$C17))</f>
        <v>15</v>
      </c>
      <c r="K17" s="102">
        <f>IF(B17=1,0,IF(C17="","",COUNTIF(C$3:C16,C17)))</f>
        <v>0</v>
      </c>
      <c r="L17" s="128" t="e">
        <f ca="1">IF(I17="","",I17-IF(D17="预留长度",G17,0)-IF(J61=J17,IF(D61="预留长度",G61,0),0)-IF(J62=J17,IF(D62="预留长度",G62,0),0)-IF(J63=J17,IF(D63="预留长度",G63,0),0)-IF(J64=J17,IF(D64="预留长度",G64,0),0)-IF(#REF!=J17,IF(#REF!="预留长度",#REF!,0),0)-IF(#REF!=J17,IF(#REF!="预留长度",#REF!,0),0)-IF(#REF!=J17,IF(#REF!="预留长度",#REF!,0),0)-IF(#REF!=J17,IF(#REF!="预留长度",#REF!,0),0)-IF(#REF!=J17,IF(#REF!="预留长度",#REF!,0),0)-IF(#REF!=J17,IF(#REF!="预留长度",#REF!,0),0)-IF(#REF!=J17,IF(#REF!="预留长度",#REF!,0),0))</f>
        <v>#REF!</v>
      </c>
    </row>
    <row r="18" customHeight="1" spans="1:12">
      <c r="A18" s="112">
        <f>IF(K18=0,COUNTIF(K$3:K18,0),"")</f>
        <v>16</v>
      </c>
      <c r="B18" s="113"/>
      <c r="C18" s="114" t="s">
        <v>46</v>
      </c>
      <c r="D18" s="115"/>
      <c r="E18" s="116" t="s">
        <v>31</v>
      </c>
      <c r="F18" s="117">
        <v>5.4582</v>
      </c>
      <c r="G18" s="100">
        <f ca="1" t="shared" si="0"/>
        <v>5.46</v>
      </c>
      <c r="I18" s="127">
        <f ca="1" t="shared" si="1"/>
        <v>5.46</v>
      </c>
      <c r="J18" s="102">
        <f>IF(F18="","",COUNTA($C$3:$C18))</f>
        <v>16</v>
      </c>
      <c r="K18" s="102">
        <f>IF(B18=1,0,IF(C18="","",COUNTIF(C$3:C17,C18)))</f>
        <v>0</v>
      </c>
      <c r="L18" s="128" t="e">
        <f ca="1">IF(I18="","",I18-IF(D18="预留长度",G18,0)-IF(J62=J18,IF(D62="预留长度",G62,0),0)-IF(J63=J18,IF(D63="预留长度",G63,0),0)-IF(J64=J18,IF(D64="预留长度",G64,0),0)-IF(J65=J18,IF(D65="预留长度",G65,0),0)-IF(#REF!=J18,IF(#REF!="预留长度",#REF!,0),0)-IF(#REF!=J18,IF(#REF!="预留长度",#REF!,0),0)-IF(#REF!=J18,IF(#REF!="预留长度",#REF!,0),0)-IF(#REF!=J18,IF(#REF!="预留长度",#REF!,0),0)-IF(#REF!=J18,IF(#REF!="预留长度",#REF!,0),0)-IF(#REF!=J18,IF(#REF!="预留长度",#REF!,0),0)-IF(#REF!=J18,IF(#REF!="预留长度",#REF!,0),0))</f>
        <v>#REF!</v>
      </c>
    </row>
    <row r="19" customHeight="1" spans="1:12">
      <c r="A19" s="112">
        <f>IF(K19=0,COUNTIF(K$3:K19,0),"")</f>
        <v>17</v>
      </c>
      <c r="B19" s="113"/>
      <c r="C19" s="114" t="s">
        <v>47</v>
      </c>
      <c r="D19" s="115"/>
      <c r="E19" s="116" t="s">
        <v>28</v>
      </c>
      <c r="F19" s="117">
        <v>6.1953</v>
      </c>
      <c r="G19" s="100">
        <f ca="1" t="shared" si="0"/>
        <v>6.2</v>
      </c>
      <c r="I19" s="127">
        <f ca="1" t="shared" si="1"/>
        <v>6.2</v>
      </c>
      <c r="J19" s="102">
        <f>IF(F19="","",COUNTA($C$3:$C19))</f>
        <v>17</v>
      </c>
      <c r="K19" s="102">
        <f>IF(B19=1,0,IF(C19="","",COUNTIF(C$3:C18,C19)))</f>
        <v>0</v>
      </c>
      <c r="L19" s="128" t="e">
        <f ca="1">IF(I19="","",I19-IF(D19="预留长度",G19,0)-IF(J63=J19,IF(D63="预留长度",G63,0),0)-IF(J64=J19,IF(D64="预留长度",G64,0),0)-IF(J65=J19,IF(D65="预留长度",G65,0),0)-IF(J66=J19,IF(D66="预留长度",G66,0),0)-IF(#REF!=J19,IF(#REF!="预留长度",#REF!,0),0)-IF(#REF!=J19,IF(#REF!="预留长度",#REF!,0),0)-IF(#REF!=J19,IF(#REF!="预留长度",#REF!,0),0)-IF(#REF!=J19,IF(#REF!="预留长度",#REF!,0),0)-IF(#REF!=J19,IF(#REF!="预留长度",#REF!,0),0)-IF(#REF!=J19,IF(#REF!="预留长度",#REF!,0),0)-IF(#REF!=J19,IF(#REF!="预留长度",#REF!,0),0))</f>
        <v>#REF!</v>
      </c>
    </row>
    <row r="20" customHeight="1" spans="1:12">
      <c r="A20" s="112">
        <f>IF(K20=0,COUNTIF(K$3:K20,0),"")</f>
        <v>18</v>
      </c>
      <c r="B20" s="113"/>
      <c r="C20" s="114" t="s">
        <v>48</v>
      </c>
      <c r="D20" s="115"/>
      <c r="E20" s="116" t="s">
        <v>28</v>
      </c>
      <c r="F20" s="117">
        <v>19.5999</v>
      </c>
      <c r="G20" s="100">
        <f ca="1" t="shared" si="0"/>
        <v>19.6</v>
      </c>
      <c r="I20" s="127">
        <f ca="1" t="shared" si="1"/>
        <v>19.6</v>
      </c>
      <c r="J20" s="102">
        <f>IF(F20="","",COUNTA($C$3:$C20))</f>
        <v>18</v>
      </c>
      <c r="K20" s="102">
        <f>IF(B20=1,0,IF(C20="","",COUNTIF(C$3:C19,C20)))</f>
        <v>0</v>
      </c>
      <c r="L20" s="128" t="e">
        <f ca="1">IF(I20="","",I20-IF(D20="预留长度",G20,0)-IF(J64=J20,IF(D64="预留长度",G64,0),0)-IF(J65=J20,IF(D65="预留长度",G65,0),0)-IF(J66=J20,IF(D66="预留长度",G66,0),0)-IF(J67=J20,IF(D67="预留长度",G67,0),0)-IF(#REF!=J20,IF(#REF!="预留长度",#REF!,0),0)-IF(#REF!=J20,IF(#REF!="预留长度",#REF!,0),0)-IF(#REF!=J20,IF(#REF!="预留长度",#REF!,0),0)-IF(#REF!=J20,IF(#REF!="预留长度",#REF!,0),0)-IF(#REF!=J20,IF(#REF!="预留长度",#REF!,0),0)-IF(#REF!=J20,IF(#REF!="预留长度",#REF!,0),0)-IF(#REF!=J20,IF(#REF!="预留长度",#REF!,0),0))</f>
        <v>#REF!</v>
      </c>
    </row>
    <row r="21" customHeight="1" spans="1:12">
      <c r="A21" s="112">
        <f>IF(K21=0,COUNTIF(K$3:K21,0),"")</f>
        <v>19</v>
      </c>
      <c r="B21" s="113"/>
      <c r="C21" s="114" t="s">
        <v>49</v>
      </c>
      <c r="D21" s="115"/>
      <c r="E21" s="116" t="s">
        <v>28</v>
      </c>
      <c r="F21" s="117">
        <v>55.3162</v>
      </c>
      <c r="G21" s="100">
        <f ca="1" t="shared" si="0"/>
        <v>55.32</v>
      </c>
      <c r="I21" s="127">
        <f ca="1" t="shared" si="1"/>
        <v>55.32</v>
      </c>
      <c r="J21" s="102">
        <f>IF(F21="","",COUNTA($C$3:$C21))</f>
        <v>19</v>
      </c>
      <c r="K21" s="102">
        <f>IF(B21=1,0,IF(C21="","",COUNTIF(C$3:C20,C21)))</f>
        <v>0</v>
      </c>
      <c r="L21" s="128" t="e">
        <f ca="1">IF(I21="","",I21-IF(D21="预留长度",G21,0)-IF(J65=J21,IF(D65="预留长度",G65,0),0)-IF(J66=J21,IF(D66="预留长度",G66,0),0)-IF(J67=J21,IF(D67="预留长度",G67,0),0)-IF(#REF!=J21,IF(#REF!="预留长度",#REF!,0),0)-IF(#REF!=J21,IF(#REF!="预留长度",#REF!,0),0)-IF(#REF!=J21,IF(#REF!="预留长度",#REF!,0),0)-IF(#REF!=J21,IF(#REF!="预留长度",#REF!,0),0)-IF(#REF!=J21,IF(#REF!="预留长度",#REF!,0),0)-IF(#REF!=J21,IF(#REF!="预留长度",#REF!,0),0)-IF(#REF!=J21,IF(#REF!="预留长度",#REF!,0),0)-IF(#REF!=J21,IF(#REF!="预留长度",#REF!,0),0))</f>
        <v>#REF!</v>
      </c>
    </row>
    <row r="22" customHeight="1" spans="1:12">
      <c r="A22" s="112">
        <f>IF(K22=0,COUNTIF(K$3:K22,0),"")</f>
        <v>20</v>
      </c>
      <c r="B22" s="113"/>
      <c r="C22" s="114" t="s">
        <v>50</v>
      </c>
      <c r="D22" s="115"/>
      <c r="E22" s="116" t="s">
        <v>28</v>
      </c>
      <c r="F22" s="117" t="s">
        <v>51</v>
      </c>
      <c r="G22" s="100">
        <f ca="1" t="shared" si="0"/>
        <v>127.98</v>
      </c>
      <c r="I22" s="127">
        <f ca="1" t="shared" si="1"/>
        <v>132.57</v>
      </c>
      <c r="J22" s="102">
        <f>IF(F22="","",COUNTA($C$3:$C22))</f>
        <v>20</v>
      </c>
      <c r="K22" s="102">
        <f>IF(B22=1,0,IF(C22="","",COUNTIF(C$3:C21,C22)))</f>
        <v>0</v>
      </c>
      <c r="L22" s="128" t="e">
        <f ca="1">IF(I22="","",I22-IF(D22="预留长度",G22,0)-IF(J66=J22,IF(D66="预留长度",G66,0),0)-IF(J67=J22,IF(D67="预留长度",G67,0),0)-IF(#REF!=J22,IF(#REF!="预留长度",#REF!,0),0)-IF(#REF!=J22,IF(#REF!="预留长度",#REF!,0),0)-IF(#REF!=J22,IF(#REF!="预留长度",#REF!,0),0)-IF(#REF!=J22,IF(#REF!="预留长度",#REF!,0),0)-IF(#REF!=J22,IF(#REF!="预留长度",#REF!,0),0)-IF(#REF!=J22,IF(#REF!="预留长度",#REF!,0),0)-IF(#REF!=J22,IF(#REF!="预留长度",#REF!,0),0)-IF(#REF!=J22,IF(#REF!="预留长度",#REF!,0),0)-IF(J69=J22,IF(D69="预留长度",#REF!,0),0))</f>
        <v>#REF!</v>
      </c>
    </row>
    <row r="23" customHeight="1" outlineLevel="1" spans="1:12">
      <c r="A23" s="112"/>
      <c r="B23" s="113"/>
      <c r="C23" s="114"/>
      <c r="D23" s="114" t="s">
        <v>50</v>
      </c>
      <c r="E23" s="116" t="s">
        <v>28</v>
      </c>
      <c r="F23" s="117">
        <v>123.39</v>
      </c>
      <c r="G23" s="100">
        <f ca="1" t="shared" si="0"/>
        <v>123.39</v>
      </c>
      <c r="I23" s="127"/>
      <c r="L23" s="128"/>
    </row>
    <row r="24" customHeight="1" outlineLevel="1" spans="1:12">
      <c r="A24" s="112" t="str">
        <f>IF(K24=0,COUNTIF(K$3:K24,0),"")</f>
        <v/>
      </c>
      <c r="B24" s="113"/>
      <c r="C24" s="114"/>
      <c r="D24" s="114" t="s">
        <v>52</v>
      </c>
      <c r="E24" s="116" t="s">
        <v>28</v>
      </c>
      <c r="F24" s="117">
        <v>4.5888</v>
      </c>
      <c r="G24" s="100">
        <f ca="1" t="shared" si="0"/>
        <v>4.59</v>
      </c>
      <c r="I24" s="127" t="str">
        <f ca="1" t="shared" ref="I24:I52" si="2">IF(C24&lt;&gt;"",SUMIF(J:J,$J24,G:G),"")</f>
        <v/>
      </c>
      <c r="J24" s="102">
        <f>IF(F24="","",COUNTA($C$3:$C24))</f>
        <v>20</v>
      </c>
      <c r="K24" s="102" t="str">
        <f>IF(B24=1,0,IF(C24="","",COUNTIF(C$3:C22,C24)))</f>
        <v/>
      </c>
      <c r="L24" s="128" t="str">
        <f ca="1">IF(I24="","",I24-IF(D24="预留长度",G24,0)-IF(J67=J24,IF(D67="预留长度",G67,0),0)-IF(#REF!=J24,IF(#REF!="预留长度",#REF!,0),0)-IF(#REF!=J24,IF(#REF!="预留长度",#REF!,0),0)-IF(#REF!=J24,IF(#REF!="预留长度",#REF!,0),0)-IF(#REF!=J24,IF(#REF!="预留长度",#REF!,0),0)-IF(#REF!=J24,IF(#REF!="预留长度",#REF!,0),0)-IF(#REF!=J24,IF(#REF!="预留长度",#REF!,0),0)-IF(#REF!=J24,IF(#REF!="预留长度",#REF!,0),0)-IF(#REF!=J24,IF(#REF!="预留长度",#REF!,0),0)-IF(#REF!=J24,IF(D69="预留长度",G69,0),0)-IF(J70=J24,IF(D70="预留长度",#REF!,0),0))</f>
        <v/>
      </c>
    </row>
    <row r="25" customHeight="1" spans="1:12">
      <c r="A25" s="112">
        <f>IF(K25=0,COUNTIF(K$3:K25,0),"")</f>
        <v>21</v>
      </c>
      <c r="B25" s="113"/>
      <c r="C25" s="114" t="s">
        <v>53</v>
      </c>
      <c r="D25" s="115"/>
      <c r="E25" s="116" t="s">
        <v>28</v>
      </c>
      <c r="F25" s="117" t="s">
        <v>54</v>
      </c>
      <c r="G25" s="100">
        <f ca="1" t="shared" si="0"/>
        <v>603.64</v>
      </c>
      <c r="I25" s="127">
        <f ca="1" t="shared" si="2"/>
        <v>603.64</v>
      </c>
      <c r="J25" s="102">
        <f>IF(F25="","",COUNTA($C$3:$C25))</f>
        <v>21</v>
      </c>
      <c r="K25" s="102">
        <f>IF(B25=1,0,IF(C25="","",COUNTIF(C$3:C24,C25)))</f>
        <v>0</v>
      </c>
      <c r="L25" s="128" t="e">
        <f ca="1">IF(I25="","",I25-IF(D25="预留长度",G25,0)-IF(#REF!=J25,IF(#REF!="预留长度",#REF!,0),0)-IF(#REF!=J25,IF(#REF!="预留长度",#REF!,0),0)-IF(#REF!=J25,IF(#REF!="预留长度",#REF!,0),0)-IF(#REF!=J25,IF(#REF!="预留长度",#REF!,0),0)-IF(#REF!=J25,IF(#REF!="预留长度",#REF!,0),0)-IF(#REF!=J25,IF(#REF!="预留长度",#REF!,0),0)-IF(#REF!=J25,IF(#REF!="预留长度",#REF!,0),0)-IF(#REF!=J25,IF(#REF!="预留长度",#REF!,0),0)-IF(J69=J25,IF(D69="预留长度",#REF!,0),0)-IF(#REF!=J25,IF(D70="预留长度",G70,0),0)-IF(J71=J25,IF(D71="预留长度",#REF!,0),0))</f>
        <v>#REF!</v>
      </c>
    </row>
    <row r="26" customHeight="1" spans="1:12">
      <c r="A26" s="112">
        <f>IF(K26=0,COUNTIF(K$3:K26,0),"")</f>
        <v>22</v>
      </c>
      <c r="B26" s="113"/>
      <c r="C26" s="114" t="s">
        <v>55</v>
      </c>
      <c r="D26" s="115"/>
      <c r="E26" s="116" t="s">
        <v>28</v>
      </c>
      <c r="F26" s="117">
        <v>155.355</v>
      </c>
      <c r="G26" s="100">
        <f ca="1" t="shared" si="0"/>
        <v>155.36</v>
      </c>
      <c r="I26" s="127">
        <f ca="1" t="shared" si="2"/>
        <v>155.36</v>
      </c>
      <c r="J26" s="102">
        <f>IF(F26="","",COUNTA($C$3:$C26))</f>
        <v>22</v>
      </c>
      <c r="K26" s="102">
        <f>IF(B26=1,0,IF(C26="","",COUNTIF(C$3:C25,C26)))</f>
        <v>0</v>
      </c>
      <c r="L26" s="128" t="e">
        <f ca="1">IF(I26="","",I26-IF(D26="预留长度",G26,0)-IF(#REF!=J26,IF(#REF!="预留长度",#REF!,0),0)-IF(#REF!=J26,IF(#REF!="预留长度",#REF!,0),0)-IF(#REF!=J26,IF(#REF!="预留长度",#REF!,0),0)-IF(#REF!=J26,IF(#REF!="预留长度",#REF!,0),0)-IF(#REF!=J26,IF(#REF!="预留长度",#REF!,0),0)-IF(#REF!=J26,IF(#REF!="预留长度",#REF!,0),0)-IF(#REF!=J26,IF(#REF!="预留长度",#REF!,0),0)-IF(J69=J26,IF(D69="预留长度",#REF!,0),0)-IF(J70=J26,IF(D70="预留长度",#REF!,0),0)-IF(#REF!=J26,IF(D71="预留长度",G71,0),0)-IF(J72=J26,IF(D72="预留长度",#REF!,0),0))</f>
        <v>#REF!</v>
      </c>
    </row>
    <row r="27" customHeight="1" spans="1:12">
      <c r="A27" s="112">
        <f>IF(K27=0,COUNTIF(K$3:K27,0),"")</f>
        <v>23</v>
      </c>
      <c r="B27" s="113"/>
      <c r="C27" s="114" t="s">
        <v>56</v>
      </c>
      <c r="D27" s="115"/>
      <c r="E27" s="116" t="s">
        <v>28</v>
      </c>
      <c r="F27" s="117">
        <v>82.214</v>
      </c>
      <c r="G27" s="100">
        <f ca="1" t="shared" si="0"/>
        <v>82.21</v>
      </c>
      <c r="I27" s="127">
        <f ca="1" t="shared" si="2"/>
        <v>82.21</v>
      </c>
      <c r="J27" s="102">
        <f>IF(F27="","",COUNTA($C$3:$C27))</f>
        <v>23</v>
      </c>
      <c r="K27" s="102">
        <f>IF(B27=1,0,IF(C27="","",COUNTIF(C$3:C26,C27)))</f>
        <v>0</v>
      </c>
      <c r="L27" s="128" t="e">
        <f ca="1">IF(I27="","",I27-IF(D27="预留长度",G27,0)-IF(#REF!=J27,IF(#REF!="预留长度",#REF!,0),0)-IF(#REF!=J27,IF(#REF!="预留长度",#REF!,0),0)-IF(#REF!=J27,IF(#REF!="预留长度",#REF!,0),0)-IF(#REF!=J27,IF(#REF!="预留长度",#REF!,0),0)-IF(#REF!=J27,IF(#REF!="预留长度",#REF!,0),0)-IF(#REF!=J27,IF(#REF!="预留长度",#REF!,0),0)-IF(#REF!=J27,IF(#REF!="预留长度",#REF!,0),0)-IF(J70=J27,IF(D70="预留长度",#REF!,0),0)-IF(J71=J27,IF(D71="预留长度",#REF!,0),0)-IF(#REF!=J27,IF(D72="预留长度",G72,0),0)-IF(J73=J27,IF(D73="预留长度",#REF!,0),0))</f>
        <v>#REF!</v>
      </c>
    </row>
    <row r="28" customHeight="1" spans="1:12">
      <c r="A28" s="112">
        <f>IF(K28=0,COUNTIF(K$3:K28,0),"")</f>
        <v>24</v>
      </c>
      <c r="B28" s="113"/>
      <c r="C28" s="114" t="s">
        <v>57</v>
      </c>
      <c r="D28" s="115"/>
      <c r="E28" s="116" t="s">
        <v>28</v>
      </c>
      <c r="F28" s="117">
        <v>0.14</v>
      </c>
      <c r="G28" s="100">
        <f ca="1" t="shared" si="0"/>
        <v>0.14</v>
      </c>
      <c r="I28" s="127">
        <f ca="1" t="shared" si="2"/>
        <v>0.14</v>
      </c>
      <c r="J28" s="102">
        <f>IF(F28="","",COUNTA($C$3:$C28))</f>
        <v>24</v>
      </c>
      <c r="K28" s="102">
        <f>IF(B28=1,0,IF(C28="","",COUNTIF(C$3:C27,C28)))</f>
        <v>0</v>
      </c>
      <c r="L28" s="128" t="e">
        <f ca="1">IF(I28="","",I28-IF(D28="预留长度",G28,0)-IF(#REF!=J28,IF(#REF!="预留长度",#REF!,0),0)-IF(#REF!=J28,IF(#REF!="预留长度",#REF!,0),0)-IF(#REF!=J28,IF(#REF!="预留长度",#REF!,0),0)-IF(#REF!=J28,IF(#REF!="预留长度",#REF!,0),0)-IF(#REF!=J28,IF(#REF!="预留长度",#REF!,0),0)-IF(#REF!=J28,IF(#REF!="预留长度",#REF!,0),0)-IF(J69=J28,IF(D69="预留长度",G69,0),0)-IF(J71=J28,IF(D71="预留长度",G69,0),0)-IF(J72=J28,IF(D72="预留长度",G69,0),0)-IF(J69=J28,IF(D73="预留长度",G73,0),0)-IF(J74=J28,IF(D74="预留长度",G69,0),0))</f>
        <v>#REF!</v>
      </c>
    </row>
    <row r="29" customHeight="1" spans="1:12">
      <c r="A29" s="112">
        <f>IF(K29=0,COUNTIF(K$3:K29,0),"")</f>
        <v>25</v>
      </c>
      <c r="B29" s="113"/>
      <c r="C29" s="114" t="s">
        <v>58</v>
      </c>
      <c r="D29" s="115"/>
      <c r="E29" s="116" t="s">
        <v>28</v>
      </c>
      <c r="F29" s="117" t="s">
        <v>59</v>
      </c>
      <c r="G29" s="100">
        <f ca="1" t="shared" si="0"/>
        <v>29.44</v>
      </c>
      <c r="I29" s="127">
        <f ca="1" t="shared" si="2"/>
        <v>29.44</v>
      </c>
      <c r="J29" s="102">
        <f>IF(F29="","",COUNTA($C$3:$C29))</f>
        <v>25</v>
      </c>
      <c r="K29" s="102">
        <f>IF(B29=1,0,IF(C29="","",COUNTIF(C$3:C28,C29)))</f>
        <v>0</v>
      </c>
      <c r="L29" s="128" t="e">
        <f ca="1">IF(I29="","",I29-IF(D29="预留长度",G29,0)-IF(#REF!=J29,IF(#REF!="预留长度",#REF!,0),0)-IF(#REF!=J29,IF(#REF!="预留长度",#REF!,0),0)-IF(#REF!=J29,IF(#REF!="预留长度",#REF!,0),0)-IF(#REF!=J29,IF(#REF!="预留长度",#REF!,0),0)-IF(#REF!=J29,IF(#REF!="预留长度",#REF!,0),0)-IF(J69=J29,IF(D69="预留长度",G69,0),0)-IF(J70=J29,IF(D70="预留长度",G70,0),0)-IF(J72=J29,IF(D72="预留长度",G70,0),0)-IF(J73=J29,IF(D73="预留长度",G70,0),0)-IF(J70=J29,IF(D74="预留长度",G74,0),0)-IF(J75=J29,IF(D75="预留长度",G70,0),0))</f>
        <v>#REF!</v>
      </c>
    </row>
    <row r="30" customHeight="1" spans="1:12">
      <c r="A30" s="112">
        <f>IF(K30=0,COUNTIF(K$3:K30,0),"")</f>
        <v>26</v>
      </c>
      <c r="B30" s="113"/>
      <c r="C30" s="114" t="s">
        <v>60</v>
      </c>
      <c r="D30" s="115"/>
      <c r="E30" s="116" t="s">
        <v>7</v>
      </c>
      <c r="F30" s="117">
        <v>27</v>
      </c>
      <c r="G30" s="100">
        <f ca="1" t="shared" si="0"/>
        <v>27</v>
      </c>
      <c r="I30" s="127">
        <f ca="1" t="shared" si="2"/>
        <v>27</v>
      </c>
      <c r="J30" s="102">
        <f>IF(F30="","",COUNTA($C$3:$C30))</f>
        <v>26</v>
      </c>
      <c r="K30" s="102">
        <f>IF(B30=1,0,IF(C30="","",COUNTIF(C$3:C29,C30)))</f>
        <v>0</v>
      </c>
      <c r="L30" s="128" t="e">
        <f ca="1">IF(I30="","",I30-IF(D30="预留长度",G30,0)-IF(#REF!=J30,IF(#REF!="预留长度",#REF!,0),0)-IF(#REF!=J30,IF(#REF!="预留长度",#REF!,0),0)-IF(#REF!=J30,IF(#REF!="预留长度",#REF!,0),0)-IF(#REF!=J30,IF(#REF!="预留长度",#REF!,0),0)-IF(J69=J30,IF(D69="预留长度",G69,0),0)-IF(J70=J30,IF(D70="预留长度",G70,0),0)-IF(J71=J30,IF(D71="预留长度",G71,0),0)-IF(J73=J30,IF(D73="预留长度",G71,0),0)-IF(J74=J30,IF(D74="预留长度",G71,0),0)-IF(J71=J30,IF(D75="预留长度",G75,0),0)-IF(J76=J30,IF(D76="预留长度",G71,0),0))</f>
        <v>#REF!</v>
      </c>
    </row>
    <row r="31" customHeight="1" spans="1:12">
      <c r="A31" s="112">
        <f>IF(K31=0,COUNTIF(K$3:K31,0),"")</f>
        <v>27</v>
      </c>
      <c r="B31" s="113"/>
      <c r="C31" s="114" t="s">
        <v>61</v>
      </c>
      <c r="D31" s="115"/>
      <c r="E31" s="116" t="s">
        <v>28</v>
      </c>
      <c r="F31" s="117">
        <v>270.79</v>
      </c>
      <c r="G31" s="100">
        <f ca="1" t="shared" si="0"/>
        <v>270.79</v>
      </c>
      <c r="I31" s="127">
        <f ca="1" t="shared" si="2"/>
        <v>270.79</v>
      </c>
      <c r="J31" s="102">
        <f>IF(F31="","",COUNTA($C$3:$C31))</f>
        <v>27</v>
      </c>
      <c r="K31" s="102">
        <f>IF(B31=1,0,IF(C31="","",COUNTIF(C$3:C30,C31)))</f>
        <v>0</v>
      </c>
      <c r="L31" s="128" t="e">
        <f ca="1">IF(I31="","",I31-IF(D31="预留长度",G31,0)-IF(#REF!=J31,IF(#REF!="预留长度",#REF!,0),0)-IF(#REF!=J31,IF(#REF!="预留长度",#REF!,0),0)-IF(#REF!=J31,IF(#REF!="预留长度",#REF!,0),0)-IF(#REF!=J31,IF(#REF!="预留长度",#REF!,0),0)-IF(J70=J31,IF(D70="预留长度",G70,0),0)-IF(J71=J31,IF(D71="预留长度",G71,0),0)-IF(J72=J31,IF(D72="预留长度",G72,0),0)-IF(J74=J31,IF(D74="预留长度",G72,0),0)-IF(J75=J31,IF(D75="预留长度",G72,0),0)-IF(J72=J31,IF(D76="预留长度",G76,0),0)-IF(J77=J31,IF(D77="预留长度",G72,0),0))</f>
        <v>#REF!</v>
      </c>
    </row>
    <row r="32" customHeight="1" spans="1:12">
      <c r="A32" s="112">
        <f>IF(K32=0,COUNTIF(K$3:K32,0),"")</f>
        <v>28</v>
      </c>
      <c r="B32" s="113"/>
      <c r="C32" s="114" t="s">
        <v>62</v>
      </c>
      <c r="D32" s="115"/>
      <c r="E32" s="116" t="s">
        <v>28</v>
      </c>
      <c r="F32" s="117">
        <v>67.824</v>
      </c>
      <c r="G32" s="100">
        <f ca="1" t="shared" si="0"/>
        <v>67.82</v>
      </c>
      <c r="I32" s="127">
        <f ca="1" t="shared" si="2"/>
        <v>67.82</v>
      </c>
      <c r="J32" s="102">
        <f>IF(F32="","",COUNTA($C$3:$C32))</f>
        <v>28</v>
      </c>
      <c r="K32" s="102">
        <f>IF(B32=1,0,IF(C32="","",COUNTIF(C$3:C31,C32)))</f>
        <v>0</v>
      </c>
      <c r="L32" s="128" t="e">
        <f ca="1">IF(I32="","",I32-IF(D32="预留长度",G32,0)-IF(#REF!=J32,IF(#REF!="预留长度",#REF!,0),0)-IF(#REF!=J32,IF(#REF!="预留长度",#REF!,0),0)-IF(#REF!=J32,IF(#REF!="预留长度",#REF!,0),0)-IF(#REF!=J32,IF(#REF!="预留长度",#REF!,0),0)-IF(J71=J32,IF(D71="预留长度",G71,0),0)-IF(J72=J32,IF(D72="预留长度",G72,0),0)-IF(J73=J32,IF(D73="预留长度",G73,0),0)-IF(J75=J32,IF(D75="预留长度",G73,0),0)-IF(J76=J32,IF(D76="预留长度",G73,0),0)-IF(J73=J32,IF(D77="预留长度",G77,0),0)-IF(J78=J32,IF(D78="预留长度",G73,0),0))</f>
        <v>#REF!</v>
      </c>
    </row>
    <row r="33" customHeight="1" spans="1:12">
      <c r="A33" s="112">
        <f>IF(K33=0,COUNTIF(K$3:K33,0),"")</f>
        <v>29</v>
      </c>
      <c r="B33" s="113"/>
      <c r="C33" s="114" t="s">
        <v>63</v>
      </c>
      <c r="D33" s="115"/>
      <c r="E33" s="116" t="s">
        <v>28</v>
      </c>
      <c r="F33" s="117">
        <v>88.416</v>
      </c>
      <c r="G33" s="100">
        <f ca="1" t="shared" si="0"/>
        <v>88.42</v>
      </c>
      <c r="I33" s="127">
        <f ca="1" t="shared" si="2"/>
        <v>88.42</v>
      </c>
      <c r="J33" s="102">
        <f>IF(F33="","",COUNTA($C$3:$C33))</f>
        <v>29</v>
      </c>
      <c r="K33" s="102">
        <f>IF(B33=1,0,IF(C33="","",COUNTIF(C$3:C32,C33)))</f>
        <v>0</v>
      </c>
      <c r="L33" s="128" t="e">
        <f ca="1">IF(I33="","",I33-IF(D33="预留长度",G33,0)-IF(#REF!=J33,IF(#REF!="预留长度",#REF!,0),0)-IF(#REF!=J33,IF(#REF!="预留长度",#REF!,0),0)-IF(#REF!=J33,IF(#REF!="预留长度",#REF!,0),0)-IF(#REF!=J33,IF(#REF!="预留长度",#REF!,0),0)-IF(J72=J33,IF(D72="预留长度",G72,0),0)-IF(J73=J33,IF(D73="预留长度",G73,0),0)-IF(J74=J33,IF(D74="预留长度",G74,0),0)-IF(J76=J33,IF(D76="预留长度",G74,0),0)-IF(J77=J33,IF(D77="预留长度",G74,0),0)-IF(J74=J33,IF(D78="预留长度",G78,0),0)-IF(J79=J33,IF(D79="预留长度",G74,0),0))</f>
        <v>#REF!</v>
      </c>
    </row>
    <row r="34" customHeight="1" spans="1:12">
      <c r="A34" s="112">
        <f>IF(K34=0,COUNTIF(K$3:K34,0),"")</f>
        <v>30</v>
      </c>
      <c r="B34" s="113"/>
      <c r="C34" s="114" t="s">
        <v>64</v>
      </c>
      <c r="D34" s="115"/>
      <c r="E34" s="116" t="s">
        <v>28</v>
      </c>
      <c r="F34" s="117">
        <v>29.12</v>
      </c>
      <c r="G34" s="100">
        <f ca="1" t="shared" si="0"/>
        <v>29.12</v>
      </c>
      <c r="I34" s="127">
        <f ca="1" t="shared" si="2"/>
        <v>29.12</v>
      </c>
      <c r="J34" s="102">
        <f>IF(F34="","",COUNTA($C$3:$C34))</f>
        <v>30</v>
      </c>
      <c r="K34" s="102">
        <f>IF(B34=1,0,IF(C34="","",COUNTIF(C$3:C33,C34)))</f>
        <v>0</v>
      </c>
      <c r="L34" s="128" t="e">
        <f ca="1">IF(I34="","",I34-IF(D34="预留长度",G34,0)-IF(#REF!=J34,IF(#REF!="预留长度",#REF!,0),0)-IF(#REF!=J34,IF(#REF!="预留长度",#REF!,0),0)-IF(#REF!=J34,IF(#REF!="预留长度",#REF!,0),0)-IF(#REF!=J34,IF(#REF!="预留长度",#REF!,0),0)-IF(J73=J34,IF(D73="预留长度",G73,0),0)-IF(J74=J34,IF(D74="预留长度",G74,0),0)-IF(J75=J34,IF(D75="预留长度",G75,0),0)-IF(J77=J34,IF(D77="预留长度",G75,0),0)-IF(J78=J34,IF(D78="预留长度",G75,0),0)-IF(J75=J34,IF(D79="预留长度",G79,0),0)-IF(J80=J34,IF(D80="预留长度",G75,0),0))</f>
        <v>#REF!</v>
      </c>
    </row>
    <row r="35" customHeight="1" spans="1:12">
      <c r="A35" s="112">
        <f>IF(K35=0,COUNTIF(K$3:K35,0),"")</f>
        <v>31</v>
      </c>
      <c r="B35" s="113"/>
      <c r="C35" s="114" t="s">
        <v>65</v>
      </c>
      <c r="D35" s="115"/>
      <c r="E35" s="116" t="s">
        <v>28</v>
      </c>
      <c r="F35" s="117">
        <v>1143.9786</v>
      </c>
      <c r="G35" s="100">
        <f ca="1" t="shared" ref="G35:G66" si="3">IF(F35="","",sl)</f>
        <v>1143.98</v>
      </c>
      <c r="I35" s="127">
        <f ca="1" t="shared" si="2"/>
        <v>1143.98</v>
      </c>
      <c r="J35" s="102">
        <f>IF(F35="","",COUNTA($C$3:$C35))</f>
        <v>31</v>
      </c>
      <c r="K35" s="102">
        <f>IF(B35=1,0,IF(C35="","",COUNTIF(C$3:C34,C35)))</f>
        <v>0</v>
      </c>
      <c r="L35" s="128" t="e">
        <f ca="1">IF(I35="","",I35-IF(D35="预留长度",G35,0)-IF(#REF!=J35,IF(#REF!="预留长度",#REF!,0),0)-IF(#REF!=J35,IF(#REF!="预留长度",#REF!,0),0)-IF(#REF!=J35,IF(#REF!="预留长度",#REF!,0),0)-IF(#REF!=J35,IF(#REF!="预留长度",#REF!,0),0)-IF(J74=J35,IF(D74="预留长度",G74,0),0)-IF(J75=J35,IF(D75="预留长度",G75,0),0)-IF(J76=J35,IF(D76="预留长度",G76,0),0)-IF(J78=J35,IF(D78="预留长度",G76,0),0)-IF(J79=J35,IF(D79="预留长度",G76,0),0)-IF(J76=J35,IF(D80="预留长度",G80,0),0)-IF(J81=J35,IF(D81="预留长度",G76,0),0))</f>
        <v>#REF!</v>
      </c>
    </row>
    <row r="36" customHeight="1" spans="1:12">
      <c r="A36" s="112">
        <f>IF(K36=0,COUNTIF(K$3:K36,0),"")</f>
        <v>32</v>
      </c>
      <c r="B36" s="113"/>
      <c r="C36" s="114" t="s">
        <v>66</v>
      </c>
      <c r="D36" s="115"/>
      <c r="E36" s="116" t="s">
        <v>28</v>
      </c>
      <c r="F36" s="117">
        <v>312.3805</v>
      </c>
      <c r="G36" s="100">
        <f ca="1" t="shared" si="3"/>
        <v>312.38</v>
      </c>
      <c r="I36" s="127">
        <f ca="1" t="shared" si="2"/>
        <v>312.38</v>
      </c>
      <c r="J36" s="102">
        <f>IF(F36="","",COUNTA($C$3:$C36))</f>
        <v>32</v>
      </c>
      <c r="K36" s="102">
        <f>IF(B36=1,0,IF(C36="","",COUNTIF(C$3:C35,C36)))</f>
        <v>0</v>
      </c>
      <c r="L36" s="128" t="e">
        <f ca="1">IF(I36="","",I36-IF(D36="预留长度",G36,0)-IF(#REF!=J36,IF(#REF!="预留长度",#REF!,0),0)-IF(#REF!=J36,IF(#REF!="预留长度",#REF!,0),0)-IF(#REF!=J36,IF(#REF!="预留长度",#REF!,0),0)-IF(#REF!=J36,IF(#REF!="预留长度",#REF!,0),0)-IF(J75=J36,IF(D75="预留长度",G75,0),0)-IF(J76=J36,IF(D76="预留长度",G76,0),0)-IF(J77=J36,IF(D77="预留长度",G77,0),0)-IF(J79=J36,IF(D79="预留长度",G77,0),0)-IF(J80=J36,IF(D80="预留长度",G77,0),0)-IF(J77=J36,IF(D81="预留长度",G81,0),0)-IF(J82=J36,IF(D82="预留长度",G77,0),0))</f>
        <v>#REF!</v>
      </c>
    </row>
    <row r="37" customHeight="1" spans="1:12">
      <c r="A37" s="112">
        <f>IF(K37=0,COUNTIF(K$3:K37,0),"")</f>
        <v>33</v>
      </c>
      <c r="B37" s="113"/>
      <c r="C37" s="114" t="s">
        <v>67</v>
      </c>
      <c r="D37" s="115"/>
      <c r="E37" s="116" t="s">
        <v>31</v>
      </c>
      <c r="F37" s="117">
        <v>144.3662</v>
      </c>
      <c r="G37" s="100">
        <f ca="1" t="shared" si="3"/>
        <v>144.37</v>
      </c>
      <c r="I37" s="127">
        <f ca="1" t="shared" si="2"/>
        <v>144.37</v>
      </c>
      <c r="J37" s="102">
        <f>IF(F37="","",COUNTA($C$3:$C37))</f>
        <v>33</v>
      </c>
      <c r="K37" s="102">
        <f>IF(B37=1,0,IF(C37="","",COUNTIF(C$3:C36,C37)))</f>
        <v>0</v>
      </c>
      <c r="L37" s="128" t="e">
        <f ca="1">IF(I37="","",I37-IF(D37="预留长度",G37,0)-IF(#REF!=J37,IF(#REF!="预留长度",#REF!,0),0)-IF(#REF!=J37,IF(#REF!="预留长度",#REF!,0),0)-IF(#REF!=J37,IF(#REF!="预留长度",#REF!,0),0)-IF(J69=J37,IF(D69="预留长度",G69,0),0)-IF(J76=J37,IF(D76="预留长度",G76,0),0)-IF(J77=J37,IF(D77="预留长度",G77,0),0)-IF(J78=J37,IF(D78="预留长度",G78,0),0)-IF(J80=J37,IF(D80="预留长度",G78,0),0)-IF(J81=J37,IF(D81="预留长度",G78,0),0)-IF(J78=J37,IF(D82="预留长度",G82,0),0)-IF(J83=J37,IF(D83="预留长度",G78,0),0))</f>
        <v>#REF!</v>
      </c>
    </row>
    <row r="38" customHeight="1" spans="1:12">
      <c r="A38" s="112">
        <f>IF(K38=0,COUNTIF(K$3:K38,0),"")</f>
        <v>34</v>
      </c>
      <c r="B38" s="113"/>
      <c r="C38" s="114" t="s">
        <v>68</v>
      </c>
      <c r="D38" s="115"/>
      <c r="E38" s="116" t="s">
        <v>31</v>
      </c>
      <c r="F38" s="117">
        <v>0.8168</v>
      </c>
      <c r="G38" s="100">
        <f ca="1" t="shared" si="3"/>
        <v>0.82</v>
      </c>
      <c r="I38" s="127">
        <f ca="1" t="shared" si="2"/>
        <v>0.82</v>
      </c>
      <c r="J38" s="102">
        <f>IF(F38="","",COUNTA($C$3:$C38))</f>
        <v>34</v>
      </c>
      <c r="K38" s="102">
        <f>IF(B38=1,0,IF(C38="","",COUNTIF(C$3:C37,C38)))</f>
        <v>0</v>
      </c>
      <c r="L38" s="128" t="e">
        <f ca="1">IF(I38="","",I38-IF(D38="预留长度",G38,0)-IF(#REF!=J38,IF(#REF!="预留长度",#REF!,0),0)-IF(#REF!=J38,IF(#REF!="预留长度",#REF!,0),0)-IF(J69=J38,IF(D69="预留长度",G69,0),0)-IF(J70=J38,IF(D70="预留长度",G70,0),0)-IF(J77=J38,IF(D77="预留长度",G77,0),0)-IF(J78=J38,IF(D78="预留长度",G78,0),0)-IF(J79=J38,IF(D79="预留长度",G79,0),0)-IF(J81=J38,IF(D81="预留长度",G79,0),0)-IF(J82=J38,IF(D82="预留长度",G79,0),0)-IF(J79=J38,IF(D83="预留长度",G83,0),0)-IF(#REF!=J38,IF(#REF!="预留长度",G79,0),0))</f>
        <v>#REF!</v>
      </c>
    </row>
    <row r="39" customHeight="1" spans="1:12">
      <c r="A39" s="112">
        <f>IF(K39=0,COUNTIF(K$3:K39,0),"")</f>
        <v>35</v>
      </c>
      <c r="B39" s="113"/>
      <c r="C39" s="114" t="s">
        <v>69</v>
      </c>
      <c r="D39" s="115"/>
      <c r="E39" s="116" t="s">
        <v>0</v>
      </c>
      <c r="F39" s="117">
        <v>374.06</v>
      </c>
      <c r="G39" s="100">
        <f ca="1" t="shared" si="3"/>
        <v>374.06</v>
      </c>
      <c r="I39" s="127">
        <f ca="1" t="shared" si="2"/>
        <v>374.06</v>
      </c>
      <c r="J39" s="102">
        <f>IF(F39="","",COUNTA($C$3:$C39))</f>
        <v>35</v>
      </c>
      <c r="K39" s="102">
        <f>IF(B39=1,0,IF(C39="","",COUNTIF(C$3:C38,C39)))</f>
        <v>0</v>
      </c>
      <c r="L39" s="128" t="e">
        <f ca="1">IF(I39="","",I39-IF(D39="预留长度",G39,0)-IF(#REF!=J39,IF(#REF!="预留长度",#REF!,0),0)-IF(J69=J39,IF(D69="预留长度",G69,0),0)-IF(J70=J39,IF(D70="预留长度",G70,0),0)-IF(J71=J39,IF(D71="预留长度",G71,0),0)-IF(J78=J39,IF(D78="预留长度",G78,0),0)-IF(J79=J39,IF(D79="预留长度",G79,0),0)-IF(J80=J39,IF(D80="预留长度",G80,0),0)-IF(J82=J39,IF(D82="预留长度",G80,0),0)-IF(J83=J39,IF(D83="预留长度",G80,0),0)-IF(J80=J39,IF(#REF!="预留长度",#REF!,0),0)-IF(#REF!=J39,IF(#REF!="预留长度",G80,0),0))</f>
        <v>#REF!</v>
      </c>
    </row>
    <row r="40" customHeight="1" spans="1:12">
      <c r="A40" s="112">
        <f>IF(K40=0,COUNTIF(K$3:K40,0),"")</f>
        <v>36</v>
      </c>
      <c r="B40" s="113"/>
      <c r="C40" s="114" t="s">
        <v>70</v>
      </c>
      <c r="D40" s="115"/>
      <c r="E40" s="116" t="s">
        <v>28</v>
      </c>
      <c r="F40" s="117" t="s">
        <v>71</v>
      </c>
      <c r="G40" s="100">
        <f ca="1" t="shared" si="3"/>
        <v>423.4</v>
      </c>
      <c r="I40" s="127">
        <f ca="1" t="shared" si="2"/>
        <v>423.4</v>
      </c>
      <c r="J40" s="102">
        <f>IF(F40="","",COUNTA($C$3:$C40))</f>
        <v>36</v>
      </c>
      <c r="K40" s="102">
        <f>IF(B40=1,0,IF(C40="","",COUNTIF(C$3:C39,C40)))</f>
        <v>0</v>
      </c>
      <c r="L40" s="128" t="e">
        <f ca="1">IF(I40="","",I40-IF(D40="预留长度",G40,0)-IF(J69=J40,IF(D69="预留长度",G69,0),0)-IF(J70=J40,IF(D70="预留长度",G70,0),0)-IF(J71=J40,IF(D71="预留长度",G71,0),0)-IF(J72=J40,IF(D72="预留长度",G72,0),0)-IF(J79=J40,IF(D79="预留长度",G79,0),0)-IF(J80=J40,IF(D80="预留长度",G80,0),0)-IF(J81=J40,IF(D81="预留长度",G81,0),0)-IF(J83=J40,IF(D83="预留长度",G81,0),0)-IF(#REF!=J40,IF(#REF!="预留长度",G81,0),0)-IF(J81=J40,IF(#REF!="预留长度",#REF!,0),0)-IF(#REF!=J40,IF(#REF!="预留长度",G81,0),0))</f>
        <v>#REF!</v>
      </c>
    </row>
    <row r="41" customHeight="1" spans="1:12">
      <c r="A41" s="112">
        <f>IF(K41=0,COUNTIF(K$3:K41,0),"")</f>
        <v>37</v>
      </c>
      <c r="B41" s="113"/>
      <c r="C41" s="114" t="s">
        <v>72</v>
      </c>
      <c r="D41" s="115"/>
      <c r="E41" s="116" t="s">
        <v>28</v>
      </c>
      <c r="F41" s="117">
        <v>63.11</v>
      </c>
      <c r="G41" s="100">
        <f ca="1" t="shared" si="3"/>
        <v>63.11</v>
      </c>
      <c r="I41" s="127">
        <f ca="1" t="shared" si="2"/>
        <v>63.11</v>
      </c>
      <c r="J41" s="102">
        <f>IF(F41="","",COUNTA($C$3:$C41))</f>
        <v>37</v>
      </c>
      <c r="K41" s="102">
        <f>IF(B41=1,0,IF(C41="","",COUNTIF(C$3:C40,C41)))</f>
        <v>0</v>
      </c>
      <c r="L41" s="128" t="e">
        <f ca="1">IF(I41="","",I41-IF(D41="预留长度",G41,0)-IF(J70=J41,IF(D70="预留长度",G70,0),0)-IF(J71=J41,IF(D71="预留长度",G71,0),0)-IF(J72=J41,IF(D72="预留长度",G72,0),0)-IF(J73=J41,IF(D73="预留长度",G73,0),0)-IF(J80=J41,IF(D80="预留长度",G80,0),0)-IF(J81=J41,IF(D81="预留长度",G81,0),0)-IF(J82=J41,IF(D82="预留长度",G82,0),0)-IF(#REF!=J41,IF(#REF!="预留长度",G82,0),0)-IF(#REF!=J41,IF(#REF!="预留长度",G82,0),0)-IF(J82=J41,IF(#REF!="预留长度",#REF!,0),0)-IF(#REF!=J41,IF(#REF!="预留长度",G82,0),0))</f>
        <v>#REF!</v>
      </c>
    </row>
    <row r="42" customHeight="1" spans="1:12">
      <c r="A42" s="112">
        <f>IF(K42=0,COUNTIF(K$3:K42,0),"")</f>
        <v>38</v>
      </c>
      <c r="B42" s="113"/>
      <c r="C42" s="114" t="s">
        <v>73</v>
      </c>
      <c r="D42" s="115"/>
      <c r="E42" s="116" t="s">
        <v>28</v>
      </c>
      <c r="F42" s="117" t="s">
        <v>74</v>
      </c>
      <c r="G42" s="100">
        <f ca="1" t="shared" si="3"/>
        <v>619.42</v>
      </c>
      <c r="I42" s="127">
        <f ca="1" t="shared" si="2"/>
        <v>619.42</v>
      </c>
      <c r="J42" s="102">
        <f>IF(F42="","",COUNTA($C$3:$C42))</f>
        <v>38</v>
      </c>
      <c r="K42" s="102">
        <f>IF(B42=1,0,IF(C42="","",COUNTIF(C$3:C41,C42)))</f>
        <v>0</v>
      </c>
      <c r="L42" s="128" t="e">
        <f ca="1">IF(I42="","",I42-IF(D42="预留长度",G42,0)-IF(J71=J42,IF(D71="预留长度",G71,0),0)-IF(J72=J42,IF(D72="预留长度",G72,0),0)-IF(J73=J42,IF(D73="预留长度",G73,0),0)-IF(J74=J42,IF(D74="预留长度",G74,0),0)-IF(J81=J42,IF(D81="预留长度",G81,0),0)-IF(J82=J42,IF(D82="预留长度",G82,0),0)-IF(J83=J42,IF(D83="预留长度",G83,0),0)-IF(#REF!=J42,IF(#REF!="预留长度",G83,0),0)-IF(#REF!=J42,IF(#REF!="预留长度",G83,0),0)-IF(J83=J42,IF(#REF!="预留长度",#REF!,0),0)-IF(#REF!=J42,IF(#REF!="预留长度",G83,0),0))</f>
        <v>#REF!</v>
      </c>
    </row>
    <row r="43" ht="14.25" spans="1:12">
      <c r="A43" s="112">
        <f>IF(K43=0,COUNTIF(K$3:K43,0),"")</f>
        <v>39</v>
      </c>
      <c r="B43" s="113"/>
      <c r="C43" s="114" t="s">
        <v>75</v>
      </c>
      <c r="D43" s="115"/>
      <c r="E43" s="116" t="s">
        <v>28</v>
      </c>
      <c r="F43" s="117">
        <v>250.1701</v>
      </c>
      <c r="G43" s="100">
        <f ca="1" t="shared" si="3"/>
        <v>250.17</v>
      </c>
      <c r="I43" s="127">
        <f ca="1" t="shared" si="2"/>
        <v>250.17</v>
      </c>
      <c r="J43" s="102">
        <f>IF(F43="","",COUNTA($C$3:$C43))</f>
        <v>39</v>
      </c>
      <c r="K43" s="102">
        <f>IF(B43=1,0,IF(C43="","",COUNTIF(C$3:C42,C43)))</f>
        <v>0</v>
      </c>
      <c r="L43" s="128" t="e">
        <f ca="1">IF(I43="","",I43-IF(D43="预留长度",G43,0)-IF(J72=J43,IF(D72="预留长度",G72,0),0)-IF(J73=J43,IF(D73="预留长度",G73,0),0)-IF(J74=J43,IF(D74="预留长度",G74,0),0)-IF(J75=J43,IF(D75="预留长度",G75,0),0)-IF(J82=J43,IF(D82="预留长度",G82,0),0)-IF(J83=J43,IF(D83="预留长度",G83,0),0)-IF(#REF!=J43,IF(#REF!="预留长度",#REF!,0),0)-IF(#REF!=J43,IF(#REF!="预留长度",#REF!,0),0)-IF(#REF!=J43,IF(#REF!="预留长度",#REF!,0),0)-IF(#REF!=J43,IF(#REF!="预留长度",#REF!,0),0)-IF(#REF!=J43,IF(#REF!="预留长度",#REF!,0),0))</f>
        <v>#REF!</v>
      </c>
    </row>
    <row r="44" customHeight="1" spans="1:12">
      <c r="A44" s="112">
        <f>IF(K44=0,COUNTIF(K$3:K44,0),"")</f>
        <v>40</v>
      </c>
      <c r="B44" s="113"/>
      <c r="C44" s="114" t="s">
        <v>76</v>
      </c>
      <c r="D44" s="115"/>
      <c r="E44" s="116" t="s">
        <v>28</v>
      </c>
      <c r="F44" s="117" t="s">
        <v>77</v>
      </c>
      <c r="G44" s="100">
        <f ca="1" t="shared" si="3"/>
        <v>20.01</v>
      </c>
      <c r="I44" s="127">
        <f ca="1" t="shared" si="2"/>
        <v>72.1</v>
      </c>
      <c r="J44" s="102">
        <f>IF(F44="","",COUNTA($C$3:$C44))</f>
        <v>40</v>
      </c>
      <c r="K44" s="102">
        <f>IF(B44=1,0,IF(C44="","",COUNTIF(C$3:C43,C44)))</f>
        <v>0</v>
      </c>
      <c r="L44" s="128" t="e">
        <f ca="1">IF(I44="","",I44-IF(D44="预留长度",G44,0)-IF(J73=J44,IF(D73="预留长度",G73,0),0)-IF(J74=J44,IF(D74="预留长度",G74,0),0)-IF(J75=J44,IF(D75="预留长度",G75,0),0)-IF(J76=J44,IF(D76="预留长度",G76,0),0)-IF(J83=J44,IF(D83="预留长度",G83,0),0)-IF(#REF!=J44,IF(#REF!="预留长度",#REF!,0),0)-IF(#REF!=J44,IF(#REF!="预留长度",#REF!,0),0)-IF(#REF!=J44,IF(#REF!="预留长度",#REF!,0),0)-IF(#REF!=J44,IF(#REF!="预留长度",#REF!,0),0)-IF(#REF!=J44,IF(#REF!="预留长度",#REF!,0),0)-IF(#REF!=J44,IF(#REF!="预留长度",#REF!,0),0))</f>
        <v>#REF!</v>
      </c>
    </row>
    <row r="45" customHeight="1" outlineLevel="1" spans="1:12">
      <c r="A45" s="112" t="str">
        <f>IF(K45=0,COUNTIF(K$3:K45,0),"")</f>
        <v/>
      </c>
      <c r="B45" s="113"/>
      <c r="C45" s="114"/>
      <c r="D45" s="115" t="s">
        <v>78</v>
      </c>
      <c r="E45" s="116" t="s">
        <v>28</v>
      </c>
      <c r="F45" s="117" t="s">
        <v>79</v>
      </c>
      <c r="G45" s="100">
        <f ca="1" t="shared" si="3"/>
        <v>52.09</v>
      </c>
      <c r="I45" s="127" t="str">
        <f ca="1" t="shared" si="2"/>
        <v/>
      </c>
      <c r="J45" s="102">
        <f>IF(F45="","",COUNTA($C$3:$C45))</f>
        <v>40</v>
      </c>
      <c r="K45" s="102" t="str">
        <f>IF(B45=1,0,IF(C45="","",COUNTIF(C$3:C43,C45)))</f>
        <v/>
      </c>
      <c r="L45" s="128" t="str">
        <f ca="1">IF(I45="","",I45-IF(D45="预留长度",G45,0)-IF(J73=J45,IF(D73="预留长度",G73,0),0)-IF(J74=J45,IF(D74="预留长度",G74,0),0)-IF(J75=J45,IF(D75="预留长度",G75,0),0)-IF(J76=J45,IF(D76="预留长度",G76,0),0)-IF(J83=J45,IF(D83="预留长度",G83,0),0)-IF(#REF!=J45,IF(#REF!="预留长度",#REF!,0),0)-IF(#REF!=J45,IF(#REF!="预留长度",#REF!,0),0)-IF(#REF!=J45,IF(#REF!="预留长度",#REF!,0),0)-IF(#REF!=J45,IF(#REF!="预留长度",#REF!,0),0)-IF(#REF!=J45,IF(#REF!="预留长度",#REF!,0),0)-IF(#REF!=J45,IF(#REF!="预留长度",#REF!,0),0))</f>
        <v/>
      </c>
    </row>
    <row r="46" customHeight="1" outlineLevel="1" spans="1:12">
      <c r="A46" s="112" t="str">
        <f>IF(K46=0,COUNTIF(K$3:K46,0),"")</f>
        <v/>
      </c>
      <c r="B46" s="113"/>
      <c r="C46" s="114"/>
      <c r="D46" s="115"/>
      <c r="E46" s="116"/>
      <c r="F46" s="117"/>
      <c r="G46" s="100" t="str">
        <f ca="1" t="shared" si="3"/>
        <v/>
      </c>
      <c r="I46" s="127" t="str">
        <f ca="1" t="shared" si="2"/>
        <v/>
      </c>
      <c r="J46" s="102" t="str">
        <f>IF(F46="","",COUNTA($C$3:$C46))</f>
        <v/>
      </c>
      <c r="K46" s="102" t="str">
        <f>IF(B46=1,0,IF(C46="","",COUNTIF(C$3:C44,C46)))</f>
        <v/>
      </c>
      <c r="L46" s="128" t="str">
        <f ca="1">IF(I46="","",I46-IF(D46="预留长度",G46,0)-IF(J74=J46,IF(D74="预留长度",G74,0),0)-IF(J75=J46,IF(D75="预留长度",G75,0),0)-IF(J76=J46,IF(D76="预留长度",G76,0),0)-IF(J77=J46,IF(D77="预留长度",G77,0),0)-IF(#REF!=J46,IF(#REF!="预留长度",#REF!,0),0)-IF(#REF!=J46,IF(#REF!="预留长度",#REF!,0),0)-IF(#REF!=J46,IF(#REF!="预留长度",#REF!,0),0)-IF(#REF!=J46,IF(#REF!="预留长度",#REF!,0),0)-IF(#REF!=J46,IF(#REF!="预留长度",#REF!,0),0)-IF(#REF!=J46,IF(#REF!="预留长度",#REF!,0),0)-IF(#REF!=J46,IF(#REF!="预留长度",#REF!,0),0))</f>
        <v/>
      </c>
    </row>
    <row r="47" customHeight="1" spans="1:12">
      <c r="A47" s="112">
        <f>IF(K47=0,COUNTIF(K$3:K47,0),"")</f>
        <v>41</v>
      </c>
      <c r="B47" s="113"/>
      <c r="C47" s="114" t="s">
        <v>80</v>
      </c>
      <c r="D47" s="115"/>
      <c r="E47" s="116" t="s">
        <v>28</v>
      </c>
      <c r="F47" s="117">
        <v>42.3</v>
      </c>
      <c r="G47" s="100">
        <f ca="1" t="shared" si="3"/>
        <v>42.3</v>
      </c>
      <c r="I47" s="127">
        <f ca="1" t="shared" si="2"/>
        <v>311.37</v>
      </c>
      <c r="J47" s="102">
        <f>IF(F47="","",COUNTA($C$3:$C47))</f>
        <v>41</v>
      </c>
      <c r="K47" s="102">
        <f>IF(B47=1,0,IF(C47="","",COUNTIF(C$3:C46,C47)))</f>
        <v>0</v>
      </c>
      <c r="L47" s="128" t="e">
        <f ca="1">IF(I47="","",I47-IF(D47="预留长度",G47,0)-IF(J76=J47,IF(D76="预留长度",G76,0),0)-IF(J77=J47,IF(D77="预留长度",G77,0),0)-IF(J78=J47,IF(D78="预留长度",G78,0),0)-IF(J79=J47,IF(D79="预留长度",G79,0),0)-IF(#REF!=J47,IF(#REF!="预留长度",#REF!,0),0)-IF(#REF!=J47,IF(#REF!="预留长度",#REF!,0),0)-IF(#REF!=J47,IF(#REF!="预留长度",#REF!,0),0)-IF(#REF!=J47,IF(#REF!="预留长度",#REF!,0),0)-IF(#REF!=J47,IF(#REF!="预留长度",#REF!,0),0)-IF(#REF!=J47,IF(#REF!="预留长度",#REF!,0),0)-IF(#REF!=J47,IF(#REF!="预留长度",#REF!,0),0))</f>
        <v>#REF!</v>
      </c>
    </row>
    <row r="48" customHeight="1" outlineLevel="1" spans="1:12">
      <c r="A48" s="112" t="str">
        <f>IF(K48=0,COUNTIF(K$3:K48,0),"")</f>
        <v/>
      </c>
      <c r="B48" s="118"/>
      <c r="C48" s="114"/>
      <c r="D48" s="114" t="s">
        <v>81</v>
      </c>
      <c r="E48" s="116" t="s">
        <v>28</v>
      </c>
      <c r="F48" s="117">
        <v>89.685</v>
      </c>
      <c r="G48" s="100">
        <f ca="1" t="shared" si="3"/>
        <v>89.69</v>
      </c>
      <c r="I48" s="127" t="str">
        <f ca="1" t="shared" si="2"/>
        <v/>
      </c>
      <c r="J48" s="102">
        <f>IF(F48="","",COUNTA($C$3:$C48))</f>
        <v>41</v>
      </c>
      <c r="K48" s="102" t="str">
        <f>IF(B48=1,0,IF(C48="","",COUNTIF(C$3:C47,C48)))</f>
        <v/>
      </c>
      <c r="L48" s="128" t="str">
        <f ca="1">IF(I48="","",I48-IF(D48="预留长度",G48,0)-IF(J77=J48,IF(D77="预留长度",G77,0),0)-IF(J78=J48,IF(D78="预留长度",G78,0),0)-IF(J79=J48,IF(D79="预留长度",G79,0),0)-IF(J80=J48,IF(D80="预留长度",G80,0),0)-IF(#REF!=J48,IF(#REF!="预留长度",#REF!,0),0)-IF(#REF!=J48,IF(#REF!="预留长度",#REF!,0),0)-IF(#REF!=J48,IF(#REF!="预留长度",#REF!,0),0)-IF(#REF!=J48,IF(#REF!="预留长度",#REF!,0),0)-IF(#REF!=J48,IF(#REF!="预留长度",#REF!,0),0)-IF(#REF!=J48,IF(#REF!="预留长度",#REF!,0),0)-IF(#REF!=J48,IF(#REF!="预留长度",#REF!,0),0))</f>
        <v/>
      </c>
    </row>
    <row r="49" customHeight="1" outlineLevel="1" spans="1:12">
      <c r="A49" s="112" t="str">
        <f>IF(K49=0,COUNTIF(K$3:K49,0),"")</f>
        <v/>
      </c>
      <c r="B49" s="118"/>
      <c r="C49" s="114"/>
      <c r="D49" s="114" t="s">
        <v>82</v>
      </c>
      <c r="E49" s="116" t="s">
        <v>28</v>
      </c>
      <c r="F49" s="117">
        <v>89.685</v>
      </c>
      <c r="G49" s="100">
        <f ca="1" t="shared" si="3"/>
        <v>89.69</v>
      </c>
      <c r="I49" s="127" t="str">
        <f ca="1" t="shared" si="2"/>
        <v/>
      </c>
      <c r="J49" s="102">
        <f>IF(F49="","",COUNTA($C$3:$C49))</f>
        <v>41</v>
      </c>
      <c r="K49" s="102" t="str">
        <f>IF(B49=1,0,IF(C49="","",COUNTIF(C$3:C48,C49)))</f>
        <v/>
      </c>
      <c r="L49" s="128" t="str">
        <f ca="1">IF(I49="","",I49-IF(D49="预留长度",G49,0)-IF(J78=J49,IF(D78="预留长度",G78,0),0)-IF(J79=J49,IF(D79="预留长度",G79,0),0)-IF(J80=J49,IF(D80="预留长度",G80,0),0)-IF(J81=J49,IF(D81="预留长度",G81,0),0)-IF(#REF!=J49,IF(#REF!="预留长度",#REF!,0),0)-IF(#REF!=J49,IF(#REF!="预留长度",#REF!,0),0)-IF(#REF!=J49,IF(#REF!="预留长度",#REF!,0),0)-IF(#REF!=J49,IF(#REF!="预留长度",#REF!,0),0)-IF(#REF!=J49,IF(#REF!="预留长度",#REF!,0),0)-IF(#REF!=J49,IF(#REF!="预留长度",#REF!,0),0)-IF(#REF!=J49,IF(#REF!="预留长度",#REF!,0),0))</f>
        <v/>
      </c>
    </row>
    <row r="50" customHeight="1" outlineLevel="1" spans="1:12">
      <c r="A50" s="112" t="str">
        <f>IF(K50=0,COUNTIF(K$3:K50,0),"")</f>
        <v/>
      </c>
      <c r="B50" s="118"/>
      <c r="C50" s="114"/>
      <c r="D50" s="114" t="s">
        <v>83</v>
      </c>
      <c r="E50" s="116" t="s">
        <v>28</v>
      </c>
      <c r="F50" s="117">
        <v>89.685</v>
      </c>
      <c r="G50" s="100">
        <f ca="1" t="shared" si="3"/>
        <v>89.69</v>
      </c>
      <c r="I50" s="127" t="str">
        <f ca="1" t="shared" si="2"/>
        <v/>
      </c>
      <c r="J50" s="102">
        <f>IF(F50="","",COUNTA($C$3:$C50))</f>
        <v>41</v>
      </c>
      <c r="K50" s="102" t="str">
        <f>IF(B50=1,0,IF(C50="","",COUNTIF(C$3:C49,C50)))</f>
        <v/>
      </c>
      <c r="L50" s="128" t="str">
        <f ca="1">IF(I50="","",I50-IF(D50="预留长度",G50,0)-IF(J79=J50,IF(D79="预留长度",G79,0),0)-IF(J80=J50,IF(D80="预留长度",G80,0),0)-IF(J81=J50,IF(D81="预留长度",G81,0),0)-IF(J82=J50,IF(D82="预留长度",G82,0),0)-IF(#REF!=J50,IF(#REF!="预留长度",#REF!,0),0)-IF(#REF!=J50,IF(#REF!="预留长度",#REF!,0),0)-IF(#REF!=J50,IF(#REF!="预留长度",#REF!,0),0)-IF(#REF!=J50,IF(#REF!="预留长度",#REF!,0),0)-IF(#REF!=J50,IF(#REF!="预留长度",#REF!,0),0)-IF(#REF!=J50,IF(#REF!="预留长度",#REF!,0),0)-IF(#REF!=J50,IF(#REF!="预留长度",#REF!,0),0))</f>
        <v/>
      </c>
    </row>
    <row r="51" customHeight="1" spans="1:12">
      <c r="A51" s="112">
        <f>IF(K51=0,COUNTIF(K$3:K51,0),"")</f>
        <v>42</v>
      </c>
      <c r="B51" s="113"/>
      <c r="C51" s="114" t="s">
        <v>84</v>
      </c>
      <c r="D51" s="115"/>
      <c r="E51" s="116" t="s">
        <v>31</v>
      </c>
      <c r="F51" s="117">
        <v>32.4655</v>
      </c>
      <c r="G51" s="100">
        <f ca="1" t="shared" si="3"/>
        <v>32.47</v>
      </c>
      <c r="I51" s="127">
        <f ca="1" t="shared" si="2"/>
        <v>32.47</v>
      </c>
      <c r="J51" s="102">
        <f>IF(F51="","",COUNTA($C$3:$C51))</f>
        <v>42</v>
      </c>
      <c r="K51" s="102">
        <f>IF(B51=1,0,IF(C51="","",COUNTIF(C$3:C50,C51)))</f>
        <v>0</v>
      </c>
      <c r="L51" s="128" t="e">
        <f ca="1">IF(I51="","",I51-IF(D51="预留长度",G51,0)-IF(J80=J51,IF(D80="预留长度",G80,0),0)-IF(J81=J51,IF(D81="预留长度",G81,0),0)-IF(J82=J51,IF(D82="预留长度",G82,0),0)-IF(J83=J51,IF(D83="预留长度",G83,0),0)-IF(#REF!=J51,IF(#REF!="预留长度",#REF!,0),0)-IF(#REF!=J51,IF(#REF!="预留长度",#REF!,0),0)-IF(#REF!=J51,IF(#REF!="预留长度",#REF!,0),0)-IF(#REF!=J51,IF(#REF!="预留长度",#REF!,0),0)-IF(#REF!=J51,IF(#REF!="预留长度",#REF!,0),0)-IF(#REF!=J51,IF(#REF!="预留长度",#REF!,0),0)-IF(#REF!=J51,IF(#REF!="预留长度",#REF!,0),0))</f>
        <v>#REF!</v>
      </c>
    </row>
    <row r="52" customHeight="1" spans="1:14">
      <c r="A52" s="112">
        <f>IF(K52=0,COUNTIF(K$3:K52,0),"")</f>
        <v>43</v>
      </c>
      <c r="B52" s="113"/>
      <c r="C52" s="114" t="s">
        <v>85</v>
      </c>
      <c r="D52" s="115"/>
      <c r="E52" s="116"/>
      <c r="F52" s="119" t="s">
        <v>86</v>
      </c>
      <c r="G52" s="100">
        <f ca="1" t="shared" si="3"/>
        <v>42.73</v>
      </c>
      <c r="I52" s="127">
        <f ca="1" t="shared" si="2"/>
        <v>42.73</v>
      </c>
      <c r="J52" s="102">
        <f>IF(F52="","",COUNTA($C$3:$C52))</f>
        <v>43</v>
      </c>
      <c r="K52" s="102">
        <f>IF(B52=1,0,IF(C52="","",COUNTIF(C$3:C51,C52)))</f>
        <v>0</v>
      </c>
      <c r="L52" s="128" t="e">
        <f ca="1">IF(I52="","",I52-IF(D52="预留长度",G52,0)-IF(J61=J52,IF(D61="预留长度",G61,0),0)-IF(J63=J52,IF(D63="预留长度",G63,0),0)-IF(J64=J52,IF(D64="预留长度",G64,0),0)-IF(J65=J52,IF(D65="预留长度",G65,0),0)-IF(J66=J52,IF(D66="预留长度",G66,0),0)-IF(J67=J52,IF(D67="预留长度",G67,0),0)-IF(#REF!=J52,IF(#REF!="预留长度",#REF!,0),0)-IF(#REF!=J52,IF(#REF!="预留长度",#REF!,0),0)-IF(#REF!=J52,IF(#REF!="预留长度",#REF!,0),0)-IF(#REF!=J52,IF(#REF!="预留长度",#REF!,0),0)-IF(#REF!=J52,IF(#REF!="预留长度",#REF!,0),0))</f>
        <v>#REF!</v>
      </c>
      <c r="N52" s="130"/>
    </row>
    <row r="53" customHeight="1" outlineLevel="1" spans="1:14">
      <c r="A53" s="112"/>
      <c r="B53" s="120"/>
      <c r="C53" s="114"/>
      <c r="D53" s="115" t="s">
        <v>87</v>
      </c>
      <c r="E53" s="116" t="s">
        <v>5</v>
      </c>
      <c r="F53" s="119" t="s">
        <v>88</v>
      </c>
      <c r="G53" s="100">
        <f ca="1" t="shared" si="3"/>
        <v>17.69</v>
      </c>
      <c r="I53" s="127"/>
      <c r="L53" s="128"/>
      <c r="N53" s="130"/>
    </row>
    <row r="54" customHeight="1" outlineLevel="1" spans="1:14">
      <c r="A54" s="112"/>
      <c r="B54" s="120"/>
      <c r="C54" s="114"/>
      <c r="D54" s="115" t="s">
        <v>89</v>
      </c>
      <c r="E54" s="116" t="s">
        <v>5</v>
      </c>
      <c r="F54" s="119" t="s">
        <v>90</v>
      </c>
      <c r="G54" s="100">
        <f ca="1" t="shared" si="3"/>
        <v>16.05</v>
      </c>
      <c r="I54" s="127"/>
      <c r="L54" s="128"/>
      <c r="N54" s="130"/>
    </row>
    <row r="55" customHeight="1" outlineLevel="1" spans="1:14">
      <c r="A55" s="112"/>
      <c r="B55" s="120"/>
      <c r="C55" s="114"/>
      <c r="D55" s="115" t="s">
        <v>91</v>
      </c>
      <c r="E55" s="116" t="s">
        <v>5</v>
      </c>
      <c r="F55" s="119" t="s">
        <v>92</v>
      </c>
      <c r="G55" s="100">
        <f ca="1" t="shared" si="3"/>
        <v>8.99</v>
      </c>
      <c r="I55" s="127"/>
      <c r="L55" s="128"/>
      <c r="N55" s="130"/>
    </row>
    <row r="56" customHeight="1" outlineLevel="1" spans="1:14">
      <c r="A56" s="112"/>
      <c r="B56" s="120"/>
      <c r="C56" s="114"/>
      <c r="D56" s="115" t="s">
        <v>93</v>
      </c>
      <c r="E56" s="116" t="s">
        <v>7</v>
      </c>
      <c r="F56" s="119" t="s">
        <v>94</v>
      </c>
      <c r="G56" s="100">
        <f ca="1" t="shared" si="3"/>
        <v>320</v>
      </c>
      <c r="I56" s="127"/>
      <c r="L56" s="128"/>
      <c r="N56" s="130"/>
    </row>
    <row r="57" customHeight="1" outlineLevel="1" spans="1:14">
      <c r="A57" s="112"/>
      <c r="B57" s="120"/>
      <c r="C57" s="114"/>
      <c r="D57" s="115" t="s">
        <v>95</v>
      </c>
      <c r="E57" s="116" t="s">
        <v>7</v>
      </c>
      <c r="F57" s="119" t="s">
        <v>96</v>
      </c>
      <c r="G57" s="100">
        <f ca="1" t="shared" si="3"/>
        <v>354</v>
      </c>
      <c r="I57" s="127"/>
      <c r="L57" s="128"/>
      <c r="N57" s="130"/>
    </row>
    <row r="58" customHeight="1" spans="1:14">
      <c r="A58" s="112">
        <f>IF(K58=0,COUNTIF(K$3:K58,0),"")</f>
        <v>44</v>
      </c>
      <c r="B58" s="113"/>
      <c r="C58" s="114" t="s">
        <v>97</v>
      </c>
      <c r="D58" s="115"/>
      <c r="E58" s="116" t="s">
        <v>28</v>
      </c>
      <c r="F58" s="117" t="s">
        <v>98</v>
      </c>
      <c r="G58" s="100">
        <f ca="1" t="shared" ref="G58:G67" si="4">IF(F58="","",sl)</f>
        <v>9.94</v>
      </c>
      <c r="I58" s="127">
        <f ca="1" t="shared" ref="I58:I67" si="5">IF(C58&lt;&gt;"",SUMIF(J:J,$J58,G:G),"")</f>
        <v>9.94</v>
      </c>
      <c r="J58" s="102">
        <f>IF(F58="","",COUNTA($C$3:$C58))</f>
        <v>44</v>
      </c>
      <c r="K58" s="102">
        <f>IF(B58=1,0,IF(C58="","",COUNTIF(C$3:C52,C58)))</f>
        <v>0</v>
      </c>
      <c r="L58" s="128" t="e">
        <f ca="1">IF(I58="","",I58-IF(D58="预留长度",G58,0)-IF(J62=J58,IF(D62="预留长度",G62,0),0)-IF(J64=J58,IF(D64="预留长度",G64,0),0)-IF(J65=J58,IF(D65="预留长度",G65,0),0)-IF(J66=J58,IF(D66="预留长度",G66,0),0)-IF(J67=J58,IF(D67="预留长度",G67,0),0)-IF(#REF!=J58,IF(#REF!="预留长度",#REF!,0),0)-IF(#REF!=J58,IF(#REF!="预留长度",#REF!,0),0)-IF(#REF!=J58,IF(#REF!="预留长度",#REF!,0),0)-IF(#REF!=J58,IF(#REF!="预留长度",#REF!,0),0)-IF(#REF!=J58,IF(#REF!="预留长度",#REF!,0),0)-IF(#REF!=J58,IF(#REF!="预留长度",#REF!,0),0))</f>
        <v>#REF!</v>
      </c>
      <c r="N58" s="130"/>
    </row>
    <row r="59" customHeight="1" spans="1:18">
      <c r="A59" s="112">
        <f>IF(K59=0,COUNTIF(K$3:K59,0),"")</f>
        <v>45</v>
      </c>
      <c r="B59" s="113"/>
      <c r="C59" s="114" t="s">
        <v>99</v>
      </c>
      <c r="D59" s="115"/>
      <c r="E59" s="116" t="s">
        <v>28</v>
      </c>
      <c r="F59" s="119" t="s">
        <v>100</v>
      </c>
      <c r="G59" s="100">
        <f ca="1" t="shared" si="4"/>
        <v>0.16</v>
      </c>
      <c r="I59" s="127">
        <f ca="1" t="shared" si="5"/>
        <v>0.16</v>
      </c>
      <c r="J59" s="102">
        <f>IF(F59="","",COUNTA($C$3:$C59))</f>
        <v>45</v>
      </c>
      <c r="K59" s="102">
        <f>IF(B59=1,0,IF(C59="","",COUNTIF(C$3:C52,C59)))</f>
        <v>0</v>
      </c>
      <c r="L59" s="128" t="e">
        <f ca="1">IF(I59="","",I59-IF(D59="预留长度",G59,0)-IF(J63=J59,IF(D63="预留长度",G63,0),0)-IF(J64=J59,IF(D64="预留长度",G64,0),0)-IF(J65=J59,IF(D65="预留长度",G65,0),0)-IF(J66=J59,IF(D66="预留长度",G66,0),0)-IF(J67=J59,IF(D67="预留长度",G67,0),0)-IF(#REF!=J59,IF(#REF!="预留长度",#REF!,0),0)-IF(#REF!=J59,IF(#REF!="预留长度",#REF!,0),0)-IF(#REF!=J59,IF(#REF!="预留长度",#REF!,0),0)-IF(#REF!=J59,IF(#REF!="预留长度",#REF!,0),0)-IF(#REF!=J59,IF(#REF!="预留长度",#REF!,0),0)-IF(#REF!=J59,IF(#REF!="预留长度",#REF!,0),0))</f>
        <v>#REF!</v>
      </c>
      <c r="N59" s="130"/>
      <c r="O59" s="93"/>
      <c r="P59" s="93"/>
      <c r="R59" s="93"/>
    </row>
    <row r="60" customHeight="1" spans="1:14">
      <c r="A60" s="112">
        <f>IF(K60=0,COUNTIF(K$3:K60,0),"")</f>
        <v>46</v>
      </c>
      <c r="B60" s="113"/>
      <c r="C60" s="114" t="s">
        <v>101</v>
      </c>
      <c r="D60" s="115" t="s">
        <v>102</v>
      </c>
      <c r="E60" s="116"/>
      <c r="F60" s="119"/>
      <c r="G60" s="100" t="str">
        <f ca="1" t="shared" si="4"/>
        <v/>
      </c>
      <c r="I60" s="127">
        <f ca="1" t="shared" si="5"/>
        <v>840.12</v>
      </c>
      <c r="J60" s="102" t="str">
        <f>IF(F60="","",COUNTA($C$3:$C60))</f>
        <v/>
      </c>
      <c r="K60" s="102">
        <f>IF(B60=1,0,IF(C60="","",COUNTIF(C$3:C59,C60)))</f>
        <v>0</v>
      </c>
      <c r="L60" s="128" t="e">
        <f ca="1">IF(I60="","",I60-IF(D60="预留长度",G60,0)-IF(J64=J60,IF(D64="预留长度",G64,0),0)-IF(J65=J60,IF(D65="预留长度",G65,0),0)-IF(J66=J60,IF(D66="预留长度",G66,0),0)-IF(J67=J60,IF(D67="预留长度",G67,0),0)-IF(#REF!=J60,IF(#REF!="预留长度",#REF!,0),0)-IF(#REF!=J60,IF(#REF!="预留长度",#REF!,0),0)-IF(#REF!=J60,IF(#REF!="预留长度",#REF!,0),0)-IF(#REF!=J60,IF(#REF!="预留长度",#REF!,0),0)-IF(#REF!=J60,IF(#REF!="预留长度",#REF!,0),0)-IF(#REF!=J60,IF(#REF!="预留长度",#REF!,0),0)-IF(#REF!=J60,IF(#REF!="预留长度",#REF!,0),0))</f>
        <v>#REF!</v>
      </c>
      <c r="N60" s="130"/>
    </row>
    <row r="61" customHeight="1" spans="1:14">
      <c r="A61" s="112">
        <f>IF(K61=0,COUNTIF(K$3:K61,0),"")</f>
        <v>47</v>
      </c>
      <c r="B61" s="113"/>
      <c r="C61" s="114" t="s">
        <v>103</v>
      </c>
      <c r="D61" s="115" t="s">
        <v>104</v>
      </c>
      <c r="E61" s="116" t="s">
        <v>7</v>
      </c>
      <c r="F61" s="119" t="s">
        <v>105</v>
      </c>
      <c r="G61" s="100">
        <f ca="1" t="shared" si="4"/>
        <v>1</v>
      </c>
      <c r="I61" s="127">
        <f ca="1" t="shared" si="5"/>
        <v>1</v>
      </c>
      <c r="J61" s="102">
        <f>IF(F61="","",COUNTA($C$3:$C61))</f>
        <v>47</v>
      </c>
      <c r="K61" s="102">
        <f>IF(B61=1,0,IF(C61="","",COUNTIF(C$3:C60,C61)))</f>
        <v>0</v>
      </c>
      <c r="L61" s="128" t="e">
        <f ca="1">IF(I61="","",I61-IF(D61="预留长度",G61,0)-IF(J65=J61,IF(D65="预留长度",G65,0),0)-IF(J66=J61,IF(D66="预留长度",G66,0),0)-IF(J67=J61,IF(D67="预留长度",G67,0),0)-IF(#REF!=J61,IF(#REF!="预留长度",#REF!,0),0)-IF(#REF!=J61,IF(#REF!="预留长度",#REF!,0),0)-IF(#REF!=J61,IF(#REF!="预留长度",#REF!,0),0)-IF(#REF!=J61,IF(#REF!="预留长度",#REF!,0),0)-IF(#REF!=J61,IF(#REF!="预留长度",#REF!,0),0)-IF(#REF!=J61,IF(#REF!="预留长度",#REF!,0),0)-IF(#REF!=J61,IF(#REF!="预留长度",#REF!,0),0)-IF(#REF!=J61,IF(#REF!="预留长度",#REF!,0),0))</f>
        <v>#REF!</v>
      </c>
      <c r="N61" s="130"/>
    </row>
    <row r="62" customHeight="1" spans="1:14">
      <c r="A62" s="112">
        <f>IF(K62=0,COUNTIF(K$3:K62,0),"")</f>
        <v>48</v>
      </c>
      <c r="B62" s="113"/>
      <c r="C62" s="114" t="s">
        <v>106</v>
      </c>
      <c r="D62" s="115" t="s">
        <v>107</v>
      </c>
      <c r="E62" s="116" t="s">
        <v>7</v>
      </c>
      <c r="F62" s="119" t="s">
        <v>105</v>
      </c>
      <c r="G62" s="100">
        <f ca="1" t="shared" si="4"/>
        <v>1</v>
      </c>
      <c r="I62" s="127">
        <f ca="1" t="shared" si="5"/>
        <v>1</v>
      </c>
      <c r="J62" s="102">
        <f>IF(F62="","",COUNTA($C$3:$C62))</f>
        <v>48</v>
      </c>
      <c r="K62" s="102">
        <f>IF(B62=1,0,IF(C62="","",COUNTIF(C$3:C61,C62)))</f>
        <v>0</v>
      </c>
      <c r="L62" s="128" t="e">
        <f ca="1">IF(I62="","",I62-IF(D62="预留长度",G62,0)-IF(J66=J62,IF(D66="预留长度",G66,0),0)-IF(J67=J62,IF(D67="预留长度",G67,0),0)-IF(#REF!=J62,IF(#REF!="预留长度",#REF!,0),0)-IF(#REF!=J62,IF(#REF!="预留长度",#REF!,0),0)-IF(#REF!=J62,IF(#REF!="预留长度",#REF!,0),0)-IF(#REF!=J62,IF(#REF!="预留长度",#REF!,0),0)-IF(#REF!=J62,IF(#REF!="预留长度",#REF!,0),0)-IF(#REF!=J62,IF(#REF!="预留长度",#REF!,0),0)-IF(#REF!=J62,IF(#REF!="预留长度",#REF!,0),0)-IF(#REF!=J62,IF(#REF!="预留长度",#REF!,0),0)-IF(J69=J62,IF(D69="预留长度",#REF!,0),0))</f>
        <v>#REF!</v>
      </c>
      <c r="N62" s="130"/>
    </row>
    <row r="63" customHeight="1" spans="1:14">
      <c r="A63" s="112">
        <f>IF(K63=0,COUNTIF(K$3:K63,0),"")</f>
        <v>49</v>
      </c>
      <c r="B63" s="113"/>
      <c r="C63" s="114" t="s">
        <v>108</v>
      </c>
      <c r="D63" s="115" t="s">
        <v>109</v>
      </c>
      <c r="E63" s="116" t="s">
        <v>0</v>
      </c>
      <c r="F63" s="119" t="s">
        <v>110</v>
      </c>
      <c r="G63" s="100">
        <f ca="1" t="shared" si="4"/>
        <v>46.8</v>
      </c>
      <c r="I63" s="127">
        <f ca="1" t="shared" si="5"/>
        <v>46.8</v>
      </c>
      <c r="J63" s="102">
        <f>IF(F63="","",COUNTA($C$3:$C63))</f>
        <v>49</v>
      </c>
      <c r="K63" s="102">
        <f>IF(B63=1,0,IF(C63="","",COUNTIF(C$3:C62,C63)))</f>
        <v>0</v>
      </c>
      <c r="L63" s="128" t="e">
        <f ca="1">IF(I63="","",I63-IF(D63="预留长度",G63,0)-IF(J67=J63,IF(D67="预留长度",G67,0),0)-IF(#REF!=J63,IF(#REF!="预留长度",#REF!,0),0)-IF(#REF!=J63,IF(#REF!="预留长度",#REF!,0),0)-IF(#REF!=J63,IF(#REF!="预留长度",#REF!,0),0)-IF(#REF!=J63,IF(#REF!="预留长度",#REF!,0),0)-IF(#REF!=J63,IF(#REF!="预留长度",#REF!,0),0)-IF(#REF!=J63,IF(#REF!="预留长度",#REF!,0),0)-IF(#REF!=J63,IF(#REF!="预留长度",#REF!,0),0)-IF(#REF!=J63,IF(#REF!="预留长度",#REF!,0),0)-IF(#REF!=J63,IF(D69="预留长度",G69,0),0)-IF(J70=J63,IF(D70="预留长度",#REF!,0),0))</f>
        <v>#REF!</v>
      </c>
      <c r="N63" s="130"/>
    </row>
    <row r="64" customHeight="1" spans="1:18">
      <c r="A64" s="112">
        <f>IF(K64=0,COUNTIF(K$3:K64,0),"")</f>
        <v>50</v>
      </c>
      <c r="B64" s="113"/>
      <c r="C64" s="114" t="s">
        <v>111</v>
      </c>
      <c r="D64" s="115" t="s">
        <v>112</v>
      </c>
      <c r="E64" s="116" t="s">
        <v>7</v>
      </c>
      <c r="F64" s="119" t="s">
        <v>113</v>
      </c>
      <c r="G64" s="100">
        <f ca="1" t="shared" si="4"/>
        <v>5</v>
      </c>
      <c r="I64" s="127">
        <f ca="1" t="shared" si="5"/>
        <v>5</v>
      </c>
      <c r="J64" s="102">
        <f>IF(F64="","",COUNTA($C$3:$C64))</f>
        <v>50</v>
      </c>
      <c r="K64" s="102">
        <f>IF(B64=1,0,IF(C64="","",COUNTIF(C$3:C63,C64)))</f>
        <v>0</v>
      </c>
      <c r="L64" s="128" t="e">
        <f ca="1">IF(I64="","",I64-IF(D64="预留长度",G64,0)-IF(J67=J64,IF(D67="预留长度",G67,0),0)-IF(#REF!=J64,IF(#REF!="预留长度",#REF!,0),0)-IF(#REF!=J64,IF(#REF!="预留长度",#REF!,0),0)-IF(#REF!=J64,IF(#REF!="预留长度",#REF!,0),0)-IF(#REF!=J64,IF(#REF!="预留长度",#REF!,0),0)-IF(#REF!=J64,IF(#REF!="预留长度",#REF!,0),0)-IF(#REF!=J64,IF(#REF!="预留长度",#REF!,0),0)-IF(#REF!=J64,IF(#REF!="预留长度",#REF!,0),0)-IF(#REF!=J64,IF(#REF!="预留长度",#REF!,0),0)-IF(#REF!=J64,IF(D69="预留长度",G69,0),0)-IF(J70=J64,IF(D70="预留长度",#REF!,0),0))</f>
        <v>#REF!</v>
      </c>
      <c r="O64" s="93"/>
      <c r="P64" s="93"/>
      <c r="R64" s="93"/>
    </row>
    <row r="65" customHeight="1" spans="1:12">
      <c r="A65" s="112">
        <f>IF(K65=0,COUNTIF(K$3:K65,0),"")</f>
        <v>51</v>
      </c>
      <c r="B65" s="113"/>
      <c r="C65" s="114" t="s">
        <v>114</v>
      </c>
      <c r="D65" s="115"/>
      <c r="E65" s="116" t="s">
        <v>7</v>
      </c>
      <c r="F65" s="119" t="s">
        <v>105</v>
      </c>
      <c r="G65" s="100">
        <f ca="1" t="shared" si="4"/>
        <v>1</v>
      </c>
      <c r="I65" s="127">
        <f ca="1" t="shared" si="5"/>
        <v>1</v>
      </c>
      <c r="J65" s="102">
        <f>IF(F65="","",COUNTA($C$3:$C65))</f>
        <v>51</v>
      </c>
      <c r="K65" s="102">
        <f>IF(B65=1,0,IF(C65="","",COUNTIF(C$3:C64,C65)))</f>
        <v>0</v>
      </c>
      <c r="L65" s="128" t="e">
        <f ca="1">IF(I65="","",I65-IF(D65="预留长度",G65,0)-IF(#REF!=J65,IF(#REF!="预留长度",#REF!,0),0)-IF(#REF!=J65,IF(#REF!="预留长度",#REF!,0),0)-IF(#REF!=J65,IF(#REF!="预留长度",#REF!,0),0)-IF(#REF!=J65,IF(#REF!="预留长度",#REF!,0),0)-IF(#REF!=J65,IF(#REF!="预留长度",#REF!,0),0)-IF(#REF!=J65,IF(#REF!="预留长度",#REF!,0),0)-IF(#REF!=J65,IF(#REF!="预留长度",#REF!,0),0)-IF(#REF!=J65,IF(#REF!="预留长度",#REF!,0),0)-IF(J69=J65,IF(D69="预留长度",#REF!,0),0)-IF(#REF!=J65,IF(D70="预留长度",G70,0),0)-IF(J71=J65,IF(D71="预留长度",#REF!,0),0))</f>
        <v>#REF!</v>
      </c>
    </row>
    <row r="66" customHeight="1" spans="1:12">
      <c r="A66" s="112">
        <f>IF(K66=0,COUNTIF(K$3:K66,0),"")</f>
        <v>52</v>
      </c>
      <c r="B66" s="113"/>
      <c r="C66" s="97" t="s">
        <v>115</v>
      </c>
      <c r="D66" s="115"/>
      <c r="E66" s="116"/>
      <c r="F66" s="117"/>
      <c r="G66" s="100" t="str">
        <f ca="1" t="shared" si="4"/>
        <v/>
      </c>
      <c r="I66" s="127">
        <f ca="1" t="shared" si="5"/>
        <v>840.12</v>
      </c>
      <c r="J66" s="102" t="str">
        <f>IF(F66="","",COUNTA($C$3:$C66))</f>
        <v/>
      </c>
      <c r="K66" s="102">
        <f>IF(B66=1,0,IF(C66="","",COUNTIF(C$3:C65,C66)))</f>
        <v>0</v>
      </c>
      <c r="L66" s="128" t="e">
        <f ca="1">IF(I66="","",I66-IF(D66="预留长度",G66,0)-IF(#REF!=J66,IF(#REF!="预留长度",#REF!,0),0)-IF(#REF!=J66,IF(#REF!="预留长度",#REF!,0),0)-IF(#REF!=J66,IF(#REF!="预留长度",#REF!,0),0)-IF(#REF!=J66,IF(#REF!="预留长度",#REF!,0),0)-IF(#REF!=J66,IF(#REF!="预留长度",#REF!,0),0)-IF(#REF!=J66,IF(#REF!="预留长度",#REF!,0),0)-IF(#REF!=J66,IF(#REF!="预留长度",#REF!,0),0)-IF(J69=J66,IF(D69="预留长度",#REF!,0),0)-IF(J70=J66,IF(D70="预留长度",#REF!,0),0)-IF(#REF!=J66,IF(D71="预留长度",G71,0),0)-IF(J72=J66,IF(D72="预留长度",#REF!,0),0))</f>
        <v>#REF!</v>
      </c>
    </row>
    <row r="67" customHeight="1" spans="1:12">
      <c r="A67" s="112">
        <f>IF(K67=0,COUNTIF(K$3:K67,0),"")</f>
        <v>53</v>
      </c>
      <c r="B67" s="113"/>
      <c r="C67" s="114" t="s">
        <v>116</v>
      </c>
      <c r="D67" s="115"/>
      <c r="E67" s="116"/>
      <c r="F67" s="119"/>
      <c r="G67" s="100" t="str">
        <f ca="1" t="shared" si="4"/>
        <v/>
      </c>
      <c r="I67" s="127">
        <f ca="1" t="shared" si="5"/>
        <v>840.12</v>
      </c>
      <c r="J67" s="102" t="str">
        <f>IF(F67="","",COUNTA($C$3:$C67))</f>
        <v/>
      </c>
      <c r="K67" s="102">
        <f>IF(B67=1,0,IF(C67="","",COUNTIF(C$3:C66,C67)))</f>
        <v>0</v>
      </c>
      <c r="L67" s="128" t="e">
        <f ca="1">IF(I67="","",I67-IF(D67="预留长度",G67,0)-IF(#REF!=J67,IF(#REF!="预留长度",#REF!,0),0)-IF(#REF!=J67,IF(#REF!="预留长度",#REF!,0),0)-IF(#REF!=J67,IF(#REF!="预留长度",#REF!,0),0)-IF(#REF!=J67,IF(#REF!="预留长度",#REF!,0),0)-IF(#REF!=J67,IF(#REF!="预留长度",#REF!,0),0)-IF(#REF!=J67,IF(#REF!="预留长度",#REF!,0),0)-IF(J69=J67,IF(D69="预留长度",G69,0),0)-IF(J70=J67,IF(D70="预留长度",G69,0),0)-IF(J71=J67,IF(D71="预留长度",G69,0),0)-IF(J69=J67,IF(D72="预留长度",G72,0),0)-IF(J73=J67,IF(D73="预留长度",G69,0),0))</f>
        <v>#REF!</v>
      </c>
    </row>
    <row r="68" customHeight="1" spans="1:12">
      <c r="A68" s="112"/>
      <c r="B68" s="113"/>
      <c r="C68" s="114"/>
      <c r="D68" s="115"/>
      <c r="E68" s="116"/>
      <c r="F68" s="119"/>
      <c r="I68" s="127"/>
      <c r="L68" s="128"/>
    </row>
    <row r="69" customHeight="1" spans="1:12">
      <c r="A69" s="112">
        <f>IF(K69=0,COUNTIF(K$3:K69,0),"")</f>
        <v>54</v>
      </c>
      <c r="B69" s="113"/>
      <c r="C69" s="114" t="s">
        <v>117</v>
      </c>
      <c r="D69" s="115"/>
      <c r="E69" s="116"/>
      <c r="F69" s="119">
        <v>19.5999</v>
      </c>
      <c r="G69" s="100">
        <f ca="1" t="shared" ref="G69:G83" si="6">IF(F69="","",sl)</f>
        <v>19.6</v>
      </c>
      <c r="I69" s="127">
        <f ca="1" t="shared" ref="I69:I83" si="7">IF(C69&lt;&gt;"",SUMIF(J:J,$J69,G:G),"")</f>
        <v>19.6</v>
      </c>
      <c r="J69" s="102">
        <f>IF(F69="","",COUNTA($C$3:$C69))</f>
        <v>54</v>
      </c>
      <c r="K69" s="102">
        <f>IF(B69=1,0,IF(C69="","",COUNTIF(C$3:C67,C69)))</f>
        <v>0</v>
      </c>
      <c r="L69" s="128">
        <f ca="1">IF(I69="","",I69-IF(D69="预留长度",G69,0)-IF(J72=J69,IF(D72="预留长度",G72,0),0)-IF(J73=J69,IF(D73="预留长度",G73,0),0)-IF(J74=J69,IF(D74="预留长度",G74,0),0)-IF(J75=J69,IF(D75="预留长度",G75,0),0)-IF(J76=J69,IF(D76="预留长度",G76,0),0)-IF(J77=J69,IF(D77="预留长度",G77,0),0)-IF(J78=J69,IF(D78="预留长度",G78,0),0)-IF(J79=J69,IF(D79="预留长度",G78,0),0)-IF(J80=J69,IF(D80="预留长度",G78,0),0)-IF(J78=J69,IF(D81="预留长度",G81,0),0)-IF(J82=J69,IF(D82="预留长度",G78,0),0))</f>
        <v>19.6</v>
      </c>
    </row>
    <row r="70" customHeight="1" spans="1:12">
      <c r="A70" s="112">
        <f>IF(K70=0,COUNTIF(K$3:K70,0),"")</f>
        <v>55</v>
      </c>
      <c r="B70" s="113"/>
      <c r="C70" s="114" t="s">
        <v>118</v>
      </c>
      <c r="D70" s="115"/>
      <c r="E70" s="116"/>
      <c r="F70" s="117">
        <v>55.3162</v>
      </c>
      <c r="G70" s="100">
        <f ca="1" t="shared" si="6"/>
        <v>55.32</v>
      </c>
      <c r="I70" s="127">
        <f ca="1" t="shared" si="7"/>
        <v>55.32</v>
      </c>
      <c r="J70" s="102">
        <f>IF(F70="","",COUNTA($C$3:$C70))</f>
        <v>55</v>
      </c>
      <c r="K70" s="102">
        <f>IF(B70=1,0,IF(C70="","",COUNTIF(C$3:C69,C70)))</f>
        <v>0</v>
      </c>
      <c r="L70" s="128">
        <f ca="1">IF(I70="","",I70-IF(D70="预留长度",G70,0)-IF(J73=J70,IF(D73="预留长度",G73,0),0)-IF(J74=J70,IF(D74="预留长度",G74,0),0)-IF(J75=J70,IF(D75="预留长度",G75,0),0)-IF(J76=J70,IF(D76="预留长度",G76,0),0)-IF(J77=J70,IF(D77="预留长度",G77,0),0)-IF(J78=J70,IF(D78="预留长度",G78,0),0)-IF(J79=J70,IF(D79="预留长度",G79,0),0)-IF(J80=J70,IF(D80="预留长度",G79,0),0)-IF(J81=J70,IF(D81="预留长度",G79,0),0)-IF(J79=J70,IF(D82="预留长度",G82,0),0)-IF(J83=J70,IF(D83="预留长度",G79,0),0))</f>
        <v>55.32</v>
      </c>
    </row>
    <row r="71" customHeight="1" spans="1:12">
      <c r="A71" s="112">
        <f>IF(K71=0,COUNTIF(K$3:K71,0),"")</f>
        <v>56</v>
      </c>
      <c r="B71" s="113"/>
      <c r="C71" s="114" t="s">
        <v>119</v>
      </c>
      <c r="D71" s="115"/>
      <c r="E71" s="116"/>
      <c r="F71" s="119">
        <v>50.2884</v>
      </c>
      <c r="G71" s="100">
        <f ca="1" t="shared" si="6"/>
        <v>50.29</v>
      </c>
      <c r="I71" s="127">
        <f ca="1" t="shared" si="7"/>
        <v>50.29</v>
      </c>
      <c r="J71" s="102">
        <f>IF(F71="","",COUNTA($C$3:$C71))</f>
        <v>56</v>
      </c>
      <c r="K71" s="102">
        <f>IF(B71=1,0,IF(C71="","",COUNTIF(C$3:C70,C71)))</f>
        <v>0</v>
      </c>
      <c r="L71" s="128" t="e">
        <f ca="1">IF(I71="","",I71-IF(D71="预留长度",G71,0)-IF(J74=J71,IF(D74="预留长度",G74,0),0)-IF(J75=J71,IF(D75="预留长度",G75,0),0)-IF(J76=J71,IF(D76="预留长度",G76,0),0)-IF(J77=J71,IF(D77="预留长度",G77,0),0)-IF(J78=J71,IF(D78="预留长度",G78,0),0)-IF(J79=J71,IF(D79="预留长度",G79,0),0)-IF(J80=J71,IF(D80="预留长度",G80,0),0)-IF(J81=J71,IF(D81="预留长度",G80,0),0)-IF(J82=J71,IF(D82="预留长度",G80,0),0)-IF(J80=J71,IF(D83="预留长度",G83,0),0)-IF(#REF!=J71,IF(#REF!="预留长度",G80,0),0))</f>
        <v>#REF!</v>
      </c>
    </row>
    <row r="72" customHeight="1" spans="1:12">
      <c r="A72" s="112">
        <f>IF(K72=0,COUNTIF(K$3:K72,0),"")</f>
        <v>57</v>
      </c>
      <c r="B72" s="113"/>
      <c r="C72" s="114" t="s">
        <v>120</v>
      </c>
      <c r="D72" s="115"/>
      <c r="E72" s="116"/>
      <c r="F72" s="119">
        <v>15.0085</v>
      </c>
      <c r="G72" s="100">
        <f ca="1" t="shared" si="6"/>
        <v>15.01</v>
      </c>
      <c r="I72" s="127">
        <f ca="1" t="shared" si="7"/>
        <v>15.01</v>
      </c>
      <c r="J72" s="102">
        <f>IF(F72="","",COUNTA($C$3:$C72))</f>
        <v>57</v>
      </c>
      <c r="K72" s="102">
        <f>IF(B72=1,0,IF(C72="","",COUNTIF(C$3:C71,C72)))</f>
        <v>0</v>
      </c>
      <c r="L72" s="128" t="e">
        <f ca="1">IF(I72="","",I72-IF(D72="预留长度",G72,0)-IF(J75=J72,IF(D75="预留长度",G75,0),0)-IF(J76=J72,IF(D76="预留长度",G76,0),0)-IF(J77=J72,IF(D77="预留长度",G77,0),0)-IF(J78=J72,IF(D78="预留长度",G78,0),0)-IF(J79=J72,IF(D79="预留长度",G79,0),0)-IF(J80=J72,IF(D80="预留长度",G80,0),0)-IF(J81=J72,IF(D81="预留长度",G81,0),0)-IF(J82=J72,IF(D82="预留长度",G81,0),0)-IF(J83=J72,IF(D83="预留长度",G81,0),0)-IF(J81=J72,IF(#REF!="预留长度",#REF!,0),0)-IF(#REF!=J72,IF(#REF!="预留长度",G81,0),0))</f>
        <v>#REF!</v>
      </c>
    </row>
    <row r="73" customHeight="1" spans="1:12">
      <c r="A73" s="112">
        <f>IF(K73=0,COUNTIF(K$3:K73,0),"")</f>
        <v>58</v>
      </c>
      <c r="B73" s="113"/>
      <c r="C73" s="114" t="s">
        <v>121</v>
      </c>
      <c r="D73" s="115"/>
      <c r="E73" s="116"/>
      <c r="F73" s="119">
        <v>67.7718</v>
      </c>
      <c r="G73" s="100">
        <f ca="1" t="shared" si="6"/>
        <v>67.77</v>
      </c>
      <c r="I73" s="127">
        <f ca="1" t="shared" si="7"/>
        <v>67.77</v>
      </c>
      <c r="J73" s="102">
        <f>IF(F73="","",COUNTA($C$3:$C73))</f>
        <v>58</v>
      </c>
      <c r="K73" s="102">
        <f>IF(B73=1,0,IF(C73="","",COUNTIF(C$3:C72,C73)))</f>
        <v>0</v>
      </c>
      <c r="L73" s="128" t="e">
        <f ca="1">IF(I73="","",I73-IF(D73="预留长度",G73,0)-IF(J76=J73,IF(D76="预留长度",G76,0),0)-IF(J77=J73,IF(D77="预留长度",G77,0),0)-IF(J78=J73,IF(D78="预留长度",G78,0),0)-IF(J79=J73,IF(D79="预留长度",G79,0),0)-IF(J80=J73,IF(D80="预留长度",G80,0),0)-IF(J81=J73,IF(D81="预留长度",G81,0),0)-IF(J82=J73,IF(D82="预留长度",G82,0),0)-IF(J83=J73,IF(D83="预留长度",G82,0),0)-IF(#REF!=J73,IF(#REF!="预留长度",G82,0),0)-IF(J82=J73,IF(#REF!="预留长度",#REF!,0),0)-IF(#REF!=J73,IF(#REF!="预留长度",G82,0),0))</f>
        <v>#REF!</v>
      </c>
    </row>
    <row r="74" customHeight="1" spans="1:12">
      <c r="A74" s="112">
        <f>IF(K74=0,COUNTIF(K$3:K74,0),"")</f>
        <v>59</v>
      </c>
      <c r="B74" s="113"/>
      <c r="C74" s="114" t="s">
        <v>122</v>
      </c>
      <c r="D74" s="115"/>
      <c r="E74" s="116"/>
      <c r="F74" s="119">
        <v>294.0726</v>
      </c>
      <c r="G74" s="100">
        <f ca="1" t="shared" si="6"/>
        <v>294.07</v>
      </c>
      <c r="I74" s="127">
        <f ca="1" t="shared" si="7"/>
        <v>294.07</v>
      </c>
      <c r="J74" s="102">
        <f>IF(F74="","",COUNTA($C$3:$C74))</f>
        <v>59</v>
      </c>
      <c r="K74" s="102">
        <f>IF(B74=1,0,IF(C74="","",COUNTIF(C$3:C73,C74)))</f>
        <v>0</v>
      </c>
      <c r="L74" s="128" t="e">
        <f ca="1">IF(I74="","",I74-IF(D74="预留长度",G74,0)-IF(J77=J74,IF(D77="预留长度",G77,0),0)-IF(J78=J74,IF(D78="预留长度",G78,0),0)-IF(J79=J74,IF(D79="预留长度",G79,0),0)-IF(J80=J74,IF(D80="预留长度",G80,0),0)-IF(J81=J74,IF(D81="预留长度",G81,0),0)-IF(J82=J74,IF(D82="预留长度",G82,0),0)-IF(J83=J74,IF(D83="预留长度",G83,0),0)-IF(#REF!=J74,IF(#REF!="预留长度",G83,0),0)-IF(#REF!=J74,IF(#REF!="预留长度",G83,0),0)-IF(J83=J74,IF(#REF!="预留长度",#REF!,0),0)-IF(#REF!=J74,IF(#REF!="预留长度",G83,0),0))</f>
        <v>#REF!</v>
      </c>
    </row>
    <row r="75" customHeight="1" spans="1:12">
      <c r="A75" s="112">
        <f>IF(K75=0,COUNTIF(K$3:K75,0),"")</f>
        <v>60</v>
      </c>
      <c r="B75" s="113"/>
      <c r="C75" s="114" t="s">
        <v>123</v>
      </c>
      <c r="D75" s="115"/>
      <c r="E75" s="116"/>
      <c r="F75" s="119">
        <v>429.2404</v>
      </c>
      <c r="G75" s="100">
        <f ca="1" t="shared" si="6"/>
        <v>429.24</v>
      </c>
      <c r="I75" s="127">
        <f ca="1" t="shared" si="7"/>
        <v>429.24</v>
      </c>
      <c r="J75" s="102">
        <f>IF(F75="","",COUNTA($C$3:$C75))</f>
        <v>60</v>
      </c>
      <c r="K75" s="102">
        <f>IF(B75=1,0,IF(C75="","",COUNTIF(C$3:C74,C75)))</f>
        <v>0</v>
      </c>
      <c r="L75" s="128" t="e">
        <f ca="1">IF(I75="","",I75-IF(D75="预留长度",G75,0)-IF(J78=J75,IF(D78="预留长度",G78,0),0)-IF(J79=J75,IF(D79="预留长度",G79,0),0)-IF(J80=J75,IF(D80="预留长度",G80,0),0)-IF(J81=J75,IF(D81="预留长度",G81,0),0)-IF(J82=J75,IF(D82="预留长度",G82,0),0)-IF(J83=J75,IF(D83="预留长度",G83,0),0)-IF(#REF!=J75,IF(#REF!="预留长度",#REF!,0),0)-IF(#REF!=J75,IF(#REF!="预留长度",#REF!,0),0)-IF(#REF!=J75,IF(#REF!="预留长度",#REF!,0),0)-IF(#REF!=J75,IF(#REF!="预留长度",#REF!,0),0)-IF(#REF!=J75,IF(#REF!="预留长度",#REF!,0),0))</f>
        <v>#REF!</v>
      </c>
    </row>
    <row r="76" customHeight="1" spans="1:12">
      <c r="A76" s="112">
        <f>IF(K76=0,COUNTIF(K$3:K76,0),"")</f>
        <v>61</v>
      </c>
      <c r="B76" s="113"/>
      <c r="C76" s="114" t="s">
        <v>124</v>
      </c>
      <c r="D76" s="115"/>
      <c r="E76" s="116"/>
      <c r="F76" s="119">
        <v>124.5096</v>
      </c>
      <c r="G76" s="100">
        <f ca="1" t="shared" si="6"/>
        <v>124.51</v>
      </c>
      <c r="I76" s="127">
        <f ca="1" t="shared" si="7"/>
        <v>124.51</v>
      </c>
      <c r="J76" s="102">
        <f>IF(F76="","",COUNTA($C$3:$C76))</f>
        <v>61</v>
      </c>
      <c r="K76" s="102">
        <f>IF(B76=1,0,IF(C76="","",COUNTIF(C$3:C75,C76)))</f>
        <v>0</v>
      </c>
      <c r="L76" s="128" t="e">
        <f ca="1">IF(I76="","",I76-IF(D76="预留长度",G76,0)-IF(J79=J76,IF(D79="预留长度",G79,0),0)-IF(J80=J76,IF(D80="预留长度",G80,0),0)-IF(J81=J76,IF(D81="预留长度",G81,0),0)-IF(J82=J76,IF(D82="预留长度",G82,0),0)-IF(J83=J76,IF(D83="预留长度",G83,0),0)-IF(#REF!=J76,IF(#REF!="预留长度",#REF!,0),0)-IF(#REF!=J76,IF(#REF!="预留长度",#REF!,0),0)-IF(#REF!=J76,IF(#REF!="预留长度",#REF!,0),0)-IF(#REF!=J76,IF(#REF!="预留长度",#REF!,0),0)-IF(#REF!=J76,IF(#REF!="预留长度",#REF!,0),0)-IF(#REF!=J76,IF(#REF!="预留长度",#REF!,0),0))</f>
        <v>#REF!</v>
      </c>
    </row>
    <row r="77" customHeight="1" spans="1:12">
      <c r="A77" s="112">
        <f>IF(K77=0,COUNTIF(K$3:K77,0),"")</f>
        <v>62</v>
      </c>
      <c r="B77" s="113"/>
      <c r="C77" s="114" t="s">
        <v>125</v>
      </c>
      <c r="D77" s="115"/>
      <c r="E77" s="116"/>
      <c r="F77" s="119">
        <v>477.2976</v>
      </c>
      <c r="G77" s="100">
        <f ca="1" t="shared" si="6"/>
        <v>477.3</v>
      </c>
      <c r="I77" s="127">
        <f ca="1" t="shared" si="7"/>
        <v>477.3</v>
      </c>
      <c r="J77" s="102">
        <f>IF(F77="","",COUNTA($C$3:$C77))</f>
        <v>62</v>
      </c>
      <c r="K77" s="102">
        <f>IF(B77=1,0,IF(C77="","",COUNTIF(C$3:C76,C77)))</f>
        <v>0</v>
      </c>
      <c r="L77" s="128" t="e">
        <f ca="1">IF(I77="","",I77-IF(D77="预留长度",G77,0)-IF(J80=J77,IF(D80="预留长度",G80,0),0)-IF(J81=J77,IF(D81="预留长度",G81,0),0)-IF(J82=J77,IF(D82="预留长度",G82,0),0)-IF(J83=J77,IF(D83="预留长度",G83,0),0)-IF(#REF!=J77,IF(#REF!="预留长度",#REF!,0),0)-IF(#REF!=J77,IF(#REF!="预留长度",#REF!,0),0)-IF(#REF!=J77,IF(#REF!="预留长度",#REF!,0),0)-IF(#REF!=J77,IF(#REF!="预留长度",#REF!,0),0)-IF(#REF!=J77,IF(#REF!="预留长度",#REF!,0),0)-IF(#REF!=J77,IF(#REF!="预留长度",#REF!,0),0)-IF(#REF!=J77,IF(#REF!="预留长度",#REF!,0),0))</f>
        <v>#REF!</v>
      </c>
    </row>
    <row r="78" customHeight="1" spans="1:12">
      <c r="A78" s="112">
        <f>IF(K78=0,COUNTIF(K$3:K78,0),"")</f>
        <v>63</v>
      </c>
      <c r="B78" s="113"/>
      <c r="C78" s="114" t="s">
        <v>126</v>
      </c>
      <c r="D78" s="115"/>
      <c r="E78" s="116"/>
      <c r="F78" s="117">
        <v>56.5663</v>
      </c>
      <c r="G78" s="100">
        <f ca="1" t="shared" si="6"/>
        <v>56.57</v>
      </c>
      <c r="I78" s="127">
        <f ca="1" t="shared" si="7"/>
        <v>56.57</v>
      </c>
      <c r="J78" s="102">
        <f>IF(F78="","",COUNTA($C$3:$C78))</f>
        <v>63</v>
      </c>
      <c r="K78" s="102">
        <f>IF(B78=1,0,IF(C78="","",COUNTIF(C$3:C77,C78)))</f>
        <v>0</v>
      </c>
      <c r="L78" s="128" t="e">
        <f ca="1">IF(I78="","",I78-IF(D78="预留长度",G78,0)-IF(J81=J78,IF(D81="预留长度",G81,0),0)-IF(J82=J78,IF(D82="预留长度",G82,0),0)-IF(J83=J78,IF(D83="预留长度",G83,0),0)-IF(#REF!=J78,IF(#REF!="预留长度",#REF!,0),0)-IF(#REF!=J78,IF(#REF!="预留长度",#REF!,0),0)-IF(#REF!=J78,IF(#REF!="预留长度",#REF!,0),0)-IF(#REF!=J78,IF(#REF!="预留长度",#REF!,0),0)-IF(#REF!=J78,IF(#REF!="预留长度",#REF!,0),0)-IF(#REF!=J78,IF(#REF!="预留长度",#REF!,0),0)-IF(#REF!=J78,IF(#REF!="预留长度",#REF!,0),0)-IF(#REF!=J78,IF(#REF!="预留长度",#REF!,0),0))</f>
        <v>#REF!</v>
      </c>
    </row>
    <row r="79" customHeight="1" spans="1:12">
      <c r="A79" s="112">
        <f>IF(K79=0,COUNTIF(K$3:K79,0),"")</f>
        <v>64</v>
      </c>
      <c r="B79" s="113"/>
      <c r="C79" s="114" t="s">
        <v>127</v>
      </c>
      <c r="D79" s="115"/>
      <c r="E79" s="116"/>
      <c r="F79" s="117">
        <v>84.5538</v>
      </c>
      <c r="G79" s="100">
        <f ca="1" t="shared" si="6"/>
        <v>84.55</v>
      </c>
      <c r="I79" s="127">
        <f ca="1" t="shared" si="7"/>
        <v>84.55</v>
      </c>
      <c r="J79" s="102">
        <f>IF(F79="","",COUNTA($C$3:$C79))</f>
        <v>64</v>
      </c>
      <c r="K79" s="102">
        <f>IF(B79=1,0,IF(C79="","",COUNTIF(C$3:C78,C79)))</f>
        <v>0</v>
      </c>
      <c r="L79" s="128" t="e">
        <f ca="1">IF(I79="","",I79-IF(D79="预留长度",G79,0)-IF(J82=J79,IF(D82="预留长度",G82,0),0)-IF(J83=J79,IF(D83="预留长度",G83,0),0)-IF(#REF!=J79,IF(#REF!="预留长度",#REF!,0),0)-IF(#REF!=J79,IF(#REF!="预留长度",#REF!,0),0)-IF(#REF!=J79,IF(#REF!="预留长度",#REF!,0),0)-IF(#REF!=J79,IF(#REF!="预留长度",#REF!,0),0)-IF(#REF!=J79,IF(#REF!="预留长度",#REF!,0),0)-IF(#REF!=J79,IF(#REF!="预留长度",#REF!,0),0)-IF(#REF!=J79,IF(#REF!="预留长度",#REF!,0),0)-IF(#REF!=J79,IF(#REF!="预留长度",#REF!,0),0)-IF(#REF!=J79,IF(#REF!="预留长度",#REF!,0),0))</f>
        <v>#REF!</v>
      </c>
    </row>
    <row r="80" customHeight="1" spans="1:12">
      <c r="A80" s="112">
        <f>IF(K80=0,COUNTIF(K$3:K80,0),"")</f>
        <v>65</v>
      </c>
      <c r="B80" s="113"/>
      <c r="C80" s="114" t="s">
        <v>128</v>
      </c>
      <c r="D80" s="115"/>
      <c r="E80" s="116"/>
      <c r="F80" s="117">
        <v>51.2777</v>
      </c>
      <c r="G80" s="100">
        <f ca="1" t="shared" si="6"/>
        <v>51.28</v>
      </c>
      <c r="I80" s="127">
        <f ca="1" t="shared" si="7"/>
        <v>51.28</v>
      </c>
      <c r="J80" s="102">
        <f>IF(F80="","",COUNTA($C$3:$C80))</f>
        <v>65</v>
      </c>
      <c r="K80" s="102">
        <f>IF(B80=1,0,IF(C80="","",COUNTIF(C$3:C79,C80)))</f>
        <v>0</v>
      </c>
      <c r="L80" s="128" t="e">
        <f ca="1">IF(I80="","",I80-IF(D80="预留长度",G80,0)-IF(J83=J80,IF(D83="预留长度",G83,0),0)-IF(#REF!=J80,IF(#REF!="预留长度",#REF!,0),0)-IF(#REF!=J80,IF(#REF!="预留长度",#REF!,0),0)-IF(#REF!=J80,IF(#REF!="预留长度",#REF!,0),0)-IF(#REF!=J80,IF(#REF!="预留长度",#REF!,0),0)-IF(#REF!=J80,IF(#REF!="预留长度",#REF!,0),0)-IF(#REF!=J80,IF(#REF!="预留长度",#REF!,0),0)-IF(#REF!=J80,IF(#REF!="预留长度",#REF!,0),0)-IF(#REF!=J80,IF(#REF!="预留长度",#REF!,0),0)-IF(#REF!=J80,IF(#REF!="预留长度",#REF!,0),0)-IF(#REF!=J80,IF(#REF!="预留长度",#REF!,0),0))</f>
        <v>#REF!</v>
      </c>
    </row>
    <row r="81" customHeight="1" spans="1:12">
      <c r="A81" s="112">
        <f>IF(K81=0,COUNTIF(K$3:K81,0),"")</f>
        <v>66</v>
      </c>
      <c r="B81" s="113"/>
      <c r="C81" s="114" t="s">
        <v>129</v>
      </c>
      <c r="D81" s="115"/>
      <c r="E81" s="116"/>
      <c r="F81" s="119">
        <v>558.0968</v>
      </c>
      <c r="G81" s="100">
        <f ca="1" t="shared" si="6"/>
        <v>558.1</v>
      </c>
      <c r="I81" s="127">
        <f ca="1" t="shared" si="7"/>
        <v>558.1</v>
      </c>
      <c r="J81" s="102">
        <f>IF(F81="","",COUNTA($C$3:$C81))</f>
        <v>66</v>
      </c>
      <c r="K81" s="102">
        <f>IF(B81=1,0,IF(C81="","",COUNTIF(C$3:C80,C81)))</f>
        <v>0</v>
      </c>
      <c r="L81" s="128" t="e">
        <f ca="1">IF(I81="","",I81-IF(D81="预留长度",G81,0)-IF(#REF!=J81,IF(#REF!="预留长度",#REF!,0),0)-IF(#REF!=J81,IF(#REF!="预留长度",#REF!,0),0)-IF(#REF!=J81,IF(#REF!="预留长度",#REF!,0),0)-IF(#REF!=J81,IF(#REF!="预留长度",#REF!,0),0)-IF(#REF!=J81,IF(#REF!="预留长度",#REF!,0),0)-IF(#REF!=J81,IF(#REF!="预留长度",#REF!,0),0)-IF(#REF!=J81,IF(#REF!="预留长度",#REF!,0),0)-IF(#REF!=J81,IF(#REF!="预留长度",#REF!,0),0)-IF(#REF!=J81,IF(#REF!="预留长度",#REF!,0),0)-IF(#REF!=J81,IF(#REF!="预留长度",#REF!,0),0)-IF(#REF!=J81,IF(#REF!="预留长度",#REF!,0),0))</f>
        <v>#REF!</v>
      </c>
    </row>
    <row r="82" customHeight="1" spans="1:12">
      <c r="A82" s="112">
        <f>IF(K82=0,COUNTIF(K$3:K82,0),"")</f>
        <v>67</v>
      </c>
      <c r="B82" s="113"/>
      <c r="C82" s="114" t="s">
        <v>130</v>
      </c>
      <c r="D82" s="115"/>
      <c r="E82" s="116"/>
      <c r="F82" s="119">
        <v>96.1413</v>
      </c>
      <c r="G82" s="100">
        <f ca="1" t="shared" si="6"/>
        <v>96.14</v>
      </c>
      <c r="I82" s="127">
        <f ca="1" t="shared" si="7"/>
        <v>96.14</v>
      </c>
      <c r="J82" s="102">
        <f>IF(F82="","",COUNTA($C$3:$C82))</f>
        <v>67</v>
      </c>
      <c r="K82" s="102">
        <f>IF(B82=1,0,IF(C82="","",COUNTIF(C$3:C81,C82)))</f>
        <v>0</v>
      </c>
      <c r="L82" s="128" t="e">
        <f ca="1">IF(I82="","",I82-IF(D82="预留长度",G82,0)-IF(#REF!=J82,IF(#REF!="预留长度",#REF!,0),0)-IF(#REF!=J82,IF(#REF!="预留长度",#REF!,0),0)-IF(#REF!=J82,IF(#REF!="预留长度",#REF!,0),0)-IF(#REF!=J82,IF(#REF!="预留长度",#REF!,0),0)-IF(#REF!=J82,IF(#REF!="预留长度",#REF!,0),0)-IF(#REF!=J82,IF(#REF!="预留长度",#REF!,0),0)-IF(#REF!=J82,IF(#REF!="预留长度",#REF!,0),0)-IF(#REF!=J82,IF(#REF!="预留长度",#REF!,0),0)-IF(#REF!=J82,IF(#REF!="预留长度",#REF!,0),0)-IF(#REF!=J82,IF(#REF!="预留长度",#REF!,0),0)-IF(#REF!=J82,IF(#REF!="预留长度",#REF!,0),0))</f>
        <v>#REF!</v>
      </c>
    </row>
    <row r="83" customHeight="1" spans="1:12">
      <c r="A83" s="112" t="str">
        <f>IF(K83=0,COUNTIF(K$3:K83,0),"")</f>
        <v/>
      </c>
      <c r="B83" s="113"/>
      <c r="C83" s="114"/>
      <c r="D83" s="115"/>
      <c r="E83" s="116"/>
      <c r="F83" s="119"/>
      <c r="G83" s="100" t="str">
        <f ca="1" t="shared" si="6"/>
        <v/>
      </c>
      <c r="I83" s="127" t="str">
        <f ca="1" t="shared" si="7"/>
        <v/>
      </c>
      <c r="J83" s="102" t="str">
        <f>IF(F83="","",COUNTA($C$3:$C83))</f>
        <v/>
      </c>
      <c r="K83" s="102" t="str">
        <f>IF(B83=1,0,IF(C83="","",COUNTIF(C$3:C82,C83)))</f>
        <v/>
      </c>
      <c r="L83" s="128" t="str">
        <f ca="1">IF(I83="","",I83-IF(D83="预留长度",G83,0)-IF(#REF!=J83,IF(#REF!="预留长度",#REF!,0),0)-IF(#REF!=J83,IF(#REF!="预留长度",#REF!,0),0)-IF(#REF!=J83,IF(#REF!="预留长度",#REF!,0),0)-IF(#REF!=J83,IF(#REF!="预留长度",#REF!,0),0)-IF(#REF!=J83,IF(#REF!="预留长度",#REF!,0),0)-IF(#REF!=J83,IF(#REF!="预留长度",#REF!,0),0)-IF(#REF!=J83,IF(#REF!="预留长度",#REF!,0),0)-IF(#REF!=J83,IF(#REF!="预留长度",#REF!,0),0)-IF(#REF!=J83,IF(#REF!="预留长度",#REF!,0),0)-IF(#REF!=J83,IF(#REF!="预留长度",#REF!,0),0)-IF(#REF!=J83,IF(#REF!="预留长度",#REF!,0),0))</f>
        <v/>
      </c>
    </row>
  </sheetData>
  <sheetProtection formatCells="0" formatColumns="0" formatRows="0" insertRows="0" deleteColumns="0" deleteRows="0" autoFilter="0"/>
  <mergeCells count="2">
    <mergeCell ref="B1:H1"/>
    <mergeCell ref="C2:D2"/>
  </mergeCells>
  <conditionalFormatting sqref="G3:H65536">
    <cfRule type="expression" priority="10" stopIfTrue="1">
      <formula>sl</formula>
    </cfRule>
    <cfRule type="expression" dxfId="0" priority="11" stopIfTrue="1">
      <formula>zl</formula>
    </cfRule>
  </conditionalFormatting>
  <dataValidations count="2">
    <dataValidation type="list" allowBlank="1" sqref="C3 C23 D23 D24 C52 C64 C65 C67 C68 C4:C5 C6:C22 C24:C44 C45:C46 C47:C51 C53:C57 C58:C63 C69:C83 D48:D50">
      <formula1>xm</formula1>
    </dataValidation>
    <dataValidation type="list" allowBlank="1" showInputMessage="1" showErrorMessage="1" sqref="E3 E23 E39 E45 E46 E51 E52 E68 E4:E5 E6:E18 E19:E22 E24:E29 E30:E36 E37:E38 E40:E44 E47:E50 E53:E57 E58:E67 E69:E83">
      <formula1>dw</formula1>
    </dataValidation>
  </dataValidations>
  <printOptions horizontalCentered="1"/>
  <pageMargins left="0.688888888888889" right="0.559027777777778" top="0.790277777777778" bottom="0.4875" header="0.310416666666667" footer="0"/>
  <pageSetup paperSize="9" scale="94" orientation="landscape" blackAndWhite="1" horizontalDpi="600" verticalDpi="600"/>
  <headerFooter alignWithMargins="0" scaleWithDoc="0">
    <oddFooter>&amp;C第 &amp;P 页，共 &amp;N 页</oddFooter>
  </headerFooter>
  <colBreaks count="1" manualBreakCount="1">
    <brk id="8" max="6553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M109"/>
  <sheetViews>
    <sheetView tabSelected="1" zoomScale="85" zoomScaleNormal="85" workbookViewId="0">
      <pane ySplit="3" topLeftCell="A89" activePane="bottomLeft" state="frozen"/>
      <selection/>
      <selection pane="bottomLeft" activeCell="B88" sqref="B88"/>
    </sheetView>
  </sheetViews>
  <sheetFormatPr defaultColWidth="8.8" defaultRowHeight="19.95" customHeight="1"/>
  <cols>
    <col min="1" max="1" width="7.2" style="7" customWidth="1"/>
    <col min="2" max="2" width="35.7" customWidth="1"/>
    <col min="3" max="3" width="5.1" customWidth="1"/>
    <col min="4" max="4" width="9.6" style="8" customWidth="1"/>
    <col min="5" max="5" width="6" customWidth="1"/>
    <col min="6" max="6" width="12.4" customWidth="1"/>
    <col min="7" max="7" width="8.7" customWidth="1"/>
    <col min="8" max="8" width="36.7" style="9" hidden="1" customWidth="1" outlineLevel="1"/>
    <col min="9" max="9" width="19.4" style="9" customWidth="1" collapsed="1"/>
    <col min="10" max="10" width="10.2" customWidth="1" outlineLevel="1"/>
  </cols>
  <sheetData>
    <row r="1" ht="25.95" customHeight="1" spans="1:9">
      <c r="A1" s="10" t="s">
        <v>131</v>
      </c>
      <c r="B1" s="10"/>
      <c r="C1" s="10"/>
      <c r="D1" s="11"/>
      <c r="E1" s="10"/>
      <c r="F1" s="10"/>
      <c r="G1" s="10"/>
      <c r="H1" s="12"/>
      <c r="I1" s="12"/>
    </row>
    <row r="2" ht="24" customHeight="1" spans="1:9">
      <c r="A2" s="13" t="s">
        <v>132</v>
      </c>
      <c r="B2" s="14"/>
      <c r="C2" s="14"/>
      <c r="D2" s="15"/>
      <c r="E2" s="14"/>
      <c r="F2" s="14"/>
      <c r="G2" s="16">
        <v>620</v>
      </c>
      <c r="H2" s="17"/>
      <c r="I2" s="55"/>
    </row>
    <row r="3" customHeight="1" spans="1:10">
      <c r="A3" s="18" t="s">
        <v>17</v>
      </c>
      <c r="B3" s="18" t="s">
        <v>133</v>
      </c>
      <c r="C3" s="18" t="s">
        <v>19</v>
      </c>
      <c r="D3" s="19" t="s">
        <v>134</v>
      </c>
      <c r="E3" s="18" t="s">
        <v>135</v>
      </c>
      <c r="F3" s="18" t="s">
        <v>136</v>
      </c>
      <c r="G3" s="18" t="s">
        <v>137</v>
      </c>
      <c r="H3" s="18" t="s">
        <v>138</v>
      </c>
      <c r="I3" s="56" t="s">
        <v>139</v>
      </c>
      <c r="J3" s="57" t="s">
        <v>140</v>
      </c>
    </row>
    <row r="4" customHeight="1" spans="1:9">
      <c r="A4" s="20" t="s">
        <v>141</v>
      </c>
      <c r="B4" s="21" t="s">
        <v>142</v>
      </c>
      <c r="C4" s="22"/>
      <c r="D4" s="23"/>
      <c r="E4" s="22"/>
      <c r="F4" s="22"/>
      <c r="G4" s="24"/>
      <c r="H4" s="25"/>
      <c r="I4" s="25"/>
    </row>
    <row r="5" customHeight="1" spans="1:9">
      <c r="A5" s="26" t="s">
        <v>143</v>
      </c>
      <c r="B5" s="27" t="s">
        <v>144</v>
      </c>
      <c r="C5" s="28"/>
      <c r="D5" s="29"/>
      <c r="E5" s="28"/>
      <c r="F5" s="28"/>
      <c r="G5" s="30"/>
      <c r="H5" s="31"/>
      <c r="I5" s="58"/>
    </row>
    <row r="6" customHeight="1" spans="1:9">
      <c r="A6" s="18"/>
      <c r="B6" s="32" t="s">
        <v>145</v>
      </c>
      <c r="C6" s="18"/>
      <c r="D6" s="33"/>
      <c r="E6" s="18"/>
      <c r="F6" s="18"/>
      <c r="G6" s="34"/>
      <c r="H6" s="35"/>
      <c r="I6" s="59" t="s">
        <v>146</v>
      </c>
    </row>
    <row r="7" customHeight="1" spans="1:9">
      <c r="A7" s="18">
        <v>1</v>
      </c>
      <c r="B7" s="36" t="s">
        <v>147</v>
      </c>
      <c r="C7" s="18" t="s">
        <v>28</v>
      </c>
      <c r="D7" s="33">
        <v>620</v>
      </c>
      <c r="E7" s="18">
        <v>25</v>
      </c>
      <c r="F7" s="34">
        <f>E7*D7</f>
        <v>15500</v>
      </c>
      <c r="G7" s="34"/>
      <c r="H7" s="35"/>
      <c r="I7" s="59"/>
    </row>
    <row r="8" customHeight="1" spans="1:10">
      <c r="A8" s="18">
        <v>2</v>
      </c>
      <c r="B8" s="36" t="s">
        <v>148</v>
      </c>
      <c r="C8" s="18" t="s">
        <v>28</v>
      </c>
      <c r="D8" s="33">
        <v>620</v>
      </c>
      <c r="E8" s="18">
        <v>60</v>
      </c>
      <c r="F8" s="34">
        <f>E8*D8</f>
        <v>37200</v>
      </c>
      <c r="G8" s="34"/>
      <c r="H8" s="35"/>
      <c r="I8" s="59"/>
      <c r="J8" s="60" t="s">
        <v>149</v>
      </c>
    </row>
    <row r="9" customHeight="1" spans="1:9">
      <c r="A9" s="18">
        <v>3</v>
      </c>
      <c r="B9" s="36" t="s">
        <v>150</v>
      </c>
      <c r="C9" s="18" t="s">
        <v>28</v>
      </c>
      <c r="D9" s="37">
        <v>1734.4643</v>
      </c>
      <c r="E9" s="18">
        <v>50</v>
      </c>
      <c r="F9" s="34">
        <f>E9*D9</f>
        <v>86723.215</v>
      </c>
      <c r="G9" s="34"/>
      <c r="H9" s="35"/>
      <c r="I9" s="59" t="s">
        <v>151</v>
      </c>
    </row>
    <row r="10" ht="22.95" customHeight="1" spans="1:9">
      <c r="A10" s="18">
        <v>4</v>
      </c>
      <c r="B10" s="36" t="s">
        <v>152</v>
      </c>
      <c r="C10" s="18" t="s">
        <v>28</v>
      </c>
      <c r="D10" s="33">
        <v>620</v>
      </c>
      <c r="E10" s="18">
        <v>10</v>
      </c>
      <c r="F10" s="34">
        <f>E10*D10</f>
        <v>6200</v>
      </c>
      <c r="G10" s="34"/>
      <c r="H10" s="35"/>
      <c r="I10" s="61" t="s">
        <v>153</v>
      </c>
    </row>
    <row r="11" ht="22.95" customHeight="1" spans="1:9">
      <c r="A11" s="18">
        <v>5</v>
      </c>
      <c r="B11" s="36" t="s">
        <v>154</v>
      </c>
      <c r="C11" s="18" t="s">
        <v>28</v>
      </c>
      <c r="D11" s="33">
        <v>544.4</v>
      </c>
      <c r="E11" s="18">
        <v>10</v>
      </c>
      <c r="F11" s="34">
        <f>E11*D11</f>
        <v>5444</v>
      </c>
      <c r="G11" s="34"/>
      <c r="H11" s="35"/>
      <c r="I11" s="61" t="s">
        <v>153</v>
      </c>
    </row>
    <row r="12" s="1" customFormat="1" customHeight="1" spans="1:9">
      <c r="A12" s="38"/>
      <c r="B12" s="38" t="s">
        <v>155</v>
      </c>
      <c r="C12" s="38"/>
      <c r="D12" s="39"/>
      <c r="E12" s="38"/>
      <c r="F12" s="40">
        <f>SUM(F6:F11)</f>
        <v>151067.215</v>
      </c>
      <c r="G12" s="40">
        <f>F12/$G$2</f>
        <v>243.656798387097</v>
      </c>
      <c r="H12" s="41"/>
      <c r="I12" s="59"/>
    </row>
    <row r="13" customHeight="1" spans="1:9">
      <c r="A13" s="18"/>
      <c r="B13" s="32" t="s">
        <v>156</v>
      </c>
      <c r="C13" s="18"/>
      <c r="D13" s="33"/>
      <c r="E13" s="18"/>
      <c r="F13" s="34"/>
      <c r="G13" s="34"/>
      <c r="H13" s="35"/>
      <c r="I13" s="59"/>
    </row>
    <row r="14" customHeight="1" spans="1:10">
      <c r="A14" s="18">
        <v>1</v>
      </c>
      <c r="B14" s="36" t="s">
        <v>157</v>
      </c>
      <c r="C14" s="18" t="s">
        <v>28</v>
      </c>
      <c r="D14" s="42">
        <v>620</v>
      </c>
      <c r="E14" s="18">
        <v>18</v>
      </c>
      <c r="F14" s="34">
        <f t="shared" ref="F14:F19" si="0">E14*D14</f>
        <v>11160</v>
      </c>
      <c r="G14" s="34"/>
      <c r="H14" s="35"/>
      <c r="I14" s="59"/>
      <c r="J14" s="60" t="s">
        <v>158</v>
      </c>
    </row>
    <row r="15" customHeight="1" spans="1:9">
      <c r="A15" s="18">
        <v>2</v>
      </c>
      <c r="B15" s="36" t="s">
        <v>152</v>
      </c>
      <c r="C15" s="18" t="s">
        <v>28</v>
      </c>
      <c r="D15" s="42">
        <v>620</v>
      </c>
      <c r="E15" s="18">
        <v>40</v>
      </c>
      <c r="F15" s="34">
        <f t="shared" si="0"/>
        <v>24800</v>
      </c>
      <c r="G15" s="34"/>
      <c r="H15" s="35"/>
      <c r="I15" s="59"/>
    </row>
    <row r="16" customHeight="1" spans="1:10">
      <c r="A16" s="18">
        <v>3</v>
      </c>
      <c r="B16" s="36" t="s">
        <v>159</v>
      </c>
      <c r="C16" s="18" t="s">
        <v>28</v>
      </c>
      <c r="D16" s="33">
        <v>620</v>
      </c>
      <c r="E16" s="18">
        <v>15</v>
      </c>
      <c r="F16" s="34">
        <f t="shared" si="0"/>
        <v>9300</v>
      </c>
      <c r="G16" s="34"/>
      <c r="H16" s="35"/>
      <c r="I16" s="59"/>
      <c r="J16" s="60" t="s">
        <v>160</v>
      </c>
    </row>
    <row r="17" customHeight="1" spans="1:10">
      <c r="A17" s="18">
        <v>4</v>
      </c>
      <c r="B17" s="36" t="s">
        <v>161</v>
      </c>
      <c r="C17" s="18" t="s">
        <v>28</v>
      </c>
      <c r="D17" s="33">
        <v>620</v>
      </c>
      <c r="E17" s="18">
        <v>15</v>
      </c>
      <c r="F17" s="34">
        <f t="shared" si="0"/>
        <v>9300</v>
      </c>
      <c r="G17" s="34"/>
      <c r="H17" s="35"/>
      <c r="I17" s="59" t="s">
        <v>162</v>
      </c>
      <c r="J17" s="60" t="s">
        <v>163</v>
      </c>
    </row>
    <row r="18" customHeight="1" spans="1:10">
      <c r="A18" s="18">
        <v>5</v>
      </c>
      <c r="B18" s="36" t="s">
        <v>164</v>
      </c>
      <c r="C18" s="18" t="s">
        <v>28</v>
      </c>
      <c r="D18" s="33">
        <v>620</v>
      </c>
      <c r="E18" s="18">
        <v>8</v>
      </c>
      <c r="F18" s="34">
        <f t="shared" si="0"/>
        <v>4960</v>
      </c>
      <c r="G18" s="34"/>
      <c r="H18" s="35"/>
      <c r="I18" s="59"/>
      <c r="J18" s="60" t="s">
        <v>165</v>
      </c>
    </row>
    <row r="19" customHeight="1" spans="1:9">
      <c r="A19" s="18">
        <v>6</v>
      </c>
      <c r="B19" s="36" t="s">
        <v>166</v>
      </c>
      <c r="C19" s="18" t="s">
        <v>7</v>
      </c>
      <c r="D19" s="33"/>
      <c r="E19" s="18">
        <v>15</v>
      </c>
      <c r="F19" s="34">
        <f t="shared" si="0"/>
        <v>0</v>
      </c>
      <c r="G19" s="34"/>
      <c r="H19" s="35"/>
      <c r="I19" s="59"/>
    </row>
    <row r="20" s="1" customFormat="1" customHeight="1" spans="1:9">
      <c r="A20" s="38"/>
      <c r="B20" s="38" t="s">
        <v>167</v>
      </c>
      <c r="C20" s="38"/>
      <c r="D20" s="39"/>
      <c r="E20" s="38"/>
      <c r="F20" s="40">
        <f>SUM(F14:F19)</f>
        <v>59520</v>
      </c>
      <c r="G20" s="40">
        <f>F20/$G$2</f>
        <v>96</v>
      </c>
      <c r="H20" s="41"/>
      <c r="I20" s="59"/>
    </row>
    <row r="21" customHeight="1" spans="1:9">
      <c r="A21" s="43"/>
      <c r="B21" s="44" t="s">
        <v>168</v>
      </c>
      <c r="C21" s="44"/>
      <c r="D21" s="39"/>
      <c r="E21" s="44"/>
      <c r="F21" s="45">
        <f>+F20+F12</f>
        <v>210587.215</v>
      </c>
      <c r="G21" s="45">
        <f>F21/$G$2</f>
        <v>339.656798387097</v>
      </c>
      <c r="H21" s="46"/>
      <c r="I21" s="59"/>
    </row>
    <row r="22" customHeight="1" spans="1:9">
      <c r="A22" s="26" t="s">
        <v>169</v>
      </c>
      <c r="B22" s="27" t="s">
        <v>170</v>
      </c>
      <c r="C22" s="28"/>
      <c r="D22" s="29"/>
      <c r="E22" s="28"/>
      <c r="F22" s="30"/>
      <c r="G22" s="30"/>
      <c r="H22" s="31"/>
      <c r="I22" s="58"/>
    </row>
    <row r="23" s="2" customFormat="1" ht="13.5" spans="1:10">
      <c r="A23" s="18">
        <v>1</v>
      </c>
      <c r="B23" s="36" t="s">
        <v>171</v>
      </c>
      <c r="C23" s="18" t="s">
        <v>31</v>
      </c>
      <c r="D23" s="37">
        <v>47.7728</v>
      </c>
      <c r="E23" s="18">
        <v>1500</v>
      </c>
      <c r="F23" s="34">
        <f>E23*D23</f>
        <v>71659.2</v>
      </c>
      <c r="G23" s="34"/>
      <c r="H23" s="35"/>
      <c r="I23" s="59" t="s">
        <v>172</v>
      </c>
      <c r="J23" s="2" t="s">
        <v>173</v>
      </c>
    </row>
    <row r="24" s="2" customFormat="1" customHeight="1" spans="1:9">
      <c r="A24" s="18">
        <v>2</v>
      </c>
      <c r="B24" s="36" t="s">
        <v>174</v>
      </c>
      <c r="C24" s="18" t="s">
        <v>31</v>
      </c>
      <c r="D24" s="33">
        <v>145.183</v>
      </c>
      <c r="E24" s="18">
        <v>600</v>
      </c>
      <c r="F24" s="34">
        <f>E24*D24</f>
        <v>87109.8</v>
      </c>
      <c r="G24" s="34"/>
      <c r="H24" s="35"/>
      <c r="I24" s="59" t="s">
        <v>175</v>
      </c>
    </row>
    <row r="25" s="2" customFormat="1" customHeight="1" spans="1:9">
      <c r="A25" s="18">
        <v>3</v>
      </c>
      <c r="B25" s="36" t="s">
        <v>176</v>
      </c>
      <c r="C25" s="18" t="s">
        <v>31</v>
      </c>
      <c r="D25" s="33">
        <v>32.4655</v>
      </c>
      <c r="E25" s="18">
        <v>600</v>
      </c>
      <c r="F25" s="34">
        <f>E25*D25</f>
        <v>19479.3</v>
      </c>
      <c r="G25" s="34"/>
      <c r="H25" s="35"/>
      <c r="I25" s="59" t="s">
        <v>175</v>
      </c>
    </row>
    <row r="26" s="3" customFormat="1" customHeight="1" spans="1:9">
      <c r="A26" s="44"/>
      <c r="B26" s="44" t="s">
        <v>177</v>
      </c>
      <c r="C26" s="44"/>
      <c r="D26" s="39"/>
      <c r="E26" s="44"/>
      <c r="F26" s="45">
        <f>SUM(F23:F25)</f>
        <v>178248.3</v>
      </c>
      <c r="G26" s="45">
        <f>F26/$G$2</f>
        <v>287.497258064516</v>
      </c>
      <c r="H26" s="46"/>
      <c r="I26" s="62"/>
    </row>
    <row r="27" s="4" customFormat="1" customHeight="1" spans="1:9">
      <c r="A27" s="26" t="s">
        <v>178</v>
      </c>
      <c r="B27" s="27" t="s">
        <v>179</v>
      </c>
      <c r="C27" s="26"/>
      <c r="D27" s="47"/>
      <c r="E27" s="26"/>
      <c r="F27" s="48"/>
      <c r="G27" s="48"/>
      <c r="H27" s="49"/>
      <c r="I27" s="63"/>
    </row>
    <row r="28" s="5" customFormat="1" customHeight="1" spans="1:9">
      <c r="A28" s="43" t="s">
        <v>180</v>
      </c>
      <c r="B28" s="32" t="s">
        <v>181</v>
      </c>
      <c r="C28" s="43"/>
      <c r="D28" s="39"/>
      <c r="E28" s="43"/>
      <c r="F28" s="50"/>
      <c r="G28" s="50"/>
      <c r="H28" s="51"/>
      <c r="I28" s="64"/>
    </row>
    <row r="29" s="5" customFormat="1" customHeight="1" spans="1:11">
      <c r="A29" s="18">
        <v>1</v>
      </c>
      <c r="B29" s="36" t="s">
        <v>182</v>
      </c>
      <c r="C29" s="18" t="s">
        <v>28</v>
      </c>
      <c r="D29" s="33">
        <v>133.5</v>
      </c>
      <c r="E29" s="18">
        <v>20</v>
      </c>
      <c r="F29" s="34">
        <f t="shared" ref="F29:F35" si="1">E29*D29</f>
        <v>2670</v>
      </c>
      <c r="G29" s="34"/>
      <c r="H29" s="35" t="s">
        <v>183</v>
      </c>
      <c r="I29" s="65" t="s">
        <v>184</v>
      </c>
      <c r="K29" s="5" t="s">
        <v>185</v>
      </c>
    </row>
    <row r="30" s="5" customFormat="1" customHeight="1" spans="1:11">
      <c r="A30" s="18">
        <v>2</v>
      </c>
      <c r="B30" s="36" t="s">
        <v>186</v>
      </c>
      <c r="C30" s="18" t="s">
        <v>28</v>
      </c>
      <c r="D30" s="33">
        <v>100</v>
      </c>
      <c r="E30" s="18">
        <v>15</v>
      </c>
      <c r="F30" s="34">
        <f t="shared" si="1"/>
        <v>1500</v>
      </c>
      <c r="G30" s="34"/>
      <c r="H30" s="35" t="s">
        <v>187</v>
      </c>
      <c r="I30" s="65" t="s">
        <v>188</v>
      </c>
      <c r="J30" s="5" t="s">
        <v>189</v>
      </c>
      <c r="K30" s="5">
        <f>+D30*0.08</f>
        <v>8</v>
      </c>
    </row>
    <row r="31" s="5" customFormat="1" customHeight="1" spans="1:11">
      <c r="A31" s="18">
        <v>3</v>
      </c>
      <c r="B31" s="36" t="s">
        <v>190</v>
      </c>
      <c r="C31" s="18" t="s">
        <v>28</v>
      </c>
      <c r="D31" s="33">
        <v>150</v>
      </c>
      <c r="E31" s="18">
        <v>17</v>
      </c>
      <c r="F31" s="34">
        <f t="shared" si="1"/>
        <v>2550</v>
      </c>
      <c r="G31" s="34"/>
      <c r="H31" s="35" t="s">
        <v>191</v>
      </c>
      <c r="I31" s="65" t="s">
        <v>188</v>
      </c>
      <c r="J31" s="5" t="s">
        <v>189</v>
      </c>
      <c r="K31" s="5">
        <f>+D31*0.1</f>
        <v>15</v>
      </c>
    </row>
    <row r="32" s="5" customFormat="1" customHeight="1" spans="1:13">
      <c r="A32" s="18">
        <v>4</v>
      </c>
      <c r="B32" s="36" t="s">
        <v>192</v>
      </c>
      <c r="C32" s="18" t="s">
        <v>28</v>
      </c>
      <c r="D32" s="33">
        <v>130</v>
      </c>
      <c r="E32" s="18">
        <v>25</v>
      </c>
      <c r="F32" s="34">
        <f t="shared" si="1"/>
        <v>3250</v>
      </c>
      <c r="G32" s="34"/>
      <c r="H32" s="35"/>
      <c r="I32" s="65" t="s">
        <v>188</v>
      </c>
      <c r="J32" s="5" t="s">
        <v>193</v>
      </c>
      <c r="K32" s="5">
        <f>+D32*0.33</f>
        <v>42.9</v>
      </c>
      <c r="L32" s="5">
        <v>50</v>
      </c>
      <c r="M32" s="5">
        <f>K32*L32</f>
        <v>2145</v>
      </c>
    </row>
    <row r="33" s="2" customFormat="1" customHeight="1" spans="1:10">
      <c r="A33" s="18">
        <v>5</v>
      </c>
      <c r="B33" s="36" t="s">
        <v>194</v>
      </c>
      <c r="C33" s="18" t="s">
        <v>28</v>
      </c>
      <c r="D33" s="33">
        <v>150</v>
      </c>
      <c r="E33" s="18">
        <v>0.5</v>
      </c>
      <c r="F33" s="34">
        <f t="shared" si="1"/>
        <v>75</v>
      </c>
      <c r="G33" s="34"/>
      <c r="H33" s="35"/>
      <c r="I33" s="59"/>
      <c r="J33" s="60" t="s">
        <v>195</v>
      </c>
    </row>
    <row r="34" s="2" customFormat="1" customHeight="1" spans="1:10">
      <c r="A34" s="18">
        <v>6</v>
      </c>
      <c r="B34" s="36" t="s">
        <v>196</v>
      </c>
      <c r="C34" s="18" t="s">
        <v>28</v>
      </c>
      <c r="D34" s="33">
        <v>133.5</v>
      </c>
      <c r="E34" s="18">
        <v>8</v>
      </c>
      <c r="F34" s="34">
        <f t="shared" si="1"/>
        <v>1068</v>
      </c>
      <c r="G34" s="34"/>
      <c r="H34" s="35"/>
      <c r="I34" s="59"/>
      <c r="J34" s="60" t="s">
        <v>197</v>
      </c>
    </row>
    <row r="35" s="2" customFormat="1" customHeight="1" spans="1:10">
      <c r="A35" s="18">
        <v>7</v>
      </c>
      <c r="B35" s="36" t="s">
        <v>198</v>
      </c>
      <c r="C35" s="18" t="s">
        <v>28</v>
      </c>
      <c r="D35" s="33">
        <v>40</v>
      </c>
      <c r="E35" s="18">
        <v>60</v>
      </c>
      <c r="F35" s="34">
        <f t="shared" si="1"/>
        <v>2400</v>
      </c>
      <c r="G35" s="34"/>
      <c r="H35" s="35"/>
      <c r="I35" s="59"/>
      <c r="J35" s="60" t="s">
        <v>195</v>
      </c>
    </row>
    <row r="36" s="5" customFormat="1" customHeight="1" spans="1:9">
      <c r="A36" s="43"/>
      <c r="B36" s="38" t="s">
        <v>199</v>
      </c>
      <c r="C36" s="38"/>
      <c r="D36" s="39"/>
      <c r="E36" s="38"/>
      <c r="F36" s="40">
        <f>SUM(F29:F35)</f>
        <v>13513</v>
      </c>
      <c r="G36" s="40">
        <f>F36/$G$2</f>
        <v>21.7951612903226</v>
      </c>
      <c r="H36" s="35"/>
      <c r="I36" s="65"/>
    </row>
    <row r="37" s="5" customFormat="1" customHeight="1" spans="1:9">
      <c r="A37" s="43" t="s">
        <v>200</v>
      </c>
      <c r="B37" s="32" t="s">
        <v>201</v>
      </c>
      <c r="C37" s="18"/>
      <c r="D37" s="33"/>
      <c r="E37" s="18"/>
      <c r="F37" s="34"/>
      <c r="G37" s="34"/>
      <c r="H37" s="35"/>
      <c r="I37" s="65"/>
    </row>
    <row r="38" s="2" customFormat="1" customHeight="1" spans="1:10">
      <c r="A38" s="18">
        <v>1</v>
      </c>
      <c r="B38" s="36" t="s">
        <v>202</v>
      </c>
      <c r="C38" s="18" t="s">
        <v>28</v>
      </c>
      <c r="D38" s="33">
        <v>180</v>
      </c>
      <c r="E38" s="18">
        <v>65</v>
      </c>
      <c r="F38" s="34">
        <f>E38*D38</f>
        <v>11700</v>
      </c>
      <c r="G38" s="34"/>
      <c r="H38" s="35"/>
      <c r="I38" s="59"/>
      <c r="J38" s="60" t="s">
        <v>203</v>
      </c>
    </row>
    <row r="39" s="2" customFormat="1" customHeight="1" spans="1:10">
      <c r="A39" s="18">
        <v>2</v>
      </c>
      <c r="B39" s="36" t="s">
        <v>204</v>
      </c>
      <c r="C39" s="18" t="s">
        <v>28</v>
      </c>
      <c r="D39" s="33">
        <v>130.5</v>
      </c>
      <c r="E39" s="18">
        <v>60</v>
      </c>
      <c r="F39" s="34">
        <f>E39*D39</f>
        <v>7830</v>
      </c>
      <c r="G39" s="34"/>
      <c r="H39" s="35"/>
      <c r="I39" s="59"/>
      <c r="J39" s="60" t="s">
        <v>195</v>
      </c>
    </row>
    <row r="40" s="2" customFormat="1" customHeight="1" spans="1:10">
      <c r="A40" s="18">
        <v>3</v>
      </c>
      <c r="B40" s="36" t="s">
        <v>205</v>
      </c>
      <c r="C40" s="18" t="s">
        <v>28</v>
      </c>
      <c r="D40" s="33">
        <v>685.4207</v>
      </c>
      <c r="E40" s="18">
        <v>30</v>
      </c>
      <c r="F40" s="34">
        <f>E40*D40</f>
        <v>20562.621</v>
      </c>
      <c r="G40" s="34"/>
      <c r="H40" s="35"/>
      <c r="I40" s="59"/>
      <c r="J40" s="60" t="s">
        <v>195</v>
      </c>
    </row>
    <row r="41" s="2" customFormat="1" customHeight="1" spans="1:10">
      <c r="A41" s="18">
        <v>4</v>
      </c>
      <c r="B41" s="36" t="s">
        <v>206</v>
      </c>
      <c r="C41" s="18" t="s">
        <v>28</v>
      </c>
      <c r="D41" s="33">
        <v>450</v>
      </c>
      <c r="E41" s="18">
        <v>10</v>
      </c>
      <c r="F41" s="34">
        <f t="shared" ref="F41:F46" si="2">E41*D41</f>
        <v>4500</v>
      </c>
      <c r="G41" s="34"/>
      <c r="H41" s="35"/>
      <c r="I41" s="59"/>
      <c r="J41" s="60" t="s">
        <v>195</v>
      </c>
    </row>
    <row r="42" s="2" customFormat="1" customHeight="1" spans="1:10">
      <c r="A42" s="18">
        <v>5</v>
      </c>
      <c r="B42" s="36" t="s">
        <v>207</v>
      </c>
      <c r="C42" s="18" t="s">
        <v>28</v>
      </c>
      <c r="D42" s="33">
        <v>350</v>
      </c>
      <c r="E42" s="18">
        <v>30</v>
      </c>
      <c r="F42" s="34">
        <f t="shared" si="2"/>
        <v>10500</v>
      </c>
      <c r="G42" s="34"/>
      <c r="H42" s="35"/>
      <c r="I42" s="59"/>
      <c r="J42" s="60" t="s">
        <v>195</v>
      </c>
    </row>
    <row r="43" s="2" customFormat="1" customHeight="1" spans="1:10">
      <c r="A43" s="18">
        <v>6</v>
      </c>
      <c r="B43" s="36" t="s">
        <v>208</v>
      </c>
      <c r="C43" s="18" t="s">
        <v>28</v>
      </c>
      <c r="D43" s="33">
        <v>200</v>
      </c>
      <c r="E43" s="18">
        <v>35</v>
      </c>
      <c r="F43" s="34">
        <f t="shared" si="2"/>
        <v>7000</v>
      </c>
      <c r="G43" s="34"/>
      <c r="H43" s="35"/>
      <c r="I43" s="59"/>
      <c r="J43" s="60" t="s">
        <v>195</v>
      </c>
    </row>
    <row r="44" s="2" customFormat="1" customHeight="1" spans="1:10">
      <c r="A44" s="18">
        <v>7</v>
      </c>
      <c r="B44" s="36" t="s">
        <v>209</v>
      </c>
      <c r="C44" s="18" t="s">
        <v>28</v>
      </c>
      <c r="D44" s="33">
        <v>250</v>
      </c>
      <c r="E44" s="18">
        <v>20</v>
      </c>
      <c r="F44" s="34">
        <f t="shared" si="2"/>
        <v>5000</v>
      </c>
      <c r="G44" s="34"/>
      <c r="H44" s="35"/>
      <c r="I44" s="59"/>
      <c r="J44" s="60" t="s">
        <v>195</v>
      </c>
    </row>
    <row r="45" s="2" customFormat="1" customHeight="1" spans="1:10">
      <c r="A45" s="18">
        <v>8</v>
      </c>
      <c r="B45" s="36" t="s">
        <v>210</v>
      </c>
      <c r="C45" s="18" t="s">
        <v>28</v>
      </c>
      <c r="D45" s="33">
        <v>600</v>
      </c>
      <c r="E45" s="18">
        <v>3</v>
      </c>
      <c r="F45" s="34">
        <f t="shared" si="2"/>
        <v>1800</v>
      </c>
      <c r="G45" s="34"/>
      <c r="H45" s="35"/>
      <c r="I45" s="59"/>
      <c r="J45" s="60" t="s">
        <v>195</v>
      </c>
    </row>
    <row r="46" s="2" customFormat="1" customHeight="1" spans="1:10">
      <c r="A46" s="18">
        <v>9</v>
      </c>
      <c r="B46" s="36" t="s">
        <v>211</v>
      </c>
      <c r="C46" s="18" t="s">
        <v>28</v>
      </c>
      <c r="D46" s="37">
        <v>603.64352</v>
      </c>
      <c r="E46" s="18">
        <v>8</v>
      </c>
      <c r="F46" s="34">
        <f t="shared" si="2"/>
        <v>4829.14816</v>
      </c>
      <c r="G46" s="34"/>
      <c r="H46" s="35"/>
      <c r="I46" s="59"/>
      <c r="J46" s="60" t="s">
        <v>195</v>
      </c>
    </row>
    <row r="47" s="5" customFormat="1" customHeight="1" spans="1:9">
      <c r="A47" s="43"/>
      <c r="B47" s="38" t="s">
        <v>212</v>
      </c>
      <c r="C47" s="38"/>
      <c r="D47" s="39"/>
      <c r="E47" s="38"/>
      <c r="F47" s="40">
        <f>SUM(F38:F46)</f>
        <v>73721.76916</v>
      </c>
      <c r="G47" s="40">
        <f>F47/$G$2</f>
        <v>118.906079290323</v>
      </c>
      <c r="H47" s="35"/>
      <c r="I47" s="65"/>
    </row>
    <row r="48" s="5" customFormat="1" customHeight="1" spans="1:9">
      <c r="A48" s="43" t="s">
        <v>213</v>
      </c>
      <c r="B48" s="32" t="s">
        <v>214</v>
      </c>
      <c r="C48" s="38"/>
      <c r="D48" s="39"/>
      <c r="E48" s="38"/>
      <c r="F48" s="40"/>
      <c r="G48" s="40"/>
      <c r="H48" s="35"/>
      <c r="I48" s="65"/>
    </row>
    <row r="49" s="2" customFormat="1" customHeight="1" spans="1:10">
      <c r="A49" s="18">
        <v>1</v>
      </c>
      <c r="B49" s="36" t="s">
        <v>215</v>
      </c>
      <c r="C49" s="18" t="s">
        <v>28</v>
      </c>
      <c r="D49" s="33">
        <v>620</v>
      </c>
      <c r="E49" s="18">
        <v>70</v>
      </c>
      <c r="F49" s="34">
        <f>E49*D49</f>
        <v>43400</v>
      </c>
      <c r="G49" s="34"/>
      <c r="H49" s="35"/>
      <c r="I49" s="59"/>
      <c r="J49" s="60" t="s">
        <v>195</v>
      </c>
    </row>
    <row r="50" s="2" customFormat="1" customHeight="1" spans="1:10">
      <c r="A50" s="18">
        <v>2</v>
      </c>
      <c r="B50" s="36"/>
      <c r="C50" s="18"/>
      <c r="D50" s="33"/>
      <c r="E50" s="18"/>
      <c r="F50" s="34"/>
      <c r="G50" s="34"/>
      <c r="H50" s="35"/>
      <c r="I50" s="59"/>
      <c r="J50" s="60"/>
    </row>
    <row r="51" s="2" customFormat="1" customHeight="1" spans="1:10">
      <c r="A51" s="18"/>
      <c r="B51" s="38" t="s">
        <v>216</v>
      </c>
      <c r="C51" s="38"/>
      <c r="D51" s="39"/>
      <c r="E51" s="38"/>
      <c r="F51" s="40">
        <f>SUM(F49:F50)</f>
        <v>43400</v>
      </c>
      <c r="G51" s="40">
        <f>F51/$G$2</f>
        <v>70</v>
      </c>
      <c r="H51" s="35"/>
      <c r="I51" s="59"/>
      <c r="J51" s="60"/>
    </row>
    <row r="52" s="2" customFormat="1" customHeight="1" spans="1:10">
      <c r="A52" s="43" t="s">
        <v>217</v>
      </c>
      <c r="B52" s="52" t="s">
        <v>218</v>
      </c>
      <c r="C52" s="38"/>
      <c r="D52" s="39"/>
      <c r="E52" s="38"/>
      <c r="F52" s="40"/>
      <c r="G52" s="40"/>
      <c r="H52" s="35"/>
      <c r="I52" s="59"/>
      <c r="J52" s="60"/>
    </row>
    <row r="53" customHeight="1" spans="1:9">
      <c r="A53" s="18">
        <v>1</v>
      </c>
      <c r="B53" s="36" t="s">
        <v>219</v>
      </c>
      <c r="C53" s="18" t="s">
        <v>31</v>
      </c>
      <c r="D53" s="33">
        <v>448.7137</v>
      </c>
      <c r="E53" s="18">
        <v>20</v>
      </c>
      <c r="F53" s="34">
        <f t="shared" ref="F53:F62" si="3">E53*D53</f>
        <v>8974.274</v>
      </c>
      <c r="G53" s="34"/>
      <c r="H53" s="35"/>
      <c r="I53" s="59" t="s">
        <v>188</v>
      </c>
    </row>
    <row r="54" customHeight="1" spans="1:9">
      <c r="A54" s="18">
        <v>2</v>
      </c>
      <c r="B54" s="36" t="s">
        <v>32</v>
      </c>
      <c r="C54" s="18" t="s">
        <v>31</v>
      </c>
      <c r="D54" s="33">
        <v>356.2741</v>
      </c>
      <c r="E54" s="18">
        <v>30</v>
      </c>
      <c r="F54" s="34">
        <f t="shared" si="3"/>
        <v>10688.223</v>
      </c>
      <c r="G54" s="34"/>
      <c r="H54" s="35"/>
      <c r="I54" s="59" t="s">
        <v>188</v>
      </c>
    </row>
    <row r="55" customHeight="1" spans="1:9">
      <c r="A55" s="18">
        <v>3</v>
      </c>
      <c r="B55" s="36" t="s">
        <v>60</v>
      </c>
      <c r="C55" s="18" t="s">
        <v>14</v>
      </c>
      <c r="D55" s="33">
        <v>27</v>
      </c>
      <c r="E55" s="18">
        <v>70</v>
      </c>
      <c r="F55" s="34">
        <f t="shared" si="3"/>
        <v>1890</v>
      </c>
      <c r="G55" s="34"/>
      <c r="H55" s="35"/>
      <c r="I55" s="59" t="s">
        <v>188</v>
      </c>
    </row>
    <row r="56" ht="14.25" spans="1:9">
      <c r="A56" s="18">
        <v>4</v>
      </c>
      <c r="B56" s="36" t="s">
        <v>220</v>
      </c>
      <c r="C56" s="18" t="s">
        <v>28</v>
      </c>
      <c r="D56" s="33">
        <v>19.5999</v>
      </c>
      <c r="E56" s="18">
        <v>50</v>
      </c>
      <c r="F56" s="34">
        <f t="shared" si="3"/>
        <v>979.995</v>
      </c>
      <c r="G56" s="34"/>
      <c r="H56" s="35"/>
      <c r="I56" s="59" t="s">
        <v>172</v>
      </c>
    </row>
    <row r="57" ht="14.25" spans="1:9">
      <c r="A57" s="18">
        <v>5</v>
      </c>
      <c r="B57" s="36" t="s">
        <v>221</v>
      </c>
      <c r="C57" s="18" t="s">
        <v>28</v>
      </c>
      <c r="D57" s="33">
        <v>55.3162</v>
      </c>
      <c r="E57" s="18">
        <v>45</v>
      </c>
      <c r="F57" s="34">
        <f t="shared" si="3"/>
        <v>2489.229</v>
      </c>
      <c r="G57" s="34"/>
      <c r="H57" s="35"/>
      <c r="I57" s="59" t="s">
        <v>172</v>
      </c>
    </row>
    <row r="58" customHeight="1" spans="1:9">
      <c r="A58" s="18">
        <v>6</v>
      </c>
      <c r="B58" s="36" t="s">
        <v>222</v>
      </c>
      <c r="C58" s="18" t="s">
        <v>28</v>
      </c>
      <c r="D58" s="33">
        <v>6.1953</v>
      </c>
      <c r="E58" s="18">
        <v>100</v>
      </c>
      <c r="F58" s="34">
        <f t="shared" si="3"/>
        <v>619.53</v>
      </c>
      <c r="G58" s="34"/>
      <c r="H58" s="35"/>
      <c r="I58" s="59"/>
    </row>
    <row r="59" s="2" customFormat="1" customHeight="1" spans="1:10">
      <c r="A59" s="18">
        <v>7</v>
      </c>
      <c r="B59" s="36" t="s">
        <v>223</v>
      </c>
      <c r="C59" s="18" t="s">
        <v>0</v>
      </c>
      <c r="D59" s="33">
        <v>20</v>
      </c>
      <c r="E59" s="18">
        <v>70</v>
      </c>
      <c r="F59" s="34">
        <f t="shared" si="3"/>
        <v>1400</v>
      </c>
      <c r="G59" s="34"/>
      <c r="H59" s="35"/>
      <c r="I59" s="59"/>
      <c r="J59" s="60" t="s">
        <v>224</v>
      </c>
    </row>
    <row r="60" s="2" customFormat="1" customHeight="1" spans="1:10">
      <c r="A60" s="18">
        <v>8</v>
      </c>
      <c r="B60" s="36" t="s">
        <v>225</v>
      </c>
      <c r="C60" s="18" t="s">
        <v>28</v>
      </c>
      <c r="D60" s="33">
        <v>150.5</v>
      </c>
      <c r="E60" s="18">
        <v>60</v>
      </c>
      <c r="F60" s="34">
        <f t="shared" si="3"/>
        <v>9030</v>
      </c>
      <c r="G60" s="34"/>
      <c r="H60" s="35"/>
      <c r="I60" s="59"/>
      <c r="J60" s="60" t="s">
        <v>226</v>
      </c>
    </row>
    <row r="61" s="2" customFormat="1" customHeight="1" spans="1:10">
      <c r="A61" s="18">
        <v>9</v>
      </c>
      <c r="B61" s="36" t="s">
        <v>227</v>
      </c>
      <c r="C61" s="18" t="s">
        <v>28</v>
      </c>
      <c r="D61" s="33">
        <v>35.5</v>
      </c>
      <c r="E61" s="18">
        <v>20</v>
      </c>
      <c r="F61" s="34">
        <f t="shared" si="3"/>
        <v>710</v>
      </c>
      <c r="G61" s="34"/>
      <c r="H61" s="35"/>
      <c r="I61" s="59"/>
      <c r="J61" s="60" t="s">
        <v>195</v>
      </c>
    </row>
    <row r="62" s="2" customFormat="1" customHeight="1" spans="1:10">
      <c r="A62" s="18">
        <v>10</v>
      </c>
      <c r="B62" s="36" t="s">
        <v>228</v>
      </c>
      <c r="C62" s="18" t="s">
        <v>28</v>
      </c>
      <c r="D62" s="33">
        <v>45.5</v>
      </c>
      <c r="E62" s="18">
        <v>10</v>
      </c>
      <c r="F62" s="34">
        <f t="shared" si="3"/>
        <v>455</v>
      </c>
      <c r="G62" s="34"/>
      <c r="H62" s="35"/>
      <c r="I62" s="59"/>
      <c r="J62" s="60" t="s">
        <v>195</v>
      </c>
    </row>
    <row r="63" s="6" customFormat="1" customHeight="1" spans="1:9">
      <c r="A63" s="53"/>
      <c r="B63" s="38" t="s">
        <v>229</v>
      </c>
      <c r="C63" s="38"/>
      <c r="D63" s="39"/>
      <c r="E63" s="38"/>
      <c r="F63" s="40">
        <f>SUM(F28:F46)</f>
        <v>100747.76916</v>
      </c>
      <c r="G63" s="40">
        <f>F63/$G$2</f>
        <v>162.496401870968</v>
      </c>
      <c r="H63" s="41"/>
      <c r="I63" s="59"/>
    </row>
    <row r="64" s="3" customFormat="1" customHeight="1" spans="1:9">
      <c r="A64" s="54"/>
      <c r="B64" s="44" t="s">
        <v>230</v>
      </c>
      <c r="C64" s="44"/>
      <c r="D64" s="39"/>
      <c r="E64" s="44"/>
      <c r="F64" s="45">
        <f>+F63+F51+F47+F36</f>
        <v>231382.53832</v>
      </c>
      <c r="G64" s="45">
        <f>+F64/G2</f>
        <v>373.197642451613</v>
      </c>
      <c r="H64" s="46"/>
      <c r="I64" s="62"/>
    </row>
    <row r="65" s="4" customFormat="1" customHeight="1" spans="1:9">
      <c r="A65" s="66" t="s">
        <v>231</v>
      </c>
      <c r="B65" s="67" t="s">
        <v>232</v>
      </c>
      <c r="C65" s="66"/>
      <c r="D65" s="68"/>
      <c r="E65" s="69"/>
      <c r="F65" s="70"/>
      <c r="G65" s="70"/>
      <c r="H65" s="71"/>
      <c r="I65" s="90"/>
    </row>
    <row r="66" s="2" customFormat="1" customHeight="1" spans="1:10">
      <c r="A66" s="18">
        <v>1</v>
      </c>
      <c r="B66" s="36" t="s">
        <v>233</v>
      </c>
      <c r="C66" s="18" t="s">
        <v>28</v>
      </c>
      <c r="D66" s="33">
        <v>620</v>
      </c>
      <c r="E66" s="18">
        <v>45</v>
      </c>
      <c r="F66" s="34">
        <f>E66*D66</f>
        <v>27900</v>
      </c>
      <c r="G66" s="34"/>
      <c r="H66" s="35"/>
      <c r="I66" s="59"/>
      <c r="J66" s="60" t="s">
        <v>234</v>
      </c>
    </row>
    <row r="67" s="2" customFormat="1" customHeight="1" spans="1:10">
      <c r="A67" s="18">
        <v>2</v>
      </c>
      <c r="B67" s="36" t="s">
        <v>235</v>
      </c>
      <c r="C67" s="18" t="s">
        <v>28</v>
      </c>
      <c r="D67" s="33">
        <v>150</v>
      </c>
      <c r="E67" s="18">
        <v>55</v>
      </c>
      <c r="F67" s="34">
        <f t="shared" ref="F67:F77" si="4">E67*D67</f>
        <v>8250</v>
      </c>
      <c r="G67" s="34"/>
      <c r="H67" s="35"/>
      <c r="I67" s="59"/>
      <c r="J67" s="60"/>
    </row>
    <row r="68" s="2" customFormat="1" customHeight="1" spans="1:10">
      <c r="A68" s="18">
        <v>3</v>
      </c>
      <c r="B68" s="36" t="s">
        <v>236</v>
      </c>
      <c r="C68" s="18" t="s">
        <v>28</v>
      </c>
      <c r="D68" s="33">
        <v>210</v>
      </c>
      <c r="E68" s="18">
        <v>55</v>
      </c>
      <c r="F68" s="34">
        <f t="shared" si="4"/>
        <v>11550</v>
      </c>
      <c r="G68" s="34"/>
      <c r="H68" s="35"/>
      <c r="I68" s="59"/>
      <c r="J68" s="60"/>
    </row>
    <row r="69" s="2" customFormat="1" customHeight="1" spans="1:10">
      <c r="A69" s="18">
        <v>4</v>
      </c>
      <c r="B69" s="36" t="s">
        <v>237</v>
      </c>
      <c r="C69" s="18" t="s">
        <v>28</v>
      </c>
      <c r="D69" s="33">
        <v>150</v>
      </c>
      <c r="E69" s="18">
        <v>55</v>
      </c>
      <c r="F69" s="34">
        <f t="shared" si="4"/>
        <v>8250</v>
      </c>
      <c r="G69" s="34"/>
      <c r="H69" s="35"/>
      <c r="I69" s="59"/>
      <c r="J69" s="60"/>
    </row>
    <row r="70" s="2" customFormat="1" customHeight="1" spans="1:10">
      <c r="A70" s="18">
        <v>5</v>
      </c>
      <c r="B70" s="36" t="s">
        <v>238</v>
      </c>
      <c r="C70" s="18" t="s">
        <v>28</v>
      </c>
      <c r="D70" s="33">
        <v>620</v>
      </c>
      <c r="E70" s="18">
        <v>40</v>
      </c>
      <c r="F70" s="34">
        <f t="shared" si="4"/>
        <v>24800</v>
      </c>
      <c r="G70" s="34"/>
      <c r="H70" s="35"/>
      <c r="I70" s="59"/>
      <c r="J70" s="60"/>
    </row>
    <row r="71" s="2" customFormat="1" customHeight="1" spans="1:10">
      <c r="A71" s="18">
        <v>6</v>
      </c>
      <c r="B71" s="36" t="s">
        <v>239</v>
      </c>
      <c r="C71" s="18" t="s">
        <v>28</v>
      </c>
      <c r="D71" s="33">
        <v>690</v>
      </c>
      <c r="E71" s="18">
        <v>50</v>
      </c>
      <c r="F71" s="34">
        <f t="shared" si="4"/>
        <v>34500</v>
      </c>
      <c r="G71" s="34"/>
      <c r="H71" s="35"/>
      <c r="I71" s="59"/>
      <c r="J71" s="60"/>
    </row>
    <row r="72" s="2" customFormat="1" customHeight="1" spans="1:10">
      <c r="A72" s="18">
        <v>7</v>
      </c>
      <c r="B72" s="36" t="s">
        <v>240</v>
      </c>
      <c r="C72" s="18" t="s">
        <v>28</v>
      </c>
      <c r="D72" s="33">
        <v>500</v>
      </c>
      <c r="E72" s="18">
        <v>80</v>
      </c>
      <c r="F72" s="34">
        <f t="shared" si="4"/>
        <v>40000</v>
      </c>
      <c r="G72" s="34"/>
      <c r="H72" s="35"/>
      <c r="I72" s="59"/>
      <c r="J72" s="60"/>
    </row>
    <row r="73" s="2" customFormat="1" customHeight="1" spans="1:10">
      <c r="A73" s="18">
        <v>8</v>
      </c>
      <c r="B73" s="36" t="s">
        <v>241</v>
      </c>
      <c r="C73" s="18" t="s">
        <v>0</v>
      </c>
      <c r="D73" s="33">
        <v>30</v>
      </c>
      <c r="E73" s="18">
        <v>200</v>
      </c>
      <c r="F73" s="34">
        <f t="shared" si="4"/>
        <v>6000</v>
      </c>
      <c r="G73" s="34"/>
      <c r="H73" s="35"/>
      <c r="I73" s="59"/>
      <c r="J73" s="60"/>
    </row>
    <row r="74" s="2" customFormat="1" customHeight="1" spans="1:10">
      <c r="A74" s="18">
        <v>9</v>
      </c>
      <c r="B74" s="36" t="s">
        <v>242</v>
      </c>
      <c r="C74" s="18" t="s">
        <v>31</v>
      </c>
      <c r="D74" s="33">
        <v>150</v>
      </c>
      <c r="E74" s="18">
        <v>300</v>
      </c>
      <c r="F74" s="34">
        <f t="shared" si="4"/>
        <v>45000</v>
      </c>
      <c r="G74" s="34"/>
      <c r="H74" s="35"/>
      <c r="I74" s="59"/>
      <c r="J74" s="60"/>
    </row>
    <row r="75" s="2" customFormat="1" customHeight="1" spans="1:10">
      <c r="A75" s="18">
        <v>10</v>
      </c>
      <c r="B75" s="36" t="s">
        <v>243</v>
      </c>
      <c r="C75" s="18" t="s">
        <v>28</v>
      </c>
      <c r="D75" s="33">
        <v>120</v>
      </c>
      <c r="E75" s="18">
        <v>110</v>
      </c>
      <c r="F75" s="34">
        <f t="shared" si="4"/>
        <v>13200</v>
      </c>
      <c r="G75" s="34"/>
      <c r="H75" s="35"/>
      <c r="I75" s="59"/>
      <c r="J75" s="60" t="s">
        <v>244</v>
      </c>
    </row>
    <row r="76" s="2" customFormat="1" customHeight="1" spans="1:9">
      <c r="A76" s="18">
        <v>11</v>
      </c>
      <c r="B76" s="36"/>
      <c r="C76" s="18"/>
      <c r="D76" s="33"/>
      <c r="E76" s="18"/>
      <c r="F76" s="34">
        <f t="shared" si="4"/>
        <v>0</v>
      </c>
      <c r="G76" s="34"/>
      <c r="H76" s="35"/>
      <c r="I76" s="59"/>
    </row>
    <row r="77" s="2" customFormat="1" customHeight="1" spans="1:9">
      <c r="A77" s="18">
        <v>12</v>
      </c>
      <c r="B77" s="36"/>
      <c r="C77" s="18"/>
      <c r="D77" s="33"/>
      <c r="E77" s="18"/>
      <c r="F77" s="34">
        <f t="shared" si="4"/>
        <v>0</v>
      </c>
      <c r="G77" s="34"/>
      <c r="H77" s="35"/>
      <c r="I77" s="59"/>
    </row>
    <row r="78" s="3" customFormat="1" customHeight="1" spans="1:9">
      <c r="A78" s="72"/>
      <c r="B78" s="44" t="s">
        <v>245</v>
      </c>
      <c r="C78" s="44"/>
      <c r="D78" s="39"/>
      <c r="E78" s="44"/>
      <c r="F78" s="45">
        <f>SUM(F66:F77)</f>
        <v>219450</v>
      </c>
      <c r="G78" s="45">
        <f>F78/$G$2</f>
        <v>353.951612903226</v>
      </c>
      <c r="H78" s="46"/>
      <c r="I78" s="62"/>
    </row>
    <row r="79" s="4" customFormat="1" customHeight="1" spans="1:9">
      <c r="A79" s="66" t="s">
        <v>246</v>
      </c>
      <c r="B79" s="67" t="s">
        <v>247</v>
      </c>
      <c r="C79" s="66"/>
      <c r="D79" s="73"/>
      <c r="E79" s="66"/>
      <c r="F79" s="70"/>
      <c r="G79" s="70"/>
      <c r="H79" s="71"/>
      <c r="I79" s="90"/>
    </row>
    <row r="80" s="2" customFormat="1" customHeight="1" spans="1:9">
      <c r="A80" s="74">
        <v>1</v>
      </c>
      <c r="B80" s="36" t="s">
        <v>148</v>
      </c>
      <c r="C80" s="18" t="s">
        <v>5</v>
      </c>
      <c r="D80" s="33">
        <v>42.2</v>
      </c>
      <c r="E80" s="18">
        <v>4200</v>
      </c>
      <c r="F80" s="34">
        <f>E80*D80</f>
        <v>177240</v>
      </c>
      <c r="G80" s="34"/>
      <c r="H80" s="35"/>
      <c r="I80" s="59" t="s">
        <v>248</v>
      </c>
    </row>
    <row r="81" s="2" customFormat="1" customHeight="1" spans="1:9">
      <c r="A81" s="18">
        <v>2</v>
      </c>
      <c r="B81" s="36" t="s">
        <v>249</v>
      </c>
      <c r="C81" s="18" t="s">
        <v>31</v>
      </c>
      <c r="D81" s="33">
        <v>15</v>
      </c>
      <c r="E81" s="18">
        <v>380</v>
      </c>
      <c r="F81" s="34">
        <f t="shared" ref="F81:F88" si="5">E81*D81</f>
        <v>5700</v>
      </c>
      <c r="G81" s="34"/>
      <c r="H81" s="35"/>
      <c r="I81" s="59"/>
    </row>
    <row r="82" s="2" customFormat="1" customHeight="1" spans="1:9">
      <c r="A82" s="18"/>
      <c r="B82" s="36" t="s">
        <v>250</v>
      </c>
      <c r="C82" s="18" t="s">
        <v>31</v>
      </c>
      <c r="D82" s="33">
        <v>25</v>
      </c>
      <c r="E82" s="18">
        <v>390</v>
      </c>
      <c r="F82" s="34">
        <f t="shared" si="5"/>
        <v>9750</v>
      </c>
      <c r="G82" s="34"/>
      <c r="H82" s="35"/>
      <c r="I82" s="59"/>
    </row>
    <row r="83" s="2" customFormat="1" customHeight="1" spans="1:9">
      <c r="A83" s="18"/>
      <c r="B83" s="36" t="s">
        <v>251</v>
      </c>
      <c r="C83" s="18" t="s">
        <v>31</v>
      </c>
      <c r="D83" s="33">
        <v>30</v>
      </c>
      <c r="E83" s="18">
        <v>400</v>
      </c>
      <c r="F83" s="34">
        <f t="shared" si="5"/>
        <v>12000</v>
      </c>
      <c r="G83" s="34"/>
      <c r="H83" s="35"/>
      <c r="I83" s="59"/>
    </row>
    <row r="84" s="2" customFormat="1" customHeight="1" spans="1:10">
      <c r="A84" s="18"/>
      <c r="B84" s="36" t="s">
        <v>252</v>
      </c>
      <c r="C84" s="18" t="s">
        <v>31</v>
      </c>
      <c r="D84" s="33">
        <v>310</v>
      </c>
      <c r="E84" s="18">
        <v>410</v>
      </c>
      <c r="F84" s="34">
        <f t="shared" si="5"/>
        <v>127100</v>
      </c>
      <c r="G84" s="34"/>
      <c r="H84" s="35"/>
      <c r="I84" s="59"/>
      <c r="J84" s="60" t="s">
        <v>253</v>
      </c>
    </row>
    <row r="85" s="2" customFormat="1" customHeight="1" spans="1:10">
      <c r="A85" s="18"/>
      <c r="B85" s="36" t="s">
        <v>254</v>
      </c>
      <c r="C85" s="18" t="s">
        <v>31</v>
      </c>
      <c r="D85" s="33">
        <v>40</v>
      </c>
      <c r="E85" s="18">
        <v>425</v>
      </c>
      <c r="F85" s="34">
        <f t="shared" si="5"/>
        <v>17000</v>
      </c>
      <c r="G85" s="34"/>
      <c r="H85" s="35"/>
      <c r="I85" s="59"/>
      <c r="J85" s="60" t="s">
        <v>255</v>
      </c>
    </row>
    <row r="86" s="2" customFormat="1" customHeight="1" spans="1:10">
      <c r="A86" s="18"/>
      <c r="B86" s="36" t="s">
        <v>256</v>
      </c>
      <c r="C86" s="18" t="s">
        <v>31</v>
      </c>
      <c r="D86" s="33">
        <v>40</v>
      </c>
      <c r="E86" s="18">
        <v>440</v>
      </c>
      <c r="F86" s="34">
        <f t="shared" si="5"/>
        <v>17600</v>
      </c>
      <c r="G86" s="34"/>
      <c r="H86" s="35"/>
      <c r="I86" s="59"/>
      <c r="J86" s="60"/>
    </row>
    <row r="87" s="2" customFormat="1" customHeight="1" spans="1:10">
      <c r="A87" s="18">
        <v>3</v>
      </c>
      <c r="B87" s="36" t="s">
        <v>257</v>
      </c>
      <c r="C87" s="18" t="s">
        <v>31</v>
      </c>
      <c r="D87" s="33">
        <v>15</v>
      </c>
      <c r="E87" s="18">
        <v>390</v>
      </c>
      <c r="F87" s="34">
        <f t="shared" si="5"/>
        <v>5850</v>
      </c>
      <c r="G87" s="34"/>
      <c r="H87" s="35"/>
      <c r="I87" s="59"/>
      <c r="J87" s="60" t="s">
        <v>258</v>
      </c>
    </row>
    <row r="88" s="2" customFormat="1" customHeight="1" spans="1:10">
      <c r="A88" s="18"/>
      <c r="B88" s="36" t="s">
        <v>259</v>
      </c>
      <c r="C88" s="18" t="s">
        <v>31</v>
      </c>
      <c r="D88" s="33">
        <v>20</v>
      </c>
      <c r="E88" s="18">
        <v>400</v>
      </c>
      <c r="F88" s="34">
        <f t="shared" si="5"/>
        <v>8000</v>
      </c>
      <c r="G88" s="34"/>
      <c r="H88" s="35"/>
      <c r="I88" s="59"/>
      <c r="J88" s="60"/>
    </row>
    <row r="89" s="3" customFormat="1" customHeight="1" spans="1:10">
      <c r="A89" s="75"/>
      <c r="B89" s="44" t="s">
        <v>260</v>
      </c>
      <c r="C89" s="44"/>
      <c r="D89" s="76"/>
      <c r="E89" s="44"/>
      <c r="F89" s="45">
        <f>SUM(F80:F88)</f>
        <v>380240</v>
      </c>
      <c r="G89" s="45">
        <f>F89/$G$2</f>
        <v>613.290322580645</v>
      </c>
      <c r="H89" s="46"/>
      <c r="I89" s="62"/>
      <c r="J89" s="91"/>
    </row>
    <row r="90" s="4" customFormat="1" customHeight="1" spans="1:10">
      <c r="A90" s="66" t="s">
        <v>261</v>
      </c>
      <c r="B90" s="77" t="s">
        <v>262</v>
      </c>
      <c r="C90" s="66"/>
      <c r="D90" s="78"/>
      <c r="E90" s="66"/>
      <c r="F90" s="70"/>
      <c r="G90" s="70"/>
      <c r="H90" s="71"/>
      <c r="I90" s="90"/>
      <c r="J90" s="60"/>
    </row>
    <row r="91" s="2" customFormat="1" customHeight="1" spans="1:10">
      <c r="A91" s="18">
        <v>1</v>
      </c>
      <c r="B91" s="36" t="s">
        <v>263</v>
      </c>
      <c r="C91" s="18" t="s">
        <v>28</v>
      </c>
      <c r="D91" s="33">
        <v>620</v>
      </c>
      <c r="E91" s="18">
        <v>10</v>
      </c>
      <c r="F91" s="34">
        <f>E91*D91</f>
        <v>6200</v>
      </c>
      <c r="G91" s="34"/>
      <c r="H91" s="35"/>
      <c r="I91" s="59"/>
      <c r="J91" s="60"/>
    </row>
    <row r="92" s="2" customFormat="1" customHeight="1" spans="1:10">
      <c r="A92" s="18">
        <v>2</v>
      </c>
      <c r="B92" s="36" t="s">
        <v>264</v>
      </c>
      <c r="C92" s="18" t="s">
        <v>28</v>
      </c>
      <c r="D92" s="33">
        <v>620</v>
      </c>
      <c r="E92" s="18">
        <v>15</v>
      </c>
      <c r="F92" s="34">
        <f>E92*D92</f>
        <v>9300</v>
      </c>
      <c r="G92" s="34"/>
      <c r="H92" s="35"/>
      <c r="I92" s="59"/>
      <c r="J92" s="60"/>
    </row>
    <row r="93" s="2" customFormat="1" customHeight="1" spans="1:10">
      <c r="A93" s="18">
        <v>3</v>
      </c>
      <c r="B93" s="36" t="s">
        <v>265</v>
      </c>
      <c r="C93" s="18" t="s">
        <v>28</v>
      </c>
      <c r="D93" s="33">
        <v>620</v>
      </c>
      <c r="E93" s="18">
        <v>20</v>
      </c>
      <c r="F93" s="34">
        <f>E93*D93</f>
        <v>12400</v>
      </c>
      <c r="G93" s="34"/>
      <c r="H93" s="35"/>
      <c r="I93" s="59"/>
      <c r="J93" s="60" t="s">
        <v>266</v>
      </c>
    </row>
    <row r="94" s="2" customFormat="1" customHeight="1" spans="1:10">
      <c r="A94" s="18">
        <v>4</v>
      </c>
      <c r="B94" s="36" t="s">
        <v>267</v>
      </c>
      <c r="C94" s="18" t="s">
        <v>28</v>
      </c>
      <c r="D94" s="33">
        <v>620</v>
      </c>
      <c r="E94" s="18">
        <v>10</v>
      </c>
      <c r="F94" s="34">
        <f t="shared" ref="F94:F101" si="6">E94*D94</f>
        <v>6200</v>
      </c>
      <c r="G94" s="34"/>
      <c r="H94" s="35"/>
      <c r="I94" s="59"/>
      <c r="J94" s="60"/>
    </row>
    <row r="95" s="2" customFormat="1" customHeight="1" spans="1:10">
      <c r="A95" s="18">
        <v>5</v>
      </c>
      <c r="B95" s="36" t="s">
        <v>268</v>
      </c>
      <c r="C95" s="18" t="s">
        <v>28</v>
      </c>
      <c r="D95" s="33">
        <v>620</v>
      </c>
      <c r="E95" s="18">
        <v>7</v>
      </c>
      <c r="F95" s="34">
        <f t="shared" si="6"/>
        <v>4340</v>
      </c>
      <c r="G95" s="34"/>
      <c r="H95" s="35"/>
      <c r="I95" s="59" t="s">
        <v>269</v>
      </c>
      <c r="J95" s="60"/>
    </row>
    <row r="96" s="2" customFormat="1" customHeight="1" spans="1:10">
      <c r="A96" s="18">
        <v>8</v>
      </c>
      <c r="B96" s="36" t="s">
        <v>270</v>
      </c>
      <c r="C96" s="18" t="s">
        <v>7</v>
      </c>
      <c r="D96" s="33">
        <v>1</v>
      </c>
      <c r="E96" s="18">
        <v>30000</v>
      </c>
      <c r="F96" s="34">
        <f t="shared" si="6"/>
        <v>30000</v>
      </c>
      <c r="G96" s="34"/>
      <c r="H96" s="35"/>
      <c r="I96" s="59"/>
      <c r="J96" s="60"/>
    </row>
    <row r="97" s="3" customFormat="1" customHeight="1" spans="1:10">
      <c r="A97" s="72"/>
      <c r="B97" s="44" t="s">
        <v>271</v>
      </c>
      <c r="C97" s="72"/>
      <c r="D97" s="33"/>
      <c r="E97" s="44"/>
      <c r="F97" s="45">
        <f>SUM(F91:F96)</f>
        <v>68440</v>
      </c>
      <c r="G97" s="45">
        <f>F97/$G$2</f>
        <v>110.387096774194</v>
      </c>
      <c r="H97" s="46"/>
      <c r="I97" s="62"/>
      <c r="J97" s="91"/>
    </row>
    <row r="98" s="4" customFormat="1" customHeight="1" spans="1:10">
      <c r="A98" s="66" t="s">
        <v>272</v>
      </c>
      <c r="B98" s="67" t="s">
        <v>273</v>
      </c>
      <c r="C98" s="66"/>
      <c r="D98" s="73"/>
      <c r="E98" s="66"/>
      <c r="F98" s="70"/>
      <c r="G98" s="70"/>
      <c r="H98" s="71"/>
      <c r="I98" s="92"/>
      <c r="J98" s="60"/>
    </row>
    <row r="99" s="2" customFormat="1" customHeight="1" spans="1:10">
      <c r="A99" s="18">
        <v>1</v>
      </c>
      <c r="B99" s="36" t="s">
        <v>274</v>
      </c>
      <c r="C99" s="18" t="s">
        <v>275</v>
      </c>
      <c r="D99" s="19">
        <v>4</v>
      </c>
      <c r="E99" s="18">
        <v>35000</v>
      </c>
      <c r="F99" s="34">
        <f t="shared" si="6"/>
        <v>140000</v>
      </c>
      <c r="G99" s="34"/>
      <c r="H99" s="35"/>
      <c r="I99" s="59"/>
      <c r="J99" s="60" t="s">
        <v>276</v>
      </c>
    </row>
    <row r="100" s="2" customFormat="1" customHeight="1" spans="1:10">
      <c r="A100" s="18">
        <v>2</v>
      </c>
      <c r="B100" s="36" t="s">
        <v>277</v>
      </c>
      <c r="C100" s="18" t="s">
        <v>275</v>
      </c>
      <c r="D100" s="19">
        <v>2</v>
      </c>
      <c r="E100" s="18">
        <v>15000</v>
      </c>
      <c r="F100" s="34">
        <f t="shared" si="6"/>
        <v>30000</v>
      </c>
      <c r="G100" s="34"/>
      <c r="H100" s="35"/>
      <c r="I100" s="59"/>
      <c r="J100" s="60"/>
    </row>
    <row r="101" s="2" customFormat="1" customHeight="1" spans="1:10">
      <c r="A101" s="18">
        <v>3</v>
      </c>
      <c r="B101" s="36" t="s">
        <v>278</v>
      </c>
      <c r="C101" s="18" t="s">
        <v>28</v>
      </c>
      <c r="D101" s="19">
        <v>495</v>
      </c>
      <c r="E101" s="18">
        <v>25</v>
      </c>
      <c r="F101" s="34">
        <f t="shared" si="6"/>
        <v>12375</v>
      </c>
      <c r="G101" s="34"/>
      <c r="H101" s="35"/>
      <c r="I101" s="59"/>
      <c r="J101" s="60" t="s">
        <v>279</v>
      </c>
    </row>
    <row r="102" s="3" customFormat="1" customHeight="1" spans="1:9">
      <c r="A102" s="72"/>
      <c r="B102" s="44" t="s">
        <v>280</v>
      </c>
      <c r="C102" s="72"/>
      <c r="D102" s="33"/>
      <c r="E102" s="44"/>
      <c r="F102" s="45">
        <f>SUM(F99:F101)</f>
        <v>182375</v>
      </c>
      <c r="G102" s="45">
        <f>F102/$G$2</f>
        <v>294.153225806452</v>
      </c>
      <c r="H102" s="46"/>
      <c r="I102" s="62"/>
    </row>
    <row r="103" customHeight="1" spans="1:9">
      <c r="A103" s="18"/>
      <c r="B103" s="44" t="s">
        <v>281</v>
      </c>
      <c r="C103" s="72"/>
      <c r="D103" s="33"/>
      <c r="E103" s="44"/>
      <c r="F103" s="45">
        <f>F102+F97+F89+F78+F63+F26+F20+F12</f>
        <v>1340088.28416</v>
      </c>
      <c r="G103" s="45">
        <f>F103/$G$2</f>
        <v>2161.4327163871</v>
      </c>
      <c r="H103" s="46"/>
      <c r="I103" s="59"/>
    </row>
    <row r="104" s="4" customFormat="1" customHeight="1" spans="1:9">
      <c r="A104" s="66" t="s">
        <v>282</v>
      </c>
      <c r="B104" s="77" t="s">
        <v>283</v>
      </c>
      <c r="C104" s="66"/>
      <c r="D104" s="78">
        <v>415068.53516</v>
      </c>
      <c r="E104" s="79">
        <v>0.1</v>
      </c>
      <c r="F104" s="70">
        <f>+D104*E104</f>
        <v>41506.853516</v>
      </c>
      <c r="G104" s="70">
        <f>+F104/G2</f>
        <v>66.9465379290323</v>
      </c>
      <c r="H104" s="71"/>
      <c r="I104" s="90"/>
    </row>
    <row r="105" s="4" customFormat="1" customHeight="1" spans="1:9">
      <c r="A105" s="66" t="s">
        <v>284</v>
      </c>
      <c r="B105" s="77" t="s">
        <v>285</v>
      </c>
      <c r="C105" s="66"/>
      <c r="D105" s="78">
        <v>456575.388676</v>
      </c>
      <c r="E105" s="79">
        <v>0.09</v>
      </c>
      <c r="F105" s="70">
        <f>+D105*E105</f>
        <v>41091.78498084</v>
      </c>
      <c r="G105" s="70">
        <v>125.697167152588</v>
      </c>
      <c r="H105" s="71"/>
      <c r="I105" s="90"/>
    </row>
    <row r="106" customHeight="1" spans="1:9">
      <c r="A106" s="18"/>
      <c r="B106" s="80" t="s">
        <v>286</v>
      </c>
      <c r="C106" s="80"/>
      <c r="D106" s="39"/>
      <c r="E106" s="81"/>
      <c r="F106" s="82">
        <f>F104+F105</f>
        <v>82598.63849684</v>
      </c>
      <c r="G106" s="45">
        <f>F106/$G$2</f>
        <v>133.223610478774</v>
      </c>
      <c r="H106" s="46"/>
      <c r="I106" s="59"/>
    </row>
    <row r="107" customHeight="1" spans="1:9">
      <c r="A107" s="83"/>
      <c r="B107" s="84" t="s">
        <v>287</v>
      </c>
      <c r="C107" s="84"/>
      <c r="D107" s="85"/>
      <c r="E107" s="84"/>
      <c r="F107" s="86">
        <f>+F106+F103</f>
        <v>1422686.92265684</v>
      </c>
      <c r="G107" s="86">
        <f>F107/G2</f>
        <v>2294.65632686587</v>
      </c>
      <c r="H107" s="46"/>
      <c r="I107" s="59"/>
    </row>
    <row r="108" customHeight="1" spans="1:9">
      <c r="A108" s="87" t="s">
        <v>288</v>
      </c>
      <c r="B108" s="87"/>
      <c r="C108" s="87"/>
      <c r="D108" s="88"/>
      <c r="E108" s="87"/>
      <c r="F108" s="87"/>
      <c r="G108" s="87"/>
      <c r="H108" s="89"/>
      <c r="I108" s="89"/>
    </row>
    <row r="109" customHeight="1" spans="1:9">
      <c r="A109" s="87"/>
      <c r="B109" s="87"/>
      <c r="C109" s="87"/>
      <c r="D109" s="88"/>
      <c r="E109" s="87"/>
      <c r="F109" s="87"/>
      <c r="G109" s="87"/>
      <c r="H109" s="89"/>
      <c r="I109" s="89"/>
    </row>
  </sheetData>
  <mergeCells count="6">
    <mergeCell ref="A1:I1"/>
    <mergeCell ref="G2:I2"/>
    <mergeCell ref="A108:I108"/>
    <mergeCell ref="A109:I109"/>
    <mergeCell ref="A81:A86"/>
    <mergeCell ref="A87:A88"/>
  </mergeCells>
  <pageMargins left="0.629166666666667" right="0.354166666666667" top="0.313888888888889" bottom="0.393055555555556" header="0.118055555555556" footer="0.0777777777777778"/>
  <pageSetup paperSize="9" scale="83" orientation="portrait" horizontalDpi="600"/>
  <headerFooter>
    <oddFooter>&amp;C第 &amp;P 页，共 &amp;N 页</oddFooter>
  </headerFooter>
  <colBreaks count="1" manualBreakCount="1">
    <brk id="9" max="655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单位</vt:lpstr>
      <vt:lpstr>公交站计算表</vt:lpstr>
      <vt:lpstr>公交站成本分析表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柳羲</cp:lastModifiedBy>
  <cp:revision>1</cp:revision>
  <dcterms:created xsi:type="dcterms:W3CDTF">2004-08-04T02:51:00Z</dcterms:created>
  <cp:lastPrinted>2011-05-25T03:07:00Z</cp:lastPrinted>
  <dcterms:modified xsi:type="dcterms:W3CDTF">2022-08-09T07:54:19Z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v1.0_mb_6DHklxDAGfLcf6JioZiP4w==</vt:lpwstr>
  </property>
</Properties>
</file>