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definedNames>
    <definedName name="_xlnm.Print_Area" localSheetId="0">Sheet1!$A$1:$M$17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2" l="1"/>
  <c r="M13" i="1"/>
  <c r="G13" i="1" l="1"/>
  <c r="B17" i="2"/>
  <c r="B19" i="2" s="1"/>
  <c r="C19" i="2" s="1"/>
  <c r="C14" i="2"/>
  <c r="B10" i="2"/>
  <c r="B9" i="2"/>
  <c r="B12" i="2" s="1"/>
  <c r="C12" i="2" s="1"/>
  <c r="C24" i="2" s="1"/>
  <c r="B4" i="2"/>
  <c r="C4" i="2" s="1"/>
  <c r="M3" i="1"/>
  <c r="M4" i="1"/>
  <c r="M5" i="1"/>
  <c r="M6" i="1"/>
  <c r="M7" i="1"/>
  <c r="M8" i="1"/>
  <c r="M9" i="1"/>
  <c r="M10" i="1"/>
  <c r="M11" i="1"/>
  <c r="M12" i="1"/>
  <c r="M2" i="1"/>
  <c r="M17" i="1" l="1"/>
  <c r="L17" i="1"/>
  <c r="B35" i="2" s="1"/>
  <c r="B17" i="1" l="1"/>
  <c r="E17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F17" i="1" l="1"/>
  <c r="D17" i="1"/>
  <c r="C2" i="1"/>
  <c r="G2" i="1" l="1"/>
  <c r="H17" i="1"/>
  <c r="I17" i="1"/>
  <c r="K17" i="1"/>
  <c r="C10" i="1"/>
  <c r="C11" i="1"/>
  <c r="C12" i="1"/>
  <c r="C13" i="1"/>
  <c r="C9" i="1"/>
  <c r="C3" i="1"/>
  <c r="C4" i="1"/>
  <c r="C5" i="1"/>
  <c r="C6" i="1"/>
  <c r="C7" i="1"/>
  <c r="C17" i="1" l="1"/>
  <c r="G12" i="1"/>
  <c r="G8" i="1"/>
  <c r="G11" i="1"/>
  <c r="G10" i="1"/>
  <c r="G9" i="1"/>
  <c r="G4" i="1"/>
  <c r="G7" i="1"/>
  <c r="G3" i="1"/>
  <c r="G6" i="1"/>
  <c r="G5" i="1"/>
  <c r="G17" i="1" l="1"/>
  <c r="B2" i="2" s="1"/>
  <c r="C2" i="2" s="1"/>
  <c r="C5" i="2" s="1"/>
  <c r="C25" i="2" s="1"/>
  <c r="J17" i="1"/>
  <c r="B28" i="2" l="1"/>
  <c r="B29" i="2"/>
  <c r="B32" i="2"/>
  <c r="B30" i="2"/>
  <c r="B33" i="2" l="1"/>
  <c r="B34" i="2" s="1"/>
  <c r="B37" i="2" s="1"/>
  <c r="B38" i="2" l="1"/>
  <c r="N17" i="1"/>
</calcChain>
</file>

<file path=xl/sharedStrings.xml><?xml version="1.0" encoding="utf-8"?>
<sst xmlns="http://schemas.openxmlformats.org/spreadsheetml/2006/main" count="51" uniqueCount="51">
  <si>
    <t>less Rebate</t>
  </si>
  <si>
    <t>amount</t>
  </si>
  <si>
    <t>admissible</t>
  </si>
  <si>
    <t>TOTAL</t>
  </si>
  <si>
    <t>CGHS</t>
  </si>
  <si>
    <t>health and education cess</t>
  </si>
  <si>
    <t>da Arrear Apr 18</t>
  </si>
  <si>
    <t>da Arrear  Sept 18</t>
  </si>
  <si>
    <t>Arrear HRA Aug 18</t>
  </si>
  <si>
    <t>CGEGIS</t>
  </si>
  <si>
    <t>Savings</t>
  </si>
  <si>
    <t>GPF</t>
  </si>
  <si>
    <t>Calculation of Tax</t>
  </si>
  <si>
    <t>&gt; 10,00,000/- @30%</t>
  </si>
  <si>
    <t>5,00,000/ - 10,00,000/- @20%</t>
  </si>
  <si>
    <t>2,50,000/- - 5,00,000/- @5%</t>
  </si>
  <si>
    <t>0 - 2,50,000/-</t>
  </si>
  <si>
    <t>Health and Education Cess to be paid</t>
  </si>
  <si>
    <t>Tax to be paid in F.Y. 2018-19</t>
  </si>
  <si>
    <t>Tax Already Paid in F.Y. 2018-19</t>
  </si>
  <si>
    <t>MONTH</t>
  </si>
  <si>
    <t>BASIC</t>
  </si>
  <si>
    <t>DA</t>
  </si>
  <si>
    <t>HRA</t>
  </si>
  <si>
    <t>TA</t>
  </si>
  <si>
    <t>DA on TA</t>
  </si>
  <si>
    <t>Gross</t>
  </si>
  <si>
    <t>PTAX</t>
  </si>
  <si>
    <t>IT</t>
  </si>
  <si>
    <t>Net (Taxable Income - Total Savings)</t>
  </si>
  <si>
    <t>Total Tax Calculated</t>
  </si>
  <si>
    <t>Rounded of to next ten</t>
  </si>
  <si>
    <t>total income(1)</t>
  </si>
  <si>
    <t>u/s 16 (ia) Standard Deduction (A)</t>
  </si>
  <si>
    <t>u/s 16(iii) less ptax (B)</t>
  </si>
  <si>
    <t>GIS(C)</t>
  </si>
  <si>
    <t>GPF(D)</t>
  </si>
  <si>
    <t>Other (E)</t>
  </si>
  <si>
    <t>taxable income  (2) =  (1-(A+B))</t>
  </si>
  <si>
    <t xml:space="preserve">u/s -80C </t>
  </si>
  <si>
    <r>
      <t xml:space="preserve">TOTAL(3) = (C+D+E) </t>
    </r>
    <r>
      <rPr>
        <b/>
        <i/>
        <sz val="11"/>
        <color theme="1"/>
        <rFont val="Calibri"/>
        <family val="2"/>
        <scheme val="minor"/>
      </rPr>
      <t>maximum 1.5 lakh</t>
    </r>
  </si>
  <si>
    <t xml:space="preserve">u/s - 80D </t>
  </si>
  <si>
    <t>CGHS(F)</t>
  </si>
  <si>
    <t>MEDICLAIM(G)</t>
  </si>
  <si>
    <r>
      <t>TOTAL(5) = (F+G)</t>
    </r>
    <r>
      <rPr>
        <b/>
        <i/>
        <sz val="11"/>
        <color theme="1"/>
        <rFont val="Calibri"/>
        <family val="2"/>
        <scheme val="minor"/>
      </rPr>
      <t xml:space="preserve"> maximum 25000/-</t>
    </r>
  </si>
  <si>
    <t>u/s - 80EE (6)</t>
  </si>
  <si>
    <t>u/s - 80G (7)</t>
  </si>
  <si>
    <t>u/s - 80U (8)</t>
  </si>
  <si>
    <t>Total Savings (3 + 4+ 5+ 6+ 7+ 8)</t>
  </si>
  <si>
    <t>u/s - 80CCD(1B) (4) maximum 50,000/-</t>
  </si>
  <si>
    <t>Health and Education Cess 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</si>
</sst>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0" fillId="2" borderId="1" xfId="0" applyFill="1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7" borderId="2" xfId="0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6" borderId="3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9" fontId="1" fillId="0" borderId="5" xfId="0" applyNumberFormat="1" applyFont="1" applyBorder="1" applyAlignment="1">
      <alignment wrapText="1"/>
    </xf>
    <xf numFmtId="0" fontId="0" fillId="3" borderId="5" xfId="0" applyFill="1" applyBorder="1" applyAlignment="1">
      <alignment wrapText="1"/>
    </xf>
    <xf numFmtId="0" fontId="1" fillId="0" borderId="5" xfId="0" applyFont="1" applyBorder="1" applyAlignment="1">
      <alignment vertical="top" wrapText="1"/>
    </xf>
    <xf numFmtId="17" fontId="1" fillId="0" borderId="5" xfId="0" applyNumberFormat="1" applyFont="1" applyBorder="1" applyAlignment="1">
      <alignment wrapText="1"/>
    </xf>
    <xf numFmtId="0" fontId="2" fillId="6" borderId="5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2" borderId="5" xfId="0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view="pageBreakPreview" topLeftCell="A4" zoomScale="60" zoomScaleNormal="80" workbookViewId="0">
      <selection activeCell="N17" sqref="N17"/>
    </sheetView>
  </sheetViews>
  <sheetFormatPr defaultRowHeight="15" x14ac:dyDescent="0.25"/>
  <cols>
    <col min="1" max="1" width="15.5703125" style="2" customWidth="1"/>
    <col min="2" max="2" width="8.7109375" style="2" bestFit="1" customWidth="1"/>
    <col min="3" max="4" width="7.7109375" style="2" bestFit="1" customWidth="1"/>
    <col min="5" max="5" width="6.5703125" style="2" bestFit="1" customWidth="1"/>
    <col min="6" max="6" width="16.7109375" style="2" bestFit="1" customWidth="1"/>
    <col min="7" max="7" width="9.42578125" style="2" bestFit="1" customWidth="1"/>
    <col min="8" max="8" width="12.28515625" style="2" bestFit="1" customWidth="1"/>
    <col min="9" max="9" width="7.5703125" style="2" customWidth="1"/>
    <col min="10" max="10" width="7.7109375" style="2" bestFit="1" customWidth="1"/>
    <col min="11" max="11" width="5.5703125" style="2" bestFit="1" customWidth="1"/>
    <col min="12" max="12" width="7.7109375" style="2" bestFit="1" customWidth="1"/>
    <col min="13" max="16384" width="9.140625" style="2"/>
  </cols>
  <sheetData>
    <row r="1" spans="1:13" s="3" customFormat="1" ht="60" x14ac:dyDescent="0.25">
      <c r="A1" s="29" t="s">
        <v>20</v>
      </c>
      <c r="B1" s="29" t="s">
        <v>21</v>
      </c>
      <c r="C1" s="29" t="s">
        <v>22</v>
      </c>
      <c r="D1" s="29" t="s">
        <v>23</v>
      </c>
      <c r="E1" s="29" t="s">
        <v>24</v>
      </c>
      <c r="F1" s="29" t="s">
        <v>25</v>
      </c>
      <c r="G1" s="29" t="s">
        <v>26</v>
      </c>
      <c r="H1" s="29" t="s">
        <v>4</v>
      </c>
      <c r="I1" s="29" t="s">
        <v>9</v>
      </c>
      <c r="J1" s="29" t="s">
        <v>11</v>
      </c>
      <c r="K1" s="29" t="s">
        <v>27</v>
      </c>
      <c r="L1" s="29" t="s">
        <v>28</v>
      </c>
      <c r="M1" s="29" t="s">
        <v>5</v>
      </c>
    </row>
    <row r="2" spans="1:13" x14ac:dyDescent="0.25">
      <c r="A2" s="30">
        <v>43160</v>
      </c>
      <c r="B2" s="26">
        <v>199100</v>
      </c>
      <c r="C2" s="26">
        <f>ROUND(B2*5%,0)</f>
        <v>9955</v>
      </c>
      <c r="D2" s="26">
        <v>20038</v>
      </c>
      <c r="E2" s="26">
        <v>0</v>
      </c>
      <c r="F2" s="26">
        <f>ROUND(E2*5%,0)</f>
        <v>0</v>
      </c>
      <c r="G2" s="26">
        <f>SUM(B2:F2)</f>
        <v>229093</v>
      </c>
      <c r="H2" s="26">
        <v>1000</v>
      </c>
      <c r="I2" s="26">
        <v>120</v>
      </c>
      <c r="J2" s="26">
        <v>30000</v>
      </c>
      <c r="K2" s="26">
        <v>200</v>
      </c>
      <c r="L2" s="26">
        <v>30000</v>
      </c>
      <c r="M2" s="26">
        <f>ROUND(L2*0.04,0)</f>
        <v>1200</v>
      </c>
    </row>
    <row r="3" spans="1:13" x14ac:dyDescent="0.25">
      <c r="A3" s="30">
        <v>43191</v>
      </c>
      <c r="B3" s="26">
        <v>182508</v>
      </c>
      <c r="C3" s="26">
        <f t="shared" ref="C3:C7" si="0">ROUND(B3*7%,0)</f>
        <v>12776</v>
      </c>
      <c r="D3" s="26">
        <f t="shared" ref="D3:D13" si="1">IF(ROUND(B3*24%,0)&lt;5400,5400,ROUND(B3*24%,0))</f>
        <v>43802</v>
      </c>
      <c r="E3" s="26">
        <v>0</v>
      </c>
      <c r="F3" s="26">
        <f>ROUND(E3*7%,0)</f>
        <v>0</v>
      </c>
      <c r="G3" s="26">
        <f t="shared" ref="G3:G12" si="2">SUM(B3:F3)</f>
        <v>239086</v>
      </c>
      <c r="H3" s="26"/>
      <c r="I3" s="26">
        <v>120</v>
      </c>
      <c r="J3" s="26">
        <v>30000</v>
      </c>
      <c r="K3" s="26">
        <v>200</v>
      </c>
      <c r="L3" s="26">
        <v>30000</v>
      </c>
      <c r="M3" s="26">
        <f t="shared" ref="M3:M13" si="3">ROUND(L3*0.04,0)</f>
        <v>1200</v>
      </c>
    </row>
    <row r="4" spans="1:13" x14ac:dyDescent="0.25">
      <c r="A4" s="30">
        <v>43221</v>
      </c>
      <c r="B4" s="26">
        <v>199100</v>
      </c>
      <c r="C4" s="26">
        <f t="shared" si="0"/>
        <v>13937</v>
      </c>
      <c r="D4" s="26">
        <f t="shared" si="1"/>
        <v>47784</v>
      </c>
      <c r="E4" s="26">
        <v>0</v>
      </c>
      <c r="F4" s="26">
        <f t="shared" ref="F4:F7" si="4">ROUND(E4*7%,0)</f>
        <v>0</v>
      </c>
      <c r="G4" s="26">
        <f t="shared" si="2"/>
        <v>260821</v>
      </c>
      <c r="H4" s="26"/>
      <c r="I4" s="26">
        <v>120</v>
      </c>
      <c r="J4" s="26">
        <v>30000</v>
      </c>
      <c r="K4" s="26">
        <v>200</v>
      </c>
      <c r="L4" s="26">
        <v>30000</v>
      </c>
      <c r="M4" s="26">
        <f t="shared" si="3"/>
        <v>1200</v>
      </c>
    </row>
    <row r="5" spans="1:13" x14ac:dyDescent="0.25">
      <c r="A5" s="30">
        <v>43252</v>
      </c>
      <c r="B5" s="26">
        <v>199100</v>
      </c>
      <c r="C5" s="26">
        <f t="shared" si="0"/>
        <v>13937</v>
      </c>
      <c r="D5" s="26">
        <f t="shared" si="1"/>
        <v>47784</v>
      </c>
      <c r="E5" s="26">
        <v>0</v>
      </c>
      <c r="F5" s="26">
        <f t="shared" si="4"/>
        <v>0</v>
      </c>
      <c r="G5" s="26">
        <f t="shared" si="2"/>
        <v>260821</v>
      </c>
      <c r="H5" s="26"/>
      <c r="I5" s="26">
        <v>120</v>
      </c>
      <c r="J5" s="26">
        <v>50000</v>
      </c>
      <c r="K5" s="26">
        <v>200</v>
      </c>
      <c r="L5" s="26">
        <v>30000</v>
      </c>
      <c r="M5" s="26">
        <f t="shared" si="3"/>
        <v>1200</v>
      </c>
    </row>
    <row r="6" spans="1:13" x14ac:dyDescent="0.25">
      <c r="A6" s="30">
        <v>43282</v>
      </c>
      <c r="B6" s="26">
        <v>205100</v>
      </c>
      <c r="C6" s="26">
        <f t="shared" si="0"/>
        <v>14357</v>
      </c>
      <c r="D6" s="26">
        <f t="shared" si="1"/>
        <v>49224</v>
      </c>
      <c r="E6" s="26">
        <v>0</v>
      </c>
      <c r="F6" s="26">
        <f t="shared" si="4"/>
        <v>0</v>
      </c>
      <c r="G6" s="26">
        <f t="shared" si="2"/>
        <v>268681</v>
      </c>
      <c r="H6" s="26"/>
      <c r="I6" s="26">
        <v>120</v>
      </c>
      <c r="J6" s="26">
        <v>50000</v>
      </c>
      <c r="K6" s="26">
        <v>200</v>
      </c>
      <c r="L6" s="26">
        <v>30000</v>
      </c>
      <c r="M6" s="26">
        <f t="shared" si="3"/>
        <v>1200</v>
      </c>
    </row>
    <row r="7" spans="1:13" x14ac:dyDescent="0.25">
      <c r="A7" s="30">
        <v>43313</v>
      </c>
      <c r="B7" s="26">
        <v>178635</v>
      </c>
      <c r="C7" s="26">
        <f t="shared" si="0"/>
        <v>12504</v>
      </c>
      <c r="D7" s="26">
        <f t="shared" si="1"/>
        <v>42872</v>
      </c>
      <c r="E7" s="26">
        <v>0</v>
      </c>
      <c r="F7" s="26">
        <f t="shared" si="4"/>
        <v>0</v>
      </c>
      <c r="G7" s="26">
        <f t="shared" si="2"/>
        <v>234011</v>
      </c>
      <c r="H7" s="26"/>
      <c r="I7" s="26">
        <v>120</v>
      </c>
      <c r="J7" s="26">
        <v>50000</v>
      </c>
      <c r="K7" s="26">
        <v>200</v>
      </c>
      <c r="L7" s="26">
        <v>30000</v>
      </c>
      <c r="M7" s="26">
        <f t="shared" si="3"/>
        <v>1200</v>
      </c>
    </row>
    <row r="8" spans="1:13" x14ac:dyDescent="0.25">
      <c r="A8" s="30">
        <v>43344</v>
      </c>
      <c r="B8" s="26">
        <v>205100</v>
      </c>
      <c r="C8" s="26">
        <f>ROUND(B8*9%,0)</f>
        <v>18459</v>
      </c>
      <c r="D8" s="26">
        <f t="shared" si="1"/>
        <v>49224</v>
      </c>
      <c r="E8" s="26">
        <v>0</v>
      </c>
      <c r="F8" s="26">
        <f>ROUND(E8*9%,0)</f>
        <v>0</v>
      </c>
      <c r="G8" s="26">
        <f t="shared" si="2"/>
        <v>272783</v>
      </c>
      <c r="H8" s="26"/>
      <c r="I8" s="26">
        <v>120</v>
      </c>
      <c r="J8" s="26">
        <v>50000</v>
      </c>
      <c r="K8" s="26">
        <v>200</v>
      </c>
      <c r="L8" s="26">
        <v>30000</v>
      </c>
      <c r="M8" s="26">
        <f t="shared" si="3"/>
        <v>1200</v>
      </c>
    </row>
    <row r="9" spans="1:13" x14ac:dyDescent="0.25">
      <c r="A9" s="30">
        <v>43374</v>
      </c>
      <c r="B9" s="26">
        <v>205100</v>
      </c>
      <c r="C9" s="26">
        <f>ROUND(B9*9%,0)</f>
        <v>18459</v>
      </c>
      <c r="D9" s="26">
        <f t="shared" si="1"/>
        <v>49224</v>
      </c>
      <c r="E9" s="26">
        <v>0</v>
      </c>
      <c r="F9" s="26">
        <f t="shared" ref="F9:F13" si="5">ROUND(E9*9%,0)</f>
        <v>0</v>
      </c>
      <c r="G9" s="26">
        <f t="shared" si="2"/>
        <v>272783</v>
      </c>
      <c r="H9" s="26"/>
      <c r="I9" s="26">
        <v>120</v>
      </c>
      <c r="J9" s="26">
        <v>50000</v>
      </c>
      <c r="K9" s="26">
        <v>200</v>
      </c>
      <c r="L9" s="26">
        <v>75000</v>
      </c>
      <c r="M9" s="26">
        <f t="shared" si="3"/>
        <v>3000</v>
      </c>
    </row>
    <row r="10" spans="1:13" x14ac:dyDescent="0.25">
      <c r="A10" s="30">
        <v>43405</v>
      </c>
      <c r="B10" s="26">
        <v>205100</v>
      </c>
      <c r="C10" s="26">
        <f t="shared" ref="C10:C13" si="6">ROUND(B10*9%,0)</f>
        <v>18459</v>
      </c>
      <c r="D10" s="26">
        <f t="shared" si="1"/>
        <v>49224</v>
      </c>
      <c r="E10" s="26">
        <v>0</v>
      </c>
      <c r="F10" s="26">
        <f t="shared" si="5"/>
        <v>0</v>
      </c>
      <c r="G10" s="26">
        <f t="shared" si="2"/>
        <v>272783</v>
      </c>
      <c r="H10" s="26"/>
      <c r="I10" s="26">
        <v>120</v>
      </c>
      <c r="J10" s="26">
        <v>50000</v>
      </c>
      <c r="K10" s="26">
        <v>200</v>
      </c>
      <c r="L10" s="26">
        <v>75000</v>
      </c>
      <c r="M10" s="26">
        <f t="shared" si="3"/>
        <v>3000</v>
      </c>
    </row>
    <row r="11" spans="1:13" x14ac:dyDescent="0.25">
      <c r="A11" s="30">
        <v>43435</v>
      </c>
      <c r="B11" s="26">
        <v>205100</v>
      </c>
      <c r="C11" s="26">
        <f t="shared" si="6"/>
        <v>18459</v>
      </c>
      <c r="D11" s="26">
        <f t="shared" si="1"/>
        <v>49224</v>
      </c>
      <c r="E11" s="26">
        <v>0</v>
      </c>
      <c r="F11" s="26">
        <f t="shared" si="5"/>
        <v>0</v>
      </c>
      <c r="G11" s="26">
        <f t="shared" si="2"/>
        <v>272783</v>
      </c>
      <c r="H11" s="26"/>
      <c r="I11" s="26">
        <v>120</v>
      </c>
      <c r="J11" s="26">
        <v>50000</v>
      </c>
      <c r="K11" s="26">
        <v>200</v>
      </c>
      <c r="L11" s="26">
        <v>75000</v>
      </c>
      <c r="M11" s="26">
        <f t="shared" si="3"/>
        <v>3000</v>
      </c>
    </row>
    <row r="12" spans="1:13" x14ac:dyDescent="0.25">
      <c r="A12" s="30">
        <v>43466</v>
      </c>
      <c r="B12" s="26">
        <v>205100</v>
      </c>
      <c r="C12" s="26">
        <f t="shared" si="6"/>
        <v>18459</v>
      </c>
      <c r="D12" s="26">
        <f t="shared" si="1"/>
        <v>49224</v>
      </c>
      <c r="E12" s="26">
        <v>0</v>
      </c>
      <c r="F12" s="26">
        <f t="shared" si="5"/>
        <v>0</v>
      </c>
      <c r="G12" s="26">
        <f t="shared" si="2"/>
        <v>272783</v>
      </c>
      <c r="H12" s="26"/>
      <c r="I12" s="26">
        <v>120</v>
      </c>
      <c r="J12" s="26">
        <v>50000</v>
      </c>
      <c r="K12" s="26">
        <v>200</v>
      </c>
      <c r="L12" s="26">
        <v>75000</v>
      </c>
      <c r="M12" s="26">
        <f t="shared" si="3"/>
        <v>3000</v>
      </c>
    </row>
    <row r="13" spans="1:13" x14ac:dyDescent="0.25">
      <c r="A13" s="30">
        <v>43497</v>
      </c>
      <c r="B13" s="26">
        <v>205100</v>
      </c>
      <c r="C13" s="26">
        <f t="shared" si="6"/>
        <v>18459</v>
      </c>
      <c r="D13" s="26">
        <f t="shared" si="1"/>
        <v>49224</v>
      </c>
      <c r="E13" s="26">
        <v>0</v>
      </c>
      <c r="F13" s="26">
        <f t="shared" si="5"/>
        <v>0</v>
      </c>
      <c r="G13" s="26">
        <f>SUM(B13:F13)</f>
        <v>272783</v>
      </c>
      <c r="H13" s="26"/>
      <c r="I13" s="26">
        <v>120</v>
      </c>
      <c r="J13" s="26">
        <v>50000</v>
      </c>
      <c r="K13" s="26">
        <v>200</v>
      </c>
      <c r="L13" s="26">
        <v>185910</v>
      </c>
      <c r="M13" s="26">
        <f t="shared" si="3"/>
        <v>7436</v>
      </c>
    </row>
    <row r="14" spans="1:13" x14ac:dyDescent="0.25">
      <c r="A14" s="25" t="s">
        <v>6</v>
      </c>
      <c r="B14" s="26"/>
      <c r="C14" s="26">
        <v>11733</v>
      </c>
      <c r="D14" s="26"/>
      <c r="E14" s="26"/>
      <c r="F14" s="26"/>
      <c r="G14" s="26">
        <v>11733</v>
      </c>
      <c r="H14" s="26"/>
      <c r="I14" s="26"/>
      <c r="J14" s="26">
        <v>0</v>
      </c>
      <c r="K14" s="26"/>
      <c r="L14" s="26"/>
      <c r="M14" s="26"/>
    </row>
    <row r="15" spans="1:13" ht="30" x14ac:dyDescent="0.25">
      <c r="A15" s="25" t="s">
        <v>7</v>
      </c>
      <c r="B15" s="26"/>
      <c r="C15" s="26">
        <v>7675</v>
      </c>
      <c r="D15" s="26"/>
      <c r="E15" s="26"/>
      <c r="F15" s="26"/>
      <c r="G15" s="26">
        <v>7675</v>
      </c>
      <c r="H15" s="26"/>
      <c r="I15" s="26"/>
      <c r="J15" s="26">
        <v>0</v>
      </c>
      <c r="K15" s="26"/>
      <c r="L15" s="26"/>
      <c r="M15" s="26"/>
    </row>
    <row r="16" spans="1:13" ht="30" x14ac:dyDescent="0.25">
      <c r="A16" s="25" t="s">
        <v>8</v>
      </c>
      <c r="B16" s="26"/>
      <c r="C16" s="26"/>
      <c r="D16" s="26">
        <v>10334</v>
      </c>
      <c r="E16" s="26"/>
      <c r="F16" s="26"/>
      <c r="G16" s="26">
        <v>10334</v>
      </c>
      <c r="H16" s="26"/>
      <c r="I16" s="26"/>
      <c r="J16" s="26"/>
      <c r="K16" s="26"/>
      <c r="L16" s="26"/>
      <c r="M16" s="26"/>
    </row>
    <row r="17" spans="1:14" x14ac:dyDescent="0.25">
      <c r="A17" s="25" t="s">
        <v>3</v>
      </c>
      <c r="B17" s="26">
        <f t="shared" ref="B17:G17" si="7">SUM(B2:B16)</f>
        <v>2394143</v>
      </c>
      <c r="C17" s="26">
        <f t="shared" si="7"/>
        <v>207628</v>
      </c>
      <c r="D17" s="26">
        <f t="shared" si="7"/>
        <v>557182</v>
      </c>
      <c r="E17" s="26">
        <f t="shared" si="7"/>
        <v>0</v>
      </c>
      <c r="F17" s="26">
        <f t="shared" si="7"/>
        <v>0</v>
      </c>
      <c r="G17" s="26">
        <f t="shared" si="7"/>
        <v>3158953</v>
      </c>
      <c r="H17" s="26">
        <f t="shared" ref="H17:M17" si="8">SUM(H2:H15)</f>
        <v>1000</v>
      </c>
      <c r="I17" s="26">
        <f t="shared" si="8"/>
        <v>1440</v>
      </c>
      <c r="J17" s="26">
        <f t="shared" si="8"/>
        <v>540000</v>
      </c>
      <c r="K17" s="26">
        <f t="shared" si="8"/>
        <v>2400</v>
      </c>
      <c r="L17" s="26">
        <f t="shared" si="8"/>
        <v>695910</v>
      </c>
      <c r="M17" s="26">
        <f t="shared" si="8"/>
        <v>27836</v>
      </c>
      <c r="N17" s="2">
        <f>G13-SUM(H13:M13)-SUM(Sheet2!B37:B38)</f>
        <v>29127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1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view="pageBreakPreview" topLeftCell="A28" zoomScale="60" zoomScaleNormal="100" workbookViewId="0">
      <selection activeCell="B37" sqref="B37"/>
    </sheetView>
  </sheetViews>
  <sheetFormatPr defaultColWidth="25.28515625" defaultRowHeight="15" x14ac:dyDescent="0.25"/>
  <cols>
    <col min="1" max="1" width="20.28515625" customWidth="1"/>
  </cols>
  <sheetData>
    <row r="1" spans="1:3" x14ac:dyDescent="0.25">
      <c r="A1" s="26"/>
      <c r="B1" s="37" t="s">
        <v>1</v>
      </c>
      <c r="C1" s="37" t="s">
        <v>2</v>
      </c>
    </row>
    <row r="2" spans="1:3" x14ac:dyDescent="0.25">
      <c r="A2" s="25" t="s">
        <v>32</v>
      </c>
      <c r="B2" s="26">
        <f>Sheet1!G17</f>
        <v>3158953</v>
      </c>
      <c r="C2" s="31">
        <f>B2</f>
        <v>3158953</v>
      </c>
    </row>
    <row r="3" spans="1:3" ht="30" x14ac:dyDescent="0.25">
      <c r="A3" s="25" t="s">
        <v>33</v>
      </c>
      <c r="B3" s="26"/>
      <c r="C3" s="31">
        <v>40000</v>
      </c>
    </row>
    <row r="4" spans="1:3" ht="30" x14ac:dyDescent="0.25">
      <c r="A4" s="25" t="s">
        <v>34</v>
      </c>
      <c r="B4" s="26">
        <f>Sheet1!K17</f>
        <v>2400</v>
      </c>
      <c r="C4" s="31">
        <f>B4</f>
        <v>2400</v>
      </c>
    </row>
    <row r="5" spans="1:3" ht="30.75" thickBot="1" x14ac:dyDescent="0.3">
      <c r="A5" s="1" t="s">
        <v>38</v>
      </c>
      <c r="B5" s="4"/>
      <c r="C5" s="5">
        <f>C2-SUM(C3:C4)</f>
        <v>3116553</v>
      </c>
    </row>
    <row r="6" spans="1:3" x14ac:dyDescent="0.25">
      <c r="A6" s="15"/>
      <c r="B6" s="9"/>
      <c r="C6" s="16"/>
    </row>
    <row r="7" spans="1:3" x14ac:dyDescent="0.25">
      <c r="A7" s="19" t="s">
        <v>10</v>
      </c>
      <c r="B7" s="9"/>
      <c r="C7" s="16"/>
    </row>
    <row r="8" spans="1:3" ht="15.75" thickBot="1" x14ac:dyDescent="0.3">
      <c r="A8" s="8" t="s">
        <v>39</v>
      </c>
      <c r="B8" s="9"/>
      <c r="C8" s="18"/>
    </row>
    <row r="9" spans="1:3" x14ac:dyDescent="0.25">
      <c r="A9" s="32" t="s">
        <v>35</v>
      </c>
      <c r="B9" s="33">
        <f>Sheet1!I17</f>
        <v>1440</v>
      </c>
      <c r="C9" s="6"/>
    </row>
    <row r="10" spans="1:3" x14ac:dyDescent="0.25">
      <c r="A10" s="32" t="s">
        <v>36</v>
      </c>
      <c r="B10" s="26">
        <f>Sheet1!J17</f>
        <v>540000</v>
      </c>
      <c r="C10" s="6"/>
    </row>
    <row r="11" spans="1:3" x14ac:dyDescent="0.25">
      <c r="A11" s="32" t="s">
        <v>37</v>
      </c>
      <c r="B11" s="26"/>
      <c r="C11" s="6"/>
    </row>
    <row r="12" spans="1:3" ht="30.75" thickBot="1" x14ac:dyDescent="0.3">
      <c r="A12" s="34" t="s">
        <v>40</v>
      </c>
      <c r="B12" s="4">
        <f>SUM(B9:B11)</f>
        <v>541440</v>
      </c>
      <c r="C12" s="7">
        <f>IF(B12&gt;150000,150000,B12)</f>
        <v>150000</v>
      </c>
    </row>
    <row r="13" spans="1:3" x14ac:dyDescent="0.25">
      <c r="A13" s="8"/>
      <c r="B13" s="9"/>
      <c r="C13" s="9"/>
    </row>
    <row r="14" spans="1:3" ht="30.75" thickBot="1" x14ac:dyDescent="0.3">
      <c r="A14" s="34" t="s">
        <v>49</v>
      </c>
      <c r="B14" s="4">
        <v>0</v>
      </c>
      <c r="C14" s="5">
        <f>IF(B14&gt;50000,50000,B14)</f>
        <v>0</v>
      </c>
    </row>
    <row r="15" spans="1:3" x14ac:dyDescent="0.25">
      <c r="A15" s="8"/>
      <c r="B15" s="9"/>
      <c r="C15" s="16"/>
    </row>
    <row r="16" spans="1:3" ht="15.75" thickBot="1" x14ac:dyDescent="0.3">
      <c r="A16" s="20" t="s">
        <v>41</v>
      </c>
      <c r="B16" s="17"/>
      <c r="C16" s="17"/>
    </row>
    <row r="17" spans="1:3" x14ac:dyDescent="0.25">
      <c r="A17" s="10" t="s">
        <v>42</v>
      </c>
      <c r="B17" s="2">
        <f>Sheet1!H17</f>
        <v>1000</v>
      </c>
      <c r="C17" s="2"/>
    </row>
    <row r="18" spans="1:3" x14ac:dyDescent="0.25">
      <c r="A18" s="10" t="s">
        <v>43</v>
      </c>
      <c r="B18" s="2">
        <v>20895</v>
      </c>
      <c r="C18" s="2"/>
    </row>
    <row r="19" spans="1:3" ht="30.75" thickBot="1" x14ac:dyDescent="0.3">
      <c r="A19" s="35" t="s">
        <v>44</v>
      </c>
      <c r="B19" s="4">
        <f>SUM(B17:B18)</f>
        <v>21895</v>
      </c>
      <c r="C19" s="11">
        <f>IF(B19&lt;25000,B19,25000)</f>
        <v>21895</v>
      </c>
    </row>
    <row r="20" spans="1:3" x14ac:dyDescent="0.25">
      <c r="A20" s="10"/>
      <c r="B20" s="9"/>
      <c r="C20" s="21"/>
    </row>
    <row r="21" spans="1:3" ht="15.75" thickBot="1" x14ac:dyDescent="0.3">
      <c r="A21" s="36" t="s">
        <v>45</v>
      </c>
      <c r="B21" s="17"/>
      <c r="C21" s="17">
        <v>0</v>
      </c>
    </row>
    <row r="22" spans="1:3" ht="15.75" thickBot="1" x14ac:dyDescent="0.3">
      <c r="A22" s="36" t="s">
        <v>46</v>
      </c>
      <c r="B22" s="17"/>
      <c r="C22" s="17">
        <v>0</v>
      </c>
    </row>
    <row r="23" spans="1:3" ht="15.75" thickBot="1" x14ac:dyDescent="0.3">
      <c r="A23" s="36" t="s">
        <v>47</v>
      </c>
      <c r="B23" s="17"/>
      <c r="C23" s="17">
        <v>0</v>
      </c>
    </row>
    <row r="24" spans="1:3" ht="30.75" thickBot="1" x14ac:dyDescent="0.3">
      <c r="A24" s="12" t="s">
        <v>48</v>
      </c>
      <c r="B24" s="13"/>
      <c r="C24" s="14">
        <f>SUM(C9:C23)</f>
        <v>171895</v>
      </c>
    </row>
    <row r="25" spans="1:3" ht="31.5" thickTop="1" thickBot="1" x14ac:dyDescent="0.3">
      <c r="A25" s="22" t="s">
        <v>29</v>
      </c>
      <c r="B25" s="23"/>
      <c r="C25" s="23">
        <f>C5-C24</f>
        <v>2944658</v>
      </c>
    </row>
    <row r="26" spans="1:3" x14ac:dyDescent="0.25">
      <c r="A26" s="15"/>
      <c r="B26" s="9"/>
      <c r="C26" s="9"/>
    </row>
    <row r="27" spans="1:3" x14ac:dyDescent="0.25">
      <c r="A27" s="24" t="s">
        <v>12</v>
      </c>
      <c r="B27" s="2"/>
      <c r="C27" s="2"/>
    </row>
    <row r="28" spans="1:3" x14ac:dyDescent="0.25">
      <c r="A28" s="25" t="s">
        <v>13</v>
      </c>
      <c r="B28" s="26">
        <f>ROUND((C25-1000000)*0.3,0)</f>
        <v>583397</v>
      </c>
      <c r="C28" s="2"/>
    </row>
    <row r="29" spans="1:3" ht="30" x14ac:dyDescent="0.25">
      <c r="A29" s="27" t="s">
        <v>14</v>
      </c>
      <c r="B29" s="26">
        <f>IF(C25&gt;1000000,100000,IF(B30&gt;=12500,(C25-500000)*0.2,0))</f>
        <v>100000</v>
      </c>
      <c r="C29" s="2"/>
    </row>
    <row r="30" spans="1:3" ht="30" x14ac:dyDescent="0.25">
      <c r="A30" s="27" t="s">
        <v>15</v>
      </c>
      <c r="B30" s="26">
        <f>IF((C25-250000)*0.05&gt;12500,12500,(C25-250000)*0.05)</f>
        <v>12500</v>
      </c>
      <c r="C30" s="2"/>
    </row>
    <row r="31" spans="1:3" x14ac:dyDescent="0.25">
      <c r="A31" s="27" t="s">
        <v>16</v>
      </c>
      <c r="B31" s="26">
        <v>0</v>
      </c>
      <c r="C31" s="2"/>
    </row>
    <row r="32" spans="1:3" x14ac:dyDescent="0.25">
      <c r="A32" s="27" t="s">
        <v>0</v>
      </c>
      <c r="B32" s="26">
        <f>IF(C25&lt;=350000,2500,0)</f>
        <v>0</v>
      </c>
      <c r="C32" s="2"/>
    </row>
    <row r="33" spans="1:3" x14ac:dyDescent="0.25">
      <c r="A33" s="27" t="s">
        <v>30</v>
      </c>
      <c r="B33" s="26">
        <f>SUM(B28:B30)-B32</f>
        <v>695897</v>
      </c>
      <c r="C33" s="2"/>
    </row>
    <row r="34" spans="1:3" ht="30" x14ac:dyDescent="0.25">
      <c r="A34" s="25" t="s">
        <v>31</v>
      </c>
      <c r="B34" s="28">
        <f>ROUND(B33,-1)</f>
        <v>695900</v>
      </c>
      <c r="C34" s="2"/>
    </row>
    <row r="35" spans="1:3" ht="30" x14ac:dyDescent="0.25">
      <c r="A35" s="25" t="s">
        <v>19</v>
      </c>
      <c r="B35" s="26">
        <f>Sheet1!L17</f>
        <v>695910</v>
      </c>
      <c r="C35" s="2"/>
    </row>
    <row r="36" spans="1:3" ht="30" x14ac:dyDescent="0.25">
      <c r="A36" s="25" t="s">
        <v>50</v>
      </c>
      <c r="B36" s="26">
        <f>Sheet1!M17</f>
        <v>27836</v>
      </c>
      <c r="C36" s="2"/>
    </row>
    <row r="37" spans="1:3" ht="30" x14ac:dyDescent="0.25">
      <c r="A37" s="25" t="s">
        <v>18</v>
      </c>
      <c r="B37" s="26">
        <f>B34-B35</f>
        <v>-10</v>
      </c>
      <c r="C37" s="2"/>
    </row>
    <row r="38" spans="1:3" ht="30" x14ac:dyDescent="0.25">
      <c r="A38" s="25" t="s">
        <v>17</v>
      </c>
      <c r="B38" s="26">
        <f>ROUND(B37*0.04,0)</f>
        <v>0</v>
      </c>
      <c r="C38" s="2"/>
    </row>
  </sheetData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2019-02-26T10:23:20Z</cp:lastPrinted>
  <dcterms:created xsi:type="dcterms:W3CDTF">2019-01-03T06:19:25Z</dcterms:created>
  <dcterms:modified xsi:type="dcterms:W3CDTF">2019-02-26T12:28:15Z</dcterms:modified>
</cp:coreProperties>
</file>