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3760"/>
  </bookViews>
  <sheets>
    <sheet name="Scent Inventory" sheetId="3" r:id="rId1"/>
    <sheet name="Cost Calculator" sheetId="1" r:id="rId2"/>
    <sheet name="Batch Supplies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<sst xmlns="http://schemas.openxmlformats.org/spreadsheetml/2006/main" count="558" uniqueCount="310">
  <si>
    <t>Brand</t>
  </si>
  <si>
    <t>Name</t>
  </si>
  <si>
    <t>Market</t>
  </si>
  <si>
    <t>Group</t>
  </si>
  <si>
    <t>MOS Name</t>
  </si>
  <si>
    <t>Supplier</t>
  </si>
  <si>
    <t>30mL Parfum Cost</t>
  </si>
  <si>
    <t>30mL Retail Price</t>
  </si>
  <si>
    <t>30mL Profit</t>
  </si>
  <si>
    <t>50mL Hair Mist</t>
  </si>
  <si>
    <t>Retail Price</t>
  </si>
  <si>
    <t>Profit</t>
  </si>
  <si>
    <t>100mL Col. Cost</t>
  </si>
  <si>
    <t>100mL Col. Retail Price</t>
  </si>
  <si>
    <t>100mL Col. Profit</t>
  </si>
  <si>
    <t>Tom Ford</t>
  </si>
  <si>
    <t>Bitter Peach</t>
  </si>
  <si>
    <t>Unisex</t>
  </si>
  <si>
    <t>Amber Vanilla</t>
  </si>
  <si>
    <t>24 Persicarat</t>
  </si>
  <si>
    <t>MG Fragrance Distribution Corp</t>
  </si>
  <si>
    <t>Byredo</t>
  </si>
  <si>
    <t>Rose of No Man's Land</t>
  </si>
  <si>
    <t>Amber Spicy</t>
  </si>
  <si>
    <t>Amberuby</t>
  </si>
  <si>
    <t>Kilian</t>
  </si>
  <si>
    <t>Angel's Share</t>
  </si>
  <si>
    <t>Anti-sober</t>
  </si>
  <si>
    <t>Jack Unlmtd Supplies</t>
  </si>
  <si>
    <t>Gucci</t>
  </si>
  <si>
    <t>Guilty</t>
  </si>
  <si>
    <t>Men</t>
  </si>
  <si>
    <t>Woody Aromatic</t>
  </si>
  <si>
    <r>
      <rPr>
        <sz val="11"/>
        <color theme="1"/>
        <rFont val="Calibri"/>
        <charset val="134"/>
        <scheme val="minor"/>
      </rPr>
      <t>Apololav</t>
    </r>
    <r>
      <rPr>
        <sz val="11"/>
        <color theme="1"/>
        <rFont val="Calibri"/>
        <charset val="134"/>
      </rPr>
      <t>è</t>
    </r>
  </si>
  <si>
    <t>KC Collection</t>
  </si>
  <si>
    <t>Calvin Klein</t>
  </si>
  <si>
    <t>CK2</t>
  </si>
  <si>
    <t>Arctic Materia</t>
  </si>
  <si>
    <t>Oud Wood</t>
  </si>
  <si>
    <t>Amber Woody</t>
  </si>
  <si>
    <t>Ardorveil</t>
  </si>
  <si>
    <t>FW Spavenue</t>
  </si>
  <si>
    <t>Maison Francis Kurkdjian</t>
  </si>
  <si>
    <t>Gentle Fluidity Silver</t>
  </si>
  <si>
    <t>Aromatic Spicy</t>
  </si>
  <si>
    <t>Argentinite</t>
  </si>
  <si>
    <t>Lost Cherry</t>
  </si>
  <si>
    <t>Amber Floral</t>
  </si>
  <si>
    <t>Avium Magnifique</t>
  </si>
  <si>
    <t>Cafe Rose</t>
  </si>
  <si>
    <t>Women</t>
  </si>
  <si>
    <t>Bar of the Elegants</t>
  </si>
  <si>
    <t>Givenchy</t>
  </si>
  <si>
    <t>Absolutely Irresistable</t>
  </si>
  <si>
    <t>Floral</t>
  </si>
  <si>
    <t>Certainty</t>
  </si>
  <si>
    <t>Parfums De Marly</t>
  </si>
  <si>
    <t>Delina Exclusif</t>
  </si>
  <si>
    <t>Amber</t>
  </si>
  <si>
    <t>Chinensis Savor</t>
  </si>
  <si>
    <t>Soleil Blanc</t>
  </si>
  <si>
    <t>Corosa Skies</t>
  </si>
  <si>
    <t>Scents of Smell</t>
  </si>
  <si>
    <t>Escape</t>
  </si>
  <si>
    <t>Aromatic Green</t>
  </si>
  <si>
    <t>Dainty Esplanade</t>
  </si>
  <si>
    <t>Mojave Ghost</t>
  </si>
  <si>
    <t>Dear Whispers</t>
  </si>
  <si>
    <t>The Frag Depot</t>
  </si>
  <si>
    <t>Xerjoff</t>
  </si>
  <si>
    <t>Erba Pura</t>
  </si>
  <si>
    <t>Delight Mélange</t>
  </si>
  <si>
    <t>Parfum Aromatics Co.</t>
  </si>
  <si>
    <t>Le Labo</t>
  </si>
  <si>
    <t>Another 13</t>
  </si>
  <si>
    <t>Dermacore Vent</t>
  </si>
  <si>
    <t>Lacoste</t>
  </si>
  <si>
    <t>Style In Play</t>
  </si>
  <si>
    <t>Woody Floral Musk</t>
  </si>
  <si>
    <t>Dustyle</t>
  </si>
  <si>
    <t>Tobacco Vanille</t>
  </si>
  <si>
    <t>Enigmiasma</t>
  </si>
  <si>
    <t>Prada</t>
  </si>
  <si>
    <t>Paradoxe</t>
  </si>
  <si>
    <t>Epicene Oxymoron</t>
  </si>
  <si>
    <t>Kenzo</t>
  </si>
  <si>
    <t>Flower</t>
  </si>
  <si>
    <t>Garland</t>
  </si>
  <si>
    <t>Hermes</t>
  </si>
  <si>
    <t>Un Jardin Sur Le Toit</t>
  </si>
  <si>
    <t>Aromatic Fruity</t>
  </si>
  <si>
    <t>Glade Parade</t>
  </si>
  <si>
    <t>Blanche</t>
  </si>
  <si>
    <t>Floral Aldehyde</t>
  </si>
  <si>
    <t>Glittersphere</t>
  </si>
  <si>
    <t>Diptyque</t>
  </si>
  <si>
    <t>Orpheon</t>
  </si>
  <si>
    <t>Woody Chypre</t>
  </si>
  <si>
    <t>Grovelock</t>
  </si>
  <si>
    <t>Jo Malone</t>
  </si>
  <si>
    <t>Mimosa &amp; Cardamom</t>
  </si>
  <si>
    <t>Helios Syrup</t>
  </si>
  <si>
    <t>Blackberry &amp; Bay</t>
  </si>
  <si>
    <t>Floral Fruity</t>
  </si>
  <si>
    <t>Honorable Laurel</t>
  </si>
  <si>
    <t>Earl Grey &amp; Cucumber</t>
  </si>
  <si>
    <t>Aromatic</t>
  </si>
  <si>
    <t>Icerbalitt</t>
  </si>
  <si>
    <t>Ebene Fume</t>
  </si>
  <si>
    <t>Incorienta Woods</t>
  </si>
  <si>
    <t>Essential</t>
  </si>
  <si>
    <t>Indispensable</t>
  </si>
  <si>
    <t>Frederic Malle</t>
  </si>
  <si>
    <t>Lys Mediterranee</t>
  </si>
  <si>
    <t>Lilium Celestia</t>
  </si>
  <si>
    <t>Davidoff</t>
  </si>
  <si>
    <t>Cool Water</t>
  </si>
  <si>
    <t>Floral Aquatic</t>
  </si>
  <si>
    <t>Lotus Drift</t>
  </si>
  <si>
    <t>Gypsy Water</t>
  </si>
  <si>
    <t>Lucent Haze</t>
  </si>
  <si>
    <t>Sweet Lime &amp; Cedar</t>
  </si>
  <si>
    <t xml:space="preserve">Lumberfizz </t>
  </si>
  <si>
    <t>Wild Fig &amp; Cassis</t>
  </si>
  <si>
    <t>Lush Pingrasap</t>
  </si>
  <si>
    <t>Paco Rabanne</t>
  </si>
  <si>
    <t>Invictus Legend</t>
  </si>
  <si>
    <t>Maritaroma</t>
  </si>
  <si>
    <t>Baccarat Rouge 540</t>
  </si>
  <si>
    <t>Noble Aplomb</t>
  </si>
  <si>
    <t>Nasturtium &amp; Clover</t>
  </si>
  <si>
    <t>Novel Spirit of Fire</t>
  </si>
  <si>
    <t>Bath &amp; Body Works</t>
  </si>
  <si>
    <t>Wild Madagascar Vanilla</t>
  </si>
  <si>
    <t>Floral Woody Musk</t>
  </si>
  <si>
    <t>Pearanil Wisp</t>
  </si>
  <si>
    <t>Bvlgari</t>
  </si>
  <si>
    <t>Omnia Green Jade</t>
  </si>
  <si>
    <t>Peostachio Airs</t>
  </si>
  <si>
    <t>Vanille Fatale</t>
  </si>
  <si>
    <t>Pillar of Gusaco</t>
  </si>
  <si>
    <t>Ferrari</t>
  </si>
  <si>
    <t>Ferrari Black</t>
  </si>
  <si>
    <t>Aromatic Fougere</t>
  </si>
  <si>
    <t>Royal Musketeer</t>
  </si>
  <si>
    <t>White Tea &amp; Ginger</t>
  </si>
  <si>
    <t>Floral Green</t>
  </si>
  <si>
    <t>Royal Zingiber</t>
  </si>
  <si>
    <t xml:space="preserve">French Lime Blossom </t>
  </si>
  <si>
    <t>Saccharine Dew</t>
  </si>
  <si>
    <t>Blue Agava &amp; Cacao</t>
  </si>
  <si>
    <t>Savocao Manna</t>
  </si>
  <si>
    <t>Christian Dior</t>
  </si>
  <si>
    <t>Fahrenheit 32</t>
  </si>
  <si>
    <t>Sentir La Crème</t>
  </si>
  <si>
    <t>Euphoria</t>
  </si>
  <si>
    <t>Shadow Orchids</t>
  </si>
  <si>
    <t>Hugo Boss</t>
  </si>
  <si>
    <t>Hugo Iced</t>
  </si>
  <si>
    <t>Aromatic Aquatic</t>
  </si>
  <si>
    <t>Snow Crystal Gust</t>
  </si>
  <si>
    <t>Olympea Solar</t>
  </si>
  <si>
    <t>Citrus Aromatic</t>
  </si>
  <si>
    <t>Solanzoin</t>
  </si>
  <si>
    <t>Eternity Now</t>
  </si>
  <si>
    <t>Amber Fougere</t>
  </si>
  <si>
    <t>Staracton</t>
  </si>
  <si>
    <t>Escada</t>
  </si>
  <si>
    <t>Santorini Sunrise</t>
  </si>
  <si>
    <t>NA</t>
  </si>
  <si>
    <t>Sunrise Relic</t>
  </si>
  <si>
    <t>Kim Kardashian</t>
  </si>
  <si>
    <t>Gold</t>
  </si>
  <si>
    <t>Sunset Relic</t>
  </si>
  <si>
    <t>Aqva</t>
  </si>
  <si>
    <t>Surf &amp; Dive</t>
  </si>
  <si>
    <t>White Jasmine &amp; Mint</t>
  </si>
  <si>
    <t>Sylvan Free Rein</t>
  </si>
  <si>
    <t>Man Rain Essence</t>
  </si>
  <si>
    <t>Tealotoz Coast</t>
  </si>
  <si>
    <t>Vilhelm Parfumerie</t>
  </si>
  <si>
    <t>Dear Polly</t>
  </si>
  <si>
    <t>The Beloved</t>
  </si>
  <si>
    <t>Boss Bottled Intense</t>
  </si>
  <si>
    <t>Woody Spicy</t>
  </si>
  <si>
    <t>The Contained</t>
  </si>
  <si>
    <t>Sauvage Elixir</t>
  </si>
  <si>
    <t>The Unchained</t>
  </si>
  <si>
    <t>Cactus Blossom</t>
  </si>
  <si>
    <t>Thornberry</t>
  </si>
  <si>
    <t>Maison Martin Margiela</t>
  </si>
  <si>
    <t>By The Fireplace</t>
  </si>
  <si>
    <t>Woody</t>
  </si>
  <si>
    <t>Treats &amp; Twigs</t>
  </si>
  <si>
    <t>Tam Dao</t>
  </si>
  <si>
    <t>Trent Forest Fumes</t>
  </si>
  <si>
    <t>La Tulipe</t>
  </si>
  <si>
    <t>Tulipoise</t>
  </si>
  <si>
    <t>Oud Satin Mood</t>
  </si>
  <si>
    <t>Tundrabare</t>
  </si>
  <si>
    <t>L'ombre Dans L'eau</t>
  </si>
  <si>
    <t>Umbra Swathe</t>
  </si>
  <si>
    <t>Victor&amp;Rolf</t>
  </si>
  <si>
    <t>Flowerbomb</t>
  </si>
  <si>
    <t>Velvet Bouquet</t>
  </si>
  <si>
    <t>Myrrh &amp; Tonka</t>
  </si>
  <si>
    <t>War of Resins</t>
  </si>
  <si>
    <t>Lazy Sunday Morning</t>
  </si>
  <si>
    <t>Weekly Yawn</t>
  </si>
  <si>
    <t>Philosykos</t>
  </si>
  <si>
    <t>Welkin Pearl</t>
  </si>
  <si>
    <t>Neroli Portofino</t>
  </si>
  <si>
    <t>Windsparks</t>
  </si>
  <si>
    <t>Soleil Neige</t>
  </si>
  <si>
    <t>Winterglare</t>
  </si>
  <si>
    <t>Creed</t>
  </si>
  <si>
    <t>Silver Mountain Water</t>
  </si>
  <si>
    <t>Zenith Essence</t>
  </si>
  <si>
    <t xml:space="preserve">125mL Frag. Oil Cost: </t>
  </si>
  <si>
    <t>Supplies</t>
  </si>
  <si>
    <t xml:space="preserve">Cost </t>
  </si>
  <si>
    <t>Total Size (mL)</t>
  </si>
  <si>
    <t>FO Cost (100mL)</t>
  </si>
  <si>
    <t>FO Cost (120mL)</t>
  </si>
  <si>
    <t>FO Cost (125mL)</t>
  </si>
  <si>
    <t>50mL Hair Perfume</t>
  </si>
  <si>
    <t>PGA</t>
  </si>
  <si>
    <t>DPG</t>
  </si>
  <si>
    <t>Liquid Materials Cost (200mL Batch)</t>
  </si>
  <si>
    <t>Liq. Fixative</t>
  </si>
  <si>
    <t>Fragrance Oil (60mL)</t>
  </si>
  <si>
    <t xml:space="preserve">Distilled Water </t>
  </si>
  <si>
    <t>Perfumer's Alcohol (110mL)</t>
  </si>
  <si>
    <t>Glycerin</t>
  </si>
  <si>
    <t>Dipropylene Glycol (20mL)</t>
  </si>
  <si>
    <t>PEG-40 Hydro. Castor Oil</t>
  </si>
  <si>
    <t>Liquid Fixative (10mL)</t>
  </si>
  <si>
    <t>Citric Acid</t>
  </si>
  <si>
    <t>200mL Parfum Mix</t>
  </si>
  <si>
    <t>Phenoxyethanol</t>
  </si>
  <si>
    <t>Packaging Cost (30mL Parfum)</t>
  </si>
  <si>
    <t>Packaging Cost (55mL Parfum)</t>
  </si>
  <si>
    <t xml:space="preserve">30mL Parfum Mix </t>
  </si>
  <si>
    <t>55mL Parfum Mix</t>
  </si>
  <si>
    <t>30mL Bottle</t>
  </si>
  <si>
    <t>55mL Bottle</t>
  </si>
  <si>
    <t>Box</t>
  </si>
  <si>
    <t>TP Bottle Sticker</t>
  </si>
  <si>
    <t>Shrink Wrap 15x25cm</t>
  </si>
  <si>
    <t>Shrink Wrap 12x17cm</t>
  </si>
  <si>
    <t>Price &amp; Name Sticker</t>
  </si>
  <si>
    <t>Cost Per 30mL Parfum</t>
  </si>
  <si>
    <t>Cost Per 55mL Parfum</t>
  </si>
  <si>
    <t>Liquid Materials Cost (100mL Cologne, 200mL Batch)</t>
  </si>
  <si>
    <t>Materials Cost (Parfum, 100mL Batch)</t>
  </si>
  <si>
    <t>Frag. Oil (10mL)</t>
  </si>
  <si>
    <t>Perfumer's Alcohol (55mL)</t>
  </si>
  <si>
    <t>PGA (120mL)</t>
  </si>
  <si>
    <t>Dipropylene Glycol (10mL)</t>
  </si>
  <si>
    <t>DPG (60mL)</t>
  </si>
  <si>
    <t>Liquid Fixative (5mL)</t>
  </si>
  <si>
    <t>Fixative (10mL)</t>
  </si>
  <si>
    <t>Hair Perfume/Moisturizer (200mL Batch)</t>
  </si>
  <si>
    <t>200mL Cologne Mix</t>
  </si>
  <si>
    <t>Fragrance - 10mL</t>
  </si>
  <si>
    <t>Packaging Cost (100mL Cologne)</t>
  </si>
  <si>
    <t>Distilled Water - 150mL</t>
  </si>
  <si>
    <t>100mL Cologne Mix</t>
  </si>
  <si>
    <t>Glycerin - 30mL</t>
  </si>
  <si>
    <t>100mL White PET Bottle</t>
  </si>
  <si>
    <t>PEG-40 Hydro. Castor Oil - 8mL</t>
  </si>
  <si>
    <t>Citric Acid - 1g</t>
  </si>
  <si>
    <t>Phenoxyethanol - 1g</t>
  </si>
  <si>
    <t>Shrink Wrap 13.5x20cm</t>
  </si>
  <si>
    <t>50mL Amber PET Bottle</t>
  </si>
  <si>
    <t>Product Sticker</t>
  </si>
  <si>
    <t>Cost Per 100mL Cologne</t>
  </si>
  <si>
    <t>Shrink Wrap 10x15cm</t>
  </si>
  <si>
    <t>Change to 442 &gt;</t>
  </si>
  <si>
    <t>Packaging Cost (30mL Parfum) Batch 1</t>
  </si>
  <si>
    <t>Cost Per 50mL Bottle</t>
  </si>
  <si>
    <t>Change to 580 &gt;</t>
  </si>
  <si>
    <t>Batch</t>
  </si>
  <si>
    <t>Supply</t>
  </si>
  <si>
    <t>Quantity</t>
  </si>
  <si>
    <t>Unit</t>
  </si>
  <si>
    <t>Cost</t>
  </si>
  <si>
    <t>Sugarcane Extract</t>
  </si>
  <si>
    <t>mL</t>
  </si>
  <si>
    <t>Dipropylene Glycol</t>
  </si>
  <si>
    <t>Liquid Fixative</t>
  </si>
  <si>
    <t>FO: Baccarat Rouge 540</t>
  </si>
  <si>
    <t>FO: TF Neroli Portofino</t>
  </si>
  <si>
    <t>FO: CK2</t>
  </si>
  <si>
    <t>FO: Cool Water W</t>
  </si>
  <si>
    <t>FO: Angel's Share</t>
  </si>
  <si>
    <t>FO: JM Sweet Lime &amp; Cedar</t>
  </si>
  <si>
    <t>FO: Wild Madagascar Vanilla</t>
  </si>
  <si>
    <t>FO: Hugo Boss Bottled Intense</t>
  </si>
  <si>
    <t>FO: Dior Sauvage Elixir</t>
  </si>
  <si>
    <t>FO: Byredo Blanche</t>
  </si>
  <si>
    <t>FO: Hugo Boss Iced</t>
  </si>
  <si>
    <t>FO: Dior Fahrenheit 32</t>
  </si>
  <si>
    <t>FO: CK Euphoria W</t>
  </si>
  <si>
    <t>30mL Clear Spray Bottles x10</t>
  </si>
  <si>
    <t>pcs</t>
  </si>
  <si>
    <t>Perfume Boxes</t>
  </si>
  <si>
    <t>10x15cm Shrink Wrap</t>
  </si>
  <si>
    <t>Black Kraft Bags x10</t>
  </si>
  <si>
    <t>Bottle Stickers - Round Vinyl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</si>
</sst>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176" formatCode="_ * #,##0.00_ ;_ * \-#,##0.00_ ;_ * &quot;-&quot;??_ ;_ @_ "/>
    <numFmt numFmtId="177" formatCode="_(&quot;$&quot;* #,##0.00_);_(&quot;$&quot;* \(#,##0.00\);_(&quot;$&quot;* &quot;-&quot;??_);_(@_)"/>
    <numFmt numFmtId="178" formatCode="_ * #,##0_ ;_ * \-#,##0_ ;_ * &quot;-&quot;_ ;_ @_ "/>
    <numFmt numFmtId="179" formatCode="_(&quot;$&quot;* #,##0_);_(&quot;$&quot;* \(#,##0\);_(&quot;$&quot;* &quot;-&quot;_);_(@_)"/>
    <numFmt numFmtId="180" formatCode="_-&quot;₱&quot;* #,##0.00_-;\-&quot;₱&quot;* #,##0.00_-;_-&quot;₱&quot;* &quot;-&quot;??_-;_-@_-"/>
    <numFmt numFmtId="181" formatCode="0.00_ "/>
    <numFmt numFmtId="182" formatCode="0.00000_ "/>
    <numFmt numFmtId="183" formatCode="[$₱-3409]#,##0.00_);\([$₱-3409]#,##0.00\)"/>
  </numFmts>
  <fonts count="28">
    <font>
      <sz val="11"/>
      <color theme="1"/>
      <name val="Calibri"/>
      <charset val="134"/>
      <scheme val="minor"/>
    </font>
    <font>
      <sz val="10"/>
      <color theme="1"/>
      <name val="Bahnschrift"/>
      <charset val="134"/>
    </font>
    <font>
      <b/>
      <sz val="11"/>
      <color theme="1"/>
      <name val="Bahnschrift"/>
      <charset val="134"/>
    </font>
    <font>
      <b/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b/>
      <sz val="11"/>
      <name val="Calibri"/>
      <charset val="134"/>
      <scheme val="minor"/>
    </font>
    <font>
      <b/>
      <sz val="11"/>
      <color theme="1"/>
      <name val="Calibri"/>
      <charset val="134"/>
    </font>
    <font>
      <sz val="11"/>
      <color theme="1"/>
      <name val="Calibri"/>
      <charset val="134"/>
    </font>
    <font>
      <sz val="11"/>
      <color rgb="FFFF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FFCBCB"/>
        <bgColor indexed="64"/>
      </patternFill>
    </fill>
    <fill>
      <patternFill patternType="solid">
        <fgColor rgb="FFFFC1C1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rgb="FFE2EFD9"/>
        <bgColor rgb="FFE2EFD9"/>
      </patternFill>
    </fill>
    <fill>
      <patternFill patternType="solid">
        <fgColor theme="7" tint="0.8"/>
        <bgColor indexed="64"/>
      </patternFill>
    </fill>
    <fill>
      <patternFill patternType="solid">
        <fgColor rgb="FFEFF6FC"/>
        <bgColor rgb="FFEFF6FC"/>
      </patternFill>
    </fill>
    <fill>
      <patternFill patternType="solid">
        <fgColor theme="5" tint="0.8"/>
        <bgColor indexed="64"/>
      </patternFill>
    </fill>
    <fill>
      <patternFill patternType="solid">
        <fgColor rgb="FFFFF2CB"/>
        <bgColor rgb="FFFFF2CB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1" borderId="18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19" applyNumberFormat="0" applyFill="0" applyAlignment="0" applyProtection="0">
      <alignment vertical="center"/>
    </xf>
    <xf numFmtId="0" fontId="15" fillId="0" borderId="19" applyNumberFormat="0" applyFill="0" applyAlignment="0" applyProtection="0">
      <alignment vertical="center"/>
    </xf>
    <xf numFmtId="0" fontId="16" fillId="0" borderId="20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12" borderId="21" applyNumberFormat="0" applyAlignment="0" applyProtection="0">
      <alignment vertical="center"/>
    </xf>
    <xf numFmtId="0" fontId="18" fillId="13" borderId="22" applyNumberFormat="0" applyAlignment="0" applyProtection="0">
      <alignment vertical="center"/>
    </xf>
    <xf numFmtId="0" fontId="19" fillId="13" borderId="21" applyNumberFormat="0" applyAlignment="0" applyProtection="0">
      <alignment vertical="center"/>
    </xf>
    <xf numFmtId="0" fontId="20" fillId="14" borderId="23" applyNumberFormat="0" applyAlignment="0" applyProtection="0">
      <alignment vertical="center"/>
    </xf>
    <xf numFmtId="0" fontId="21" fillId="0" borderId="24" applyNumberFormat="0" applyFill="0" applyAlignment="0" applyProtection="0">
      <alignment vertical="center"/>
    </xf>
    <xf numFmtId="0" fontId="22" fillId="0" borderId="25" applyNumberFormat="0" applyFill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7" fillId="36" borderId="0" applyNumberFormat="0" applyBorder="0" applyAlignment="0" applyProtection="0">
      <alignment vertical="center"/>
    </xf>
    <xf numFmtId="0" fontId="26" fillId="37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6" fillId="41" borderId="0" applyNumberFormat="0" applyBorder="0" applyAlignment="0" applyProtection="0">
      <alignment vertical="center"/>
    </xf>
  </cellStyleXfs>
  <cellXfs count="10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80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180" fontId="2" fillId="0" borderId="0" xfId="0" applyNumberFormat="1" applyFont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181" fontId="0" fillId="0" borderId="0" xfId="0" applyNumberForma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182" fontId="3" fillId="0" borderId="0" xfId="0" applyNumberFormat="1" applyFont="1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182" fontId="0" fillId="0" borderId="0" xfId="0" applyNumberFormat="1" applyFont="1" applyFill="1" applyBorder="1" applyAlignment="1">
      <alignment horizontal="center" vertical="center"/>
    </xf>
    <xf numFmtId="182" fontId="0" fillId="0" borderId="11" xfId="0" applyNumberFormat="1" applyFill="1" applyBorder="1" applyAlignment="1">
      <alignment horizontal="center" vertical="center"/>
    </xf>
    <xf numFmtId="0" fontId="0" fillId="0" borderId="11" xfId="0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0" fontId="0" fillId="3" borderId="11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180" fontId="3" fillId="4" borderId="10" xfId="0" applyNumberFormat="1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180" fontId="5" fillId="4" borderId="1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182" fontId="5" fillId="0" borderId="13" xfId="0" applyNumberFormat="1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180" fontId="5" fillId="4" borderId="13" xfId="0" applyNumberFormat="1" applyFont="1" applyFill="1" applyBorder="1" applyAlignment="1">
      <alignment horizontal="center" vertical="center"/>
    </xf>
    <xf numFmtId="180" fontId="3" fillId="4" borderId="13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7" fillId="0" borderId="14" xfId="0" applyFont="1" applyFill="1" applyBorder="1" applyAlignment="1">
      <alignment horizontal="left" vertical="center"/>
    </xf>
    <xf numFmtId="0" fontId="0" fillId="0" borderId="11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7" fillId="0" borderId="15" xfId="0" applyFont="1" applyFill="1" applyBorder="1" applyAlignment="1">
      <alignment horizontal="left" vertical="center"/>
    </xf>
    <xf numFmtId="0" fontId="8" fillId="0" borderId="0" xfId="0" applyFont="1">
      <alignment vertical="center"/>
    </xf>
    <xf numFmtId="0" fontId="4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3" fillId="0" borderId="0" xfId="0" applyFont="1">
      <alignment vertical="center"/>
    </xf>
    <xf numFmtId="0" fontId="0" fillId="0" borderId="0" xfId="0" applyFont="1" applyFill="1" applyAlignment="1">
      <alignment horizontal="center" vertical="center"/>
    </xf>
    <xf numFmtId="180" fontId="0" fillId="0" borderId="0" xfId="0" applyNumberFormat="1" applyAlignment="1">
      <alignment horizontal="right" vertical="center"/>
    </xf>
    <xf numFmtId="180" fontId="0" fillId="0" borderId="0" xfId="0" applyNumberFormat="1">
      <alignment vertical="center"/>
    </xf>
    <xf numFmtId="0" fontId="0" fillId="0" borderId="0" xfId="0" applyFont="1" applyFill="1" applyAlignment="1">
      <alignment vertical="center"/>
    </xf>
    <xf numFmtId="0" fontId="6" fillId="0" borderId="16" xfId="0" applyFont="1" applyFill="1" applyBorder="1" applyAlignment="1">
      <alignment horizontal="center" vertical="center"/>
    </xf>
    <xf numFmtId="0" fontId="7" fillId="0" borderId="16" xfId="0" applyFont="1" applyFill="1" applyBorder="1" applyAlignment="1">
      <alignment vertical="center"/>
    </xf>
    <xf numFmtId="0" fontId="7" fillId="0" borderId="16" xfId="0" applyFont="1" applyFill="1" applyBorder="1" applyAlignment="1">
      <alignment horizontal="left" vertical="center"/>
    </xf>
    <xf numFmtId="0" fontId="7" fillId="5" borderId="16" xfId="0" applyFont="1" applyFill="1" applyBorder="1" applyAlignment="1">
      <alignment vertical="center"/>
    </xf>
    <xf numFmtId="0" fontId="0" fillId="0" borderId="16" xfId="0" applyFont="1" applyFill="1" applyBorder="1" applyAlignment="1">
      <alignment vertical="center"/>
    </xf>
    <xf numFmtId="0" fontId="0" fillId="5" borderId="16" xfId="0" applyFont="1" applyFill="1" applyBorder="1" applyAlignment="1">
      <alignment vertical="center"/>
    </xf>
    <xf numFmtId="0" fontId="7" fillId="5" borderId="16" xfId="0" applyFont="1" applyFill="1" applyBorder="1" applyAlignment="1">
      <alignment horizontal="left" vertical="center"/>
    </xf>
    <xf numFmtId="0" fontId="7" fillId="6" borderId="16" xfId="0" applyFont="1" applyFill="1" applyBorder="1" applyAlignment="1">
      <alignment vertical="center"/>
    </xf>
    <xf numFmtId="0" fontId="0" fillId="7" borderId="16" xfId="0" applyFont="1" applyFill="1" applyBorder="1" applyAlignment="1">
      <alignment vertical="center"/>
    </xf>
    <xf numFmtId="0" fontId="6" fillId="8" borderId="16" xfId="0" applyFont="1" applyFill="1" applyBorder="1" applyAlignment="1">
      <alignment horizontal="center" vertical="center"/>
    </xf>
    <xf numFmtId="180" fontId="7" fillId="8" borderId="16" xfId="0" applyNumberFormat="1" applyFont="1" applyFill="1" applyBorder="1" applyAlignment="1">
      <alignment horizontal="right" vertical="center"/>
    </xf>
    <xf numFmtId="0" fontId="7" fillId="6" borderId="16" xfId="0" applyFont="1" applyFill="1" applyBorder="1" applyAlignment="1">
      <alignment horizontal="left" vertical="center"/>
    </xf>
    <xf numFmtId="0" fontId="7" fillId="7" borderId="16" xfId="0" applyFont="1" applyFill="1" applyBorder="1" applyAlignment="1">
      <alignment horizontal="left" vertical="center"/>
    </xf>
    <xf numFmtId="0" fontId="4" fillId="0" borderId="16" xfId="0" applyFont="1" applyFill="1" applyBorder="1" applyAlignment="1">
      <alignment vertical="center"/>
    </xf>
    <xf numFmtId="180" fontId="7" fillId="8" borderId="0" xfId="0" applyNumberFormat="1" applyFont="1" applyFill="1" applyBorder="1" applyAlignment="1">
      <alignment horizontal="right" vertical="center"/>
    </xf>
    <xf numFmtId="0" fontId="3" fillId="9" borderId="16" xfId="0" applyFont="1" applyFill="1" applyBorder="1" applyAlignment="1">
      <alignment horizontal="center" vertical="center"/>
    </xf>
    <xf numFmtId="180" fontId="7" fillId="8" borderId="16" xfId="0" applyNumberFormat="1" applyFont="1" applyFill="1" applyBorder="1" applyAlignment="1">
      <alignment vertical="center"/>
    </xf>
    <xf numFmtId="180" fontId="0" fillId="9" borderId="16" xfId="0" applyNumberFormat="1" applyFont="1" applyFill="1" applyBorder="1" applyAlignment="1">
      <alignment vertical="center"/>
    </xf>
    <xf numFmtId="180" fontId="0" fillId="9" borderId="16" xfId="2" applyNumberFormat="1" applyFont="1" applyFill="1" applyBorder="1" applyAlignment="1">
      <alignment vertical="center"/>
    </xf>
    <xf numFmtId="180" fontId="0" fillId="9" borderId="0" xfId="0" applyNumberFormat="1" applyFont="1" applyFill="1" applyBorder="1" applyAlignment="1">
      <alignment vertical="center"/>
    </xf>
    <xf numFmtId="180" fontId="0" fillId="9" borderId="0" xfId="2" applyNumberFormat="1" applyFont="1" applyFill="1" applyBorder="1" applyAlignment="1">
      <alignment vertical="center"/>
    </xf>
    <xf numFmtId="180" fontId="7" fillId="8" borderId="0" xfId="0" applyNumberFormat="1" applyFont="1" applyFill="1" applyBorder="1" applyAlignment="1">
      <alignment vertical="center"/>
    </xf>
    <xf numFmtId="0" fontId="6" fillId="10" borderId="17" xfId="0" applyFont="1" applyFill="1" applyBorder="1" applyAlignment="1">
      <alignment horizontal="center" vertical="center"/>
    </xf>
    <xf numFmtId="0" fontId="6" fillId="10" borderId="16" xfId="0" applyFont="1" applyFill="1" applyBorder="1" applyAlignment="1">
      <alignment horizontal="center" vertical="center"/>
    </xf>
    <xf numFmtId="183" fontId="7" fillId="10" borderId="17" xfId="0" applyNumberFormat="1" applyFont="1" applyFill="1" applyBorder="1" applyAlignment="1">
      <alignment horizontal="right" vertical="center"/>
    </xf>
    <xf numFmtId="183" fontId="7" fillId="10" borderId="16" xfId="0" applyNumberFormat="1" applyFont="1" applyFill="1" applyBorder="1" applyAlignment="1">
      <alignment horizontal="right" vertical="center"/>
    </xf>
    <xf numFmtId="0" fontId="0" fillId="0" borderId="17" xfId="0" applyFont="1" applyFill="1" applyBorder="1" applyAlignment="1">
      <alignment vertical="center"/>
    </xf>
    <xf numFmtId="183" fontId="7" fillId="10" borderId="0" xfId="0" applyNumberFormat="1" applyFont="1" applyFill="1" applyBorder="1" applyAlignment="1">
      <alignment horizontal="right" vertical="center"/>
    </xf>
    <xf numFmtId="0" fontId="0" fillId="0" borderId="0" xfId="0" applyFont="1" applyFill="1" applyBorder="1" applyAlignment="1">
      <alignment vertical="center"/>
    </xf>
    <xf numFmtId="0" fontId="7" fillId="0" borderId="0" xfId="0" applyFont="1" applyFill="1" applyBorder="1" applyAlignment="1">
      <alignment vertical="center"/>
    </xf>
    <xf numFmtId="0" fontId="7" fillId="5" borderId="0" xfId="0" applyFont="1" applyFill="1" applyBorder="1" applyAlignment="1">
      <alignment vertical="center"/>
    </xf>
    <xf numFmtId="0" fontId="7" fillId="0" borderId="0" xfId="0" applyFont="1" applyFill="1" applyBorder="1" applyAlignment="1">
      <alignment horizontal="left" vertical="center"/>
    </xf>
    <xf numFmtId="0" fontId="7" fillId="5" borderId="0" xfId="0" applyFont="1" applyFill="1" applyBorder="1" applyAlignment="1">
      <alignment horizontal="left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colors>
    <mruColors>
      <color rgb="00FF9191"/>
      <color rgb="00FFC1C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012"/>
  <sheetViews>
    <sheetView tabSelected="1" zoomScale="85" zoomScaleNormal="85" topLeftCell="A13" workbookViewId="0">
      <selection activeCell="D25" sqref="D25"/>
    </sheetView>
  </sheetViews>
  <sheetFormatPr defaultColWidth="14.4296875" defaultRowHeight="15" customHeight="1"/>
  <cols>
    <col min="1" max="1" width="22.859375" style="66" customWidth="1"/>
    <col min="2" max="2" width="20.5703125" style="66" customWidth="1"/>
    <col min="3" max="3" width="8.2890625" style="66" customWidth="1"/>
    <col min="4" max="4" width="16.5703125" style="66" customWidth="1"/>
    <col min="5" max="5" width="17.1015625" style="66" customWidth="1"/>
    <col min="6" max="6" width="26.3671875" style="66" customWidth="1"/>
    <col min="7" max="7" width="16.0546875" style="66" customWidth="1"/>
    <col min="8" max="8" width="14.6640625" style="66" customWidth="1"/>
    <col min="9" max="9" width="10.984375" style="66" customWidth="1"/>
    <col min="13" max="13" width="13.8125" style="66" customWidth="1"/>
    <col min="14" max="14" width="19.34375" style="66" customWidth="1"/>
    <col min="15" max="15" width="14.9296875" style="66" customWidth="1"/>
    <col min="16" max="26" width="8.859375" style="66" customWidth="1"/>
    <col min="27" max="16384" width="14.4296875" style="66"/>
  </cols>
  <sheetData>
    <row r="1" s="66" customFormat="1" ht="14.25" customHeight="1" spans="1:15">
      <c r="A1" s="67" t="s">
        <v>0</v>
      </c>
      <c r="B1" s="67" t="s">
        <v>1</v>
      </c>
      <c r="C1" s="67" t="s">
        <v>2</v>
      </c>
      <c r="D1" s="67" t="s">
        <v>3</v>
      </c>
      <c r="E1" s="67" t="s">
        <v>4</v>
      </c>
      <c r="F1" s="67" t="s">
        <v>5</v>
      </c>
      <c r="G1" s="76" t="s">
        <v>6</v>
      </c>
      <c r="H1" s="76" t="s">
        <v>7</v>
      </c>
      <c r="I1" s="76" t="s">
        <v>8</v>
      </c>
      <c r="J1" s="82" t="s">
        <v>9</v>
      </c>
      <c r="K1" s="82" t="s">
        <v>10</v>
      </c>
      <c r="L1" s="82" t="s">
        <v>11</v>
      </c>
      <c r="M1" s="89" t="s">
        <v>12</v>
      </c>
      <c r="N1" s="90" t="s">
        <v>13</v>
      </c>
      <c r="O1" s="90" t="s">
        <v>14</v>
      </c>
    </row>
    <row r="2" s="66" customFormat="1" ht="14.25" customHeight="1" spans="1:15">
      <c r="A2" s="68" t="s">
        <v>15</v>
      </c>
      <c r="B2" s="68" t="s">
        <v>16</v>
      </c>
      <c r="C2" s="68" t="s">
        <v>17</v>
      </c>
      <c r="D2" s="68" t="s">
        <v>18</v>
      </c>
      <c r="E2" s="68" t="s">
        <v>19</v>
      </c>
      <c r="F2" s="69" t="s">
        <v>20</v>
      </c>
      <c r="G2" s="77">
        <f>'Cost Calculator'!J2</f>
        <v>93.3985</v>
      </c>
      <c r="H2" s="77">
        <v>200</v>
      </c>
      <c r="I2" s="83">
        <f t="shared" ref="I2:I15" si="0">H2-G2</f>
        <v>106.6015</v>
      </c>
      <c r="J2" s="84">
        <f>'Cost Calculator'!K2</f>
        <v>31.0137857142857</v>
      </c>
      <c r="K2" s="85">
        <v>80</v>
      </c>
      <c r="L2" s="84">
        <f t="shared" ref="L2:L29" si="1">K2-J2</f>
        <v>48.9862142857143</v>
      </c>
      <c r="M2" s="91">
        <f>'Cost Calculator'!L2</f>
        <v>92.61</v>
      </c>
      <c r="N2" s="92">
        <v>180</v>
      </c>
      <c r="O2" s="92">
        <f>N2-M2</f>
        <v>87.39</v>
      </c>
    </row>
    <row r="3" s="66" customFormat="1" ht="14.25" customHeight="1" spans="1:15">
      <c r="A3" s="69" t="s">
        <v>21</v>
      </c>
      <c r="B3" s="69" t="s">
        <v>22</v>
      </c>
      <c r="C3" s="69" t="s">
        <v>17</v>
      </c>
      <c r="D3" s="69" t="s">
        <v>23</v>
      </c>
      <c r="E3" s="69" t="s">
        <v>24</v>
      </c>
      <c r="F3" s="69" t="s">
        <v>20</v>
      </c>
      <c r="G3" s="77">
        <f>'Cost Calculator'!J3</f>
        <v>95.7025</v>
      </c>
      <c r="H3" s="77">
        <v>200</v>
      </c>
      <c r="I3" s="83">
        <f t="shared" si="0"/>
        <v>104.2975</v>
      </c>
      <c r="J3" s="84">
        <f>'Cost Calculator'!K3</f>
        <v>31.6537857142857</v>
      </c>
      <c r="K3" s="85">
        <v>80</v>
      </c>
      <c r="L3" s="84">
        <f t="shared" si="1"/>
        <v>48.3462142857143</v>
      </c>
      <c r="M3" s="91">
        <f>'Cost Calculator'!L3</f>
        <v>93.89</v>
      </c>
      <c r="N3" s="92">
        <v>180</v>
      </c>
      <c r="O3" s="92">
        <f>N3-M3</f>
        <v>86.11</v>
      </c>
    </row>
    <row r="4" s="66" customFormat="1" ht="14.25" customHeight="1" spans="1:15">
      <c r="A4" s="70" t="s">
        <v>25</v>
      </c>
      <c r="B4" s="70" t="s">
        <v>26</v>
      </c>
      <c r="C4" s="70" t="s">
        <v>17</v>
      </c>
      <c r="D4" s="70" t="s">
        <v>18</v>
      </c>
      <c r="E4" s="70" t="s">
        <v>27</v>
      </c>
      <c r="F4" s="73" t="s">
        <v>28</v>
      </c>
      <c r="G4" s="77">
        <f>'Cost Calculator'!J4</f>
        <v>96.8335</v>
      </c>
      <c r="H4" s="77">
        <v>200</v>
      </c>
      <c r="I4" s="83">
        <f t="shared" si="0"/>
        <v>103.1665</v>
      </c>
      <c r="J4" s="84">
        <f>'Cost Calculator'!K4</f>
        <v>31.9675582142857</v>
      </c>
      <c r="K4" s="85">
        <v>80</v>
      </c>
      <c r="L4" s="84">
        <f t="shared" si="1"/>
        <v>48.0324417857143</v>
      </c>
      <c r="M4" s="91">
        <f>'Cost Calculator'!L4</f>
        <v>93.73</v>
      </c>
      <c r="N4" s="92">
        <v>180</v>
      </c>
      <c r="O4" s="92">
        <f>N4-M4</f>
        <v>86.27</v>
      </c>
    </row>
    <row r="5" s="66" customFormat="1" ht="14.25" customHeight="1" spans="1:15">
      <c r="A5" s="71" t="s">
        <v>29</v>
      </c>
      <c r="B5" s="71" t="s">
        <v>30</v>
      </c>
      <c r="C5" s="71" t="s">
        <v>31</v>
      </c>
      <c r="D5" s="71" t="s">
        <v>32</v>
      </c>
      <c r="E5" s="71" t="s">
        <v>33</v>
      </c>
      <c r="F5" s="71" t="s">
        <v>34</v>
      </c>
      <c r="G5" s="77">
        <f>'Cost Calculator'!J5</f>
        <v>105.9835</v>
      </c>
      <c r="H5" s="77">
        <v>200</v>
      </c>
      <c r="I5" s="83">
        <f t="shared" si="0"/>
        <v>94.0165</v>
      </c>
      <c r="J5" s="84">
        <f>'Cost Calculator'!K5</f>
        <v>34.5091232142857</v>
      </c>
      <c r="K5" s="85">
        <v>80</v>
      </c>
      <c r="L5" s="84">
        <f t="shared" si="1"/>
        <v>45.4908767857143</v>
      </c>
      <c r="M5" s="93"/>
      <c r="N5" s="71"/>
      <c r="O5" s="71"/>
    </row>
    <row r="6" s="66" customFormat="1" ht="14.25" customHeight="1" spans="1:15">
      <c r="A6" s="72" t="s">
        <v>35</v>
      </c>
      <c r="B6" s="72" t="s">
        <v>36</v>
      </c>
      <c r="C6" s="72" t="s">
        <v>17</v>
      </c>
      <c r="D6" s="72" t="s">
        <v>32</v>
      </c>
      <c r="E6" s="72" t="s">
        <v>37</v>
      </c>
      <c r="F6" s="72" t="s">
        <v>34</v>
      </c>
      <c r="G6" s="77">
        <f>'Cost Calculator'!J6</f>
        <v>105.9835</v>
      </c>
      <c r="H6" s="77">
        <v>200</v>
      </c>
      <c r="I6" s="83">
        <f t="shared" si="0"/>
        <v>94.0165</v>
      </c>
      <c r="J6" s="84">
        <f>'Cost Calculator'!K6</f>
        <v>34.5091232142857</v>
      </c>
      <c r="K6" s="85">
        <v>80</v>
      </c>
      <c r="L6" s="84">
        <f t="shared" si="1"/>
        <v>45.4908767857143</v>
      </c>
      <c r="M6" s="93"/>
      <c r="N6" s="71"/>
      <c r="O6" s="71"/>
    </row>
    <row r="7" s="66" customFormat="1" ht="14.25" customHeight="1" spans="1:15">
      <c r="A7" s="68" t="s">
        <v>15</v>
      </c>
      <c r="B7" s="68" t="s">
        <v>38</v>
      </c>
      <c r="C7" s="68" t="s">
        <v>17</v>
      </c>
      <c r="D7" s="68" t="s">
        <v>39</v>
      </c>
      <c r="E7" s="68" t="s">
        <v>40</v>
      </c>
      <c r="F7" s="68" t="s">
        <v>41</v>
      </c>
      <c r="G7" s="77">
        <f>'Cost Calculator'!J7</f>
        <v>126.1585</v>
      </c>
      <c r="H7" s="77">
        <v>200</v>
      </c>
      <c r="I7" s="83">
        <f t="shared" si="0"/>
        <v>73.8415</v>
      </c>
      <c r="J7" s="84">
        <f>'Cost Calculator'!K7</f>
        <v>40.1137857142857</v>
      </c>
      <c r="K7" s="85">
        <v>80</v>
      </c>
      <c r="L7" s="84">
        <f t="shared" si="1"/>
        <v>39.8862142857143</v>
      </c>
      <c r="M7" s="91">
        <f>'Cost Calculator'!L7</f>
        <v>110.81</v>
      </c>
      <c r="N7" s="92">
        <v>180</v>
      </c>
      <c r="O7" s="92">
        <f>N7-M7</f>
        <v>69.19</v>
      </c>
    </row>
    <row r="8" s="66" customFormat="1" ht="14.25" customHeight="1" spans="1:15">
      <c r="A8" s="68" t="s">
        <v>42</v>
      </c>
      <c r="B8" s="68" t="s">
        <v>43</v>
      </c>
      <c r="C8" s="68" t="s">
        <v>17</v>
      </c>
      <c r="D8" s="68" t="s">
        <v>44</v>
      </c>
      <c r="E8" s="68" t="s">
        <v>45</v>
      </c>
      <c r="F8" s="69" t="s">
        <v>41</v>
      </c>
      <c r="G8" s="77">
        <f>'Cost Calculator'!J8</f>
        <v>102.6085</v>
      </c>
      <c r="H8" s="77">
        <v>200</v>
      </c>
      <c r="I8" s="83">
        <f t="shared" si="0"/>
        <v>97.3915</v>
      </c>
      <c r="J8" s="84">
        <f>'Cost Calculator'!K8</f>
        <v>33.5716607142857</v>
      </c>
      <c r="K8" s="85">
        <v>80</v>
      </c>
      <c r="L8" s="84">
        <f t="shared" si="1"/>
        <v>46.4283392857143</v>
      </c>
      <c r="M8" s="91">
        <f>'Cost Calculator'!L8</f>
        <v>74.81</v>
      </c>
      <c r="N8" s="92">
        <v>180</v>
      </c>
      <c r="O8" s="92">
        <f>N8-M8</f>
        <v>105.19</v>
      </c>
    </row>
    <row r="9" s="66" customFormat="1" ht="14.25" customHeight="1" spans="1:15">
      <c r="A9" s="68" t="s">
        <v>15</v>
      </c>
      <c r="B9" s="68" t="s">
        <v>46</v>
      </c>
      <c r="C9" s="68" t="s">
        <v>17</v>
      </c>
      <c r="D9" s="68" t="s">
        <v>47</v>
      </c>
      <c r="E9" s="68" t="s">
        <v>48</v>
      </c>
      <c r="F9" s="69" t="s">
        <v>20</v>
      </c>
      <c r="G9" s="77">
        <f>'Cost Calculator'!J9</f>
        <v>90.7345</v>
      </c>
      <c r="H9" s="77">
        <v>200</v>
      </c>
      <c r="I9" s="83">
        <f t="shared" si="0"/>
        <v>109.2655</v>
      </c>
      <c r="J9" s="84">
        <f>'Cost Calculator'!K9</f>
        <v>30.2737857142857</v>
      </c>
      <c r="K9" s="85">
        <v>80</v>
      </c>
      <c r="L9" s="84">
        <f t="shared" si="1"/>
        <v>49.7262142857143</v>
      </c>
      <c r="M9" s="91">
        <f>'Cost Calculator'!L9</f>
        <v>91.13</v>
      </c>
      <c r="N9" s="92">
        <v>180</v>
      </c>
      <c r="O9" s="92">
        <f>N9-M9</f>
        <v>88.87</v>
      </c>
    </row>
    <row r="10" s="66" customFormat="1" ht="14.25" customHeight="1" spans="1:15">
      <c r="A10" s="71" t="s">
        <v>15</v>
      </c>
      <c r="B10" s="71" t="s">
        <v>49</v>
      </c>
      <c r="C10" s="71" t="s">
        <v>50</v>
      </c>
      <c r="D10" s="71" t="s">
        <v>47</v>
      </c>
      <c r="E10" s="71" t="s">
        <v>51</v>
      </c>
      <c r="F10" s="71" t="s">
        <v>41</v>
      </c>
      <c r="G10" s="77">
        <f>'Cost Calculator'!J10</f>
        <v>137.8585</v>
      </c>
      <c r="H10" s="77">
        <v>200</v>
      </c>
      <c r="I10" s="83">
        <f t="shared" si="0"/>
        <v>62.1415</v>
      </c>
      <c r="J10" s="84">
        <f>'Cost Calculator'!K10</f>
        <v>43.3637857142857</v>
      </c>
      <c r="K10" s="85">
        <v>80</v>
      </c>
      <c r="L10" s="84">
        <f t="shared" si="1"/>
        <v>36.6362142857143</v>
      </c>
      <c r="M10" s="93"/>
      <c r="N10" s="71"/>
      <c r="O10" s="71"/>
    </row>
    <row r="11" s="66" customFormat="1" ht="14.25" customHeight="1" spans="1:15">
      <c r="A11" s="71" t="s">
        <v>52</v>
      </c>
      <c r="B11" s="71" t="s">
        <v>53</v>
      </c>
      <c r="C11" s="71" t="s">
        <v>50</v>
      </c>
      <c r="D11" s="71" t="s">
        <v>54</v>
      </c>
      <c r="E11" s="71" t="s">
        <v>55</v>
      </c>
      <c r="F11" s="69" t="s">
        <v>34</v>
      </c>
      <c r="G11" s="77">
        <f>'Cost Calculator'!J11</f>
        <v>102.6085</v>
      </c>
      <c r="H11" s="77">
        <v>200</v>
      </c>
      <c r="I11" s="83">
        <f t="shared" si="0"/>
        <v>97.3915</v>
      </c>
      <c r="J11" s="84">
        <f>'Cost Calculator'!K11</f>
        <v>33.5716607142857</v>
      </c>
      <c r="K11" s="85">
        <v>80</v>
      </c>
      <c r="L11" s="84">
        <f t="shared" si="1"/>
        <v>46.4283392857143</v>
      </c>
      <c r="M11" s="91" t="e">
        <f>'Cost Calculator'!L11</f>
        <v>#REF!</v>
      </c>
      <c r="N11" s="92">
        <v>180</v>
      </c>
      <c r="O11" s="92" t="e">
        <f t="shared" ref="O11:O16" si="2">N11-M11</f>
        <v>#REF!</v>
      </c>
    </row>
    <row r="12" s="66" customFormat="1" ht="14.25" customHeight="1" spans="1:15">
      <c r="A12" s="68" t="s">
        <v>56</v>
      </c>
      <c r="B12" s="68" t="s">
        <v>57</v>
      </c>
      <c r="C12" s="68" t="s">
        <v>50</v>
      </c>
      <c r="D12" s="68" t="s">
        <v>58</v>
      </c>
      <c r="E12" s="68" t="s">
        <v>59</v>
      </c>
      <c r="F12" s="69" t="s">
        <v>20</v>
      </c>
      <c r="G12" s="77">
        <f>'Cost Calculator'!J12</f>
        <v>95.5585</v>
      </c>
      <c r="H12" s="77">
        <v>200</v>
      </c>
      <c r="I12" s="83">
        <f t="shared" si="0"/>
        <v>104.4415</v>
      </c>
      <c r="J12" s="84">
        <f>'Cost Calculator'!K12</f>
        <v>31.6137857142857</v>
      </c>
      <c r="K12" s="85">
        <v>80</v>
      </c>
      <c r="L12" s="84">
        <f t="shared" si="1"/>
        <v>48.3862142857143</v>
      </c>
      <c r="M12" s="91">
        <f>'Cost Calculator'!L12</f>
        <v>93.81</v>
      </c>
      <c r="N12" s="92">
        <v>180</v>
      </c>
      <c r="O12" s="92">
        <f t="shared" si="2"/>
        <v>86.19</v>
      </c>
    </row>
    <row r="13" s="66" customFormat="1" ht="14.25" customHeight="1" spans="1:15">
      <c r="A13" s="71" t="s">
        <v>15</v>
      </c>
      <c r="B13" s="71" t="s">
        <v>60</v>
      </c>
      <c r="C13" s="71" t="s">
        <v>17</v>
      </c>
      <c r="D13" s="71" t="s">
        <v>47</v>
      </c>
      <c r="E13" s="71" t="s">
        <v>61</v>
      </c>
      <c r="F13" s="71" t="s">
        <v>62</v>
      </c>
      <c r="G13" s="77">
        <f>'Cost Calculator'!J13</f>
        <v>123.1885</v>
      </c>
      <c r="H13" s="77">
        <v>200</v>
      </c>
      <c r="I13" s="83">
        <f t="shared" si="0"/>
        <v>76.8115</v>
      </c>
      <c r="J13" s="84">
        <f>'Cost Calculator'!K13</f>
        <v>39.2887857142857</v>
      </c>
      <c r="K13" s="85">
        <v>80</v>
      </c>
      <c r="L13" s="84">
        <f t="shared" si="1"/>
        <v>40.7112142857143</v>
      </c>
      <c r="M13" s="91">
        <f>'Cost Calculator'!L13</f>
        <v>109.16</v>
      </c>
      <c r="N13" s="92">
        <v>180</v>
      </c>
      <c r="O13" s="92">
        <f t="shared" si="2"/>
        <v>70.84</v>
      </c>
    </row>
    <row r="14" s="66" customFormat="1" ht="14.25" customHeight="1" spans="1:15">
      <c r="A14" s="71" t="s">
        <v>35</v>
      </c>
      <c r="B14" s="71" t="s">
        <v>63</v>
      </c>
      <c r="C14" s="71" t="s">
        <v>31</v>
      </c>
      <c r="D14" s="71" t="s">
        <v>64</v>
      </c>
      <c r="E14" s="71" t="s">
        <v>65</v>
      </c>
      <c r="F14" s="69" t="s">
        <v>41</v>
      </c>
      <c r="G14" s="77">
        <f>'Cost Calculator'!J14</f>
        <v>108.1585</v>
      </c>
      <c r="H14" s="77">
        <v>200</v>
      </c>
      <c r="I14" s="83">
        <f t="shared" si="0"/>
        <v>91.8415</v>
      </c>
      <c r="J14" s="84">
        <f>'Cost Calculator'!K14</f>
        <v>35.1137857142857</v>
      </c>
      <c r="K14" s="85">
        <v>80</v>
      </c>
      <c r="L14" s="84">
        <f t="shared" si="1"/>
        <v>44.8862142857143</v>
      </c>
      <c r="M14" s="91">
        <f>'Cost Calculator'!L14</f>
        <v>74.81</v>
      </c>
      <c r="N14" s="92">
        <v>180</v>
      </c>
      <c r="O14" s="92">
        <f t="shared" si="2"/>
        <v>105.19</v>
      </c>
    </row>
    <row r="15" s="66" customFormat="1" ht="14.25" customHeight="1" spans="1:15">
      <c r="A15" s="69" t="s">
        <v>21</v>
      </c>
      <c r="B15" s="69" t="s">
        <v>66</v>
      </c>
      <c r="C15" s="69" t="s">
        <v>17</v>
      </c>
      <c r="D15" s="69" t="s">
        <v>47</v>
      </c>
      <c r="E15" s="69" t="s">
        <v>67</v>
      </c>
      <c r="F15" s="69" t="s">
        <v>68</v>
      </c>
      <c r="G15" s="77">
        <f>'Cost Calculator'!J15</f>
        <v>101.3335</v>
      </c>
      <c r="H15" s="77">
        <v>200</v>
      </c>
      <c r="I15" s="83">
        <f t="shared" si="0"/>
        <v>98.6665</v>
      </c>
      <c r="J15" s="84">
        <f>'Cost Calculator'!K15</f>
        <v>33.2175082142857</v>
      </c>
      <c r="K15" s="85">
        <v>80</v>
      </c>
      <c r="L15" s="84">
        <f t="shared" si="1"/>
        <v>46.7824917857143</v>
      </c>
      <c r="M15" s="91">
        <f>'Cost Calculator'!L15</f>
        <v>96.13</v>
      </c>
      <c r="N15" s="92">
        <v>180</v>
      </c>
      <c r="O15" s="92">
        <f t="shared" si="2"/>
        <v>83.87</v>
      </c>
    </row>
    <row r="16" s="66" customFormat="1" ht="14.25" customHeight="1" spans="1:15">
      <c r="A16" s="71" t="s">
        <v>69</v>
      </c>
      <c r="B16" s="71" t="s">
        <v>70</v>
      </c>
      <c r="C16" s="71" t="s">
        <v>17</v>
      </c>
      <c r="D16" s="71" t="s">
        <v>58</v>
      </c>
      <c r="E16" s="71" t="s">
        <v>71</v>
      </c>
      <c r="F16" s="69" t="s">
        <v>72</v>
      </c>
      <c r="G16" s="77">
        <f>'Cost Calculator'!J16</f>
        <v>129.8305</v>
      </c>
      <c r="H16" s="77">
        <v>200</v>
      </c>
      <c r="I16" s="83">
        <f>H17-G16</f>
        <v>70.1695</v>
      </c>
      <c r="J16" s="84">
        <f>'Cost Calculator'!K16</f>
        <v>41.1337857142857</v>
      </c>
      <c r="K16" s="85">
        <v>80</v>
      </c>
      <c r="L16" s="84">
        <f t="shared" si="1"/>
        <v>38.8662142857143</v>
      </c>
      <c r="M16" s="91">
        <f>'Cost Calculator'!L16</f>
        <v>112.85</v>
      </c>
      <c r="N16" s="92">
        <v>180</v>
      </c>
      <c r="O16" s="92">
        <f t="shared" si="2"/>
        <v>67.15</v>
      </c>
    </row>
    <row r="17" s="66" customFormat="1" ht="14.25" customHeight="1" spans="1:15">
      <c r="A17" s="71" t="s">
        <v>73</v>
      </c>
      <c r="B17" s="71" t="s">
        <v>74</v>
      </c>
      <c r="C17" s="71" t="s">
        <v>17</v>
      </c>
      <c r="D17" s="71" t="s">
        <v>39</v>
      </c>
      <c r="E17" s="71" t="s">
        <v>75</v>
      </c>
      <c r="F17" s="71" t="s">
        <v>41</v>
      </c>
      <c r="G17" s="77">
        <f>'Cost Calculator'!J17</f>
        <v>143.2585</v>
      </c>
      <c r="H17" s="77">
        <v>200</v>
      </c>
      <c r="I17" s="83">
        <f>H18-G17</f>
        <v>56.7415</v>
      </c>
      <c r="J17" s="84">
        <f>'Cost Calculator'!K17</f>
        <v>44.8637857142857</v>
      </c>
      <c r="K17" s="85">
        <v>80</v>
      </c>
      <c r="L17" s="84">
        <f t="shared" si="1"/>
        <v>35.1362142857143</v>
      </c>
      <c r="M17" s="93"/>
      <c r="N17" s="71"/>
      <c r="O17" s="71"/>
    </row>
    <row r="18" s="66" customFormat="1" ht="14.25" customHeight="1" spans="1:15">
      <c r="A18" s="71" t="s">
        <v>76</v>
      </c>
      <c r="B18" s="71" t="s">
        <v>77</v>
      </c>
      <c r="C18" s="71" t="s">
        <v>31</v>
      </c>
      <c r="D18" s="71" t="s">
        <v>78</v>
      </c>
      <c r="E18" s="71" t="s">
        <v>79</v>
      </c>
      <c r="F18" s="69" t="s">
        <v>34</v>
      </c>
      <c r="G18" s="77">
        <f>'Cost Calculator'!J18</f>
        <v>102.6085</v>
      </c>
      <c r="H18" s="77">
        <v>200</v>
      </c>
      <c r="I18" s="83">
        <f t="shared" ref="I18:I29" si="3">H18-G18</f>
        <v>97.3915</v>
      </c>
      <c r="J18" s="84">
        <f>'Cost Calculator'!K18</f>
        <v>33.5716607142857</v>
      </c>
      <c r="K18" s="85">
        <v>80</v>
      </c>
      <c r="L18" s="84">
        <f t="shared" si="1"/>
        <v>46.4283392857143</v>
      </c>
      <c r="M18" s="91" t="e">
        <f>'Cost Calculator'!L18</f>
        <v>#REF!</v>
      </c>
      <c r="N18" s="92">
        <v>180</v>
      </c>
      <c r="O18" s="92" t="e">
        <f t="shared" ref="O18:O24" si="4">N18-M18</f>
        <v>#REF!</v>
      </c>
    </row>
    <row r="19" s="66" customFormat="1" ht="14.25" customHeight="1" spans="1:15">
      <c r="A19" s="71" t="s">
        <v>15</v>
      </c>
      <c r="B19" s="71" t="s">
        <v>80</v>
      </c>
      <c r="C19" s="71" t="s">
        <v>17</v>
      </c>
      <c r="D19" s="71" t="s">
        <v>23</v>
      </c>
      <c r="E19" s="71" t="s">
        <v>81</v>
      </c>
      <c r="F19" s="69" t="s">
        <v>62</v>
      </c>
      <c r="G19" s="77">
        <f>'Cost Calculator'!J19</f>
        <v>123.1885</v>
      </c>
      <c r="H19" s="77">
        <v>200</v>
      </c>
      <c r="I19" s="83">
        <f t="shared" si="3"/>
        <v>76.8115</v>
      </c>
      <c r="J19" s="84">
        <f>'Cost Calculator'!K19</f>
        <v>39.2887857142857</v>
      </c>
      <c r="K19" s="85">
        <v>80</v>
      </c>
      <c r="L19" s="84">
        <f t="shared" si="1"/>
        <v>40.7112142857143</v>
      </c>
      <c r="M19" s="91">
        <f>'Cost Calculator'!L20</f>
        <v>92.69</v>
      </c>
      <c r="N19" s="92">
        <v>180</v>
      </c>
      <c r="O19" s="92">
        <f t="shared" si="4"/>
        <v>87.31</v>
      </c>
    </row>
    <row r="20" s="66" customFormat="1" ht="14.25" customHeight="1" spans="1:15">
      <c r="A20" s="71" t="s">
        <v>82</v>
      </c>
      <c r="B20" s="71" t="s">
        <v>83</v>
      </c>
      <c r="C20" s="71" t="s">
        <v>50</v>
      </c>
      <c r="D20" s="71" t="s">
        <v>47</v>
      </c>
      <c r="E20" s="71" t="s">
        <v>84</v>
      </c>
      <c r="F20" s="71" t="s">
        <v>28</v>
      </c>
      <c r="G20" s="77">
        <f>'Cost Calculator'!J20</f>
        <v>94.8835</v>
      </c>
      <c r="H20" s="77">
        <v>200</v>
      </c>
      <c r="I20" s="83">
        <f t="shared" si="3"/>
        <v>105.1165</v>
      </c>
      <c r="J20" s="84">
        <f>'Cost Calculator'!K20</f>
        <v>31.4259132142857</v>
      </c>
      <c r="K20" s="85">
        <v>80</v>
      </c>
      <c r="L20" s="84">
        <f t="shared" si="1"/>
        <v>48.5740867857143</v>
      </c>
      <c r="M20" s="91">
        <f>'Cost Calculator'!L19</f>
        <v>109.16</v>
      </c>
      <c r="N20" s="92">
        <v>180</v>
      </c>
      <c r="O20" s="92">
        <f t="shared" si="4"/>
        <v>70.84</v>
      </c>
    </row>
    <row r="21" s="66" customFormat="1" ht="14.25" customHeight="1" spans="1:15">
      <c r="A21" s="71" t="s">
        <v>85</v>
      </c>
      <c r="B21" s="71" t="s">
        <v>86</v>
      </c>
      <c r="C21" s="71" t="s">
        <v>50</v>
      </c>
      <c r="D21" s="71" t="s">
        <v>47</v>
      </c>
      <c r="E21" s="71" t="s">
        <v>87</v>
      </c>
      <c r="F21" s="69" t="s">
        <v>34</v>
      </c>
      <c r="G21" s="77">
        <f>'Cost Calculator'!J21</f>
        <v>102.6085</v>
      </c>
      <c r="H21" s="77">
        <v>200</v>
      </c>
      <c r="I21" s="83">
        <f t="shared" si="3"/>
        <v>97.3915</v>
      </c>
      <c r="J21" s="84">
        <f>'Cost Calculator'!K21</f>
        <v>33.5716607142857</v>
      </c>
      <c r="K21" s="85">
        <v>80</v>
      </c>
      <c r="L21" s="84">
        <f t="shared" si="1"/>
        <v>46.4283392857143</v>
      </c>
      <c r="M21" s="91" t="e">
        <f>'Cost Calculator'!L21</f>
        <v>#REF!</v>
      </c>
      <c r="N21" s="92">
        <v>180</v>
      </c>
      <c r="O21" s="92" t="e">
        <f t="shared" si="4"/>
        <v>#REF!</v>
      </c>
    </row>
    <row r="22" s="66" customFormat="1" ht="14.25" customHeight="1" spans="1:15">
      <c r="A22" s="68" t="s">
        <v>88</v>
      </c>
      <c r="B22" s="68" t="s">
        <v>89</v>
      </c>
      <c r="C22" s="68" t="s">
        <v>17</v>
      </c>
      <c r="D22" s="68" t="s">
        <v>90</v>
      </c>
      <c r="E22" s="68" t="s">
        <v>91</v>
      </c>
      <c r="F22" s="69" t="s">
        <v>34</v>
      </c>
      <c r="G22" s="77">
        <f>'Cost Calculator'!J22</f>
        <v>102.6085</v>
      </c>
      <c r="H22" s="77">
        <v>200</v>
      </c>
      <c r="I22" s="83">
        <f t="shared" si="3"/>
        <v>97.3915</v>
      </c>
      <c r="J22" s="84">
        <f>'Cost Calculator'!K22</f>
        <v>33.5716607142857</v>
      </c>
      <c r="K22" s="85">
        <v>80</v>
      </c>
      <c r="L22" s="84">
        <f t="shared" si="1"/>
        <v>46.4283392857143</v>
      </c>
      <c r="M22" s="91" t="e">
        <f>'Cost Calculator'!L22</f>
        <v>#REF!</v>
      </c>
      <c r="N22" s="92">
        <v>180</v>
      </c>
      <c r="O22" s="92" t="e">
        <f t="shared" si="4"/>
        <v>#REF!</v>
      </c>
    </row>
    <row r="23" s="66" customFormat="1" ht="14.25" customHeight="1" spans="1:15">
      <c r="A23" s="73" t="s">
        <v>21</v>
      </c>
      <c r="B23" s="73" t="s">
        <v>92</v>
      </c>
      <c r="C23" s="73" t="s">
        <v>50</v>
      </c>
      <c r="D23" s="73" t="s">
        <v>93</v>
      </c>
      <c r="E23" s="73" t="s">
        <v>94</v>
      </c>
      <c r="F23" s="73" t="s">
        <v>41</v>
      </c>
      <c r="G23" s="77">
        <f>'Cost Calculator'!J23</f>
        <v>108.1585</v>
      </c>
      <c r="H23" s="77">
        <v>200</v>
      </c>
      <c r="I23" s="83">
        <f t="shared" si="3"/>
        <v>91.8415</v>
      </c>
      <c r="J23" s="84">
        <f>'Cost Calculator'!K23</f>
        <v>35.1137857142857</v>
      </c>
      <c r="K23" s="85">
        <v>80</v>
      </c>
      <c r="L23" s="84">
        <f t="shared" si="1"/>
        <v>44.8862142857143</v>
      </c>
      <c r="M23" s="91">
        <f>'Cost Calculator'!L23</f>
        <v>74.81</v>
      </c>
      <c r="N23" s="92">
        <v>180</v>
      </c>
      <c r="O23" s="92">
        <f t="shared" si="4"/>
        <v>105.19</v>
      </c>
    </row>
    <row r="24" s="66" customFormat="1" ht="14.25" customHeight="1" spans="1:15">
      <c r="A24" s="71" t="s">
        <v>95</v>
      </c>
      <c r="B24" s="71" t="s">
        <v>96</v>
      </c>
      <c r="C24" s="71" t="s">
        <v>17</v>
      </c>
      <c r="D24" s="71" t="s">
        <v>97</v>
      </c>
      <c r="E24" s="71" t="s">
        <v>98</v>
      </c>
      <c r="F24" s="69" t="s">
        <v>72</v>
      </c>
      <c r="G24" s="77">
        <f>'Cost Calculator'!J24</f>
        <v>149.9905</v>
      </c>
      <c r="H24" s="77">
        <v>200</v>
      </c>
      <c r="I24" s="83">
        <f t="shared" si="3"/>
        <v>50.0095</v>
      </c>
      <c r="J24" s="84">
        <f>'Cost Calculator'!K24</f>
        <v>46.7337857142857</v>
      </c>
      <c r="K24" s="85">
        <v>80</v>
      </c>
      <c r="L24" s="84">
        <f t="shared" si="1"/>
        <v>33.2662142857143</v>
      </c>
      <c r="M24" s="91">
        <f>'Cost Calculator'!L24</f>
        <v>124.05</v>
      </c>
      <c r="N24" s="92">
        <v>180</v>
      </c>
      <c r="O24" s="92">
        <f t="shared" si="4"/>
        <v>55.95</v>
      </c>
    </row>
    <row r="25" s="66" customFormat="1" ht="14.25" customHeight="1" spans="1:15">
      <c r="A25" s="71" t="s">
        <v>99</v>
      </c>
      <c r="B25" s="71" t="s">
        <v>100</v>
      </c>
      <c r="C25" s="71" t="s">
        <v>17</v>
      </c>
      <c r="D25" s="71" t="s">
        <v>47</v>
      </c>
      <c r="E25" s="71" t="s">
        <v>101</v>
      </c>
      <c r="F25" s="71" t="s">
        <v>41</v>
      </c>
      <c r="G25" s="77">
        <f>'Cost Calculator'!J25</f>
        <v>114.4585</v>
      </c>
      <c r="H25" s="77">
        <v>200</v>
      </c>
      <c r="I25" s="83">
        <f t="shared" si="3"/>
        <v>85.5415</v>
      </c>
      <c r="J25" s="84">
        <f>'Cost Calculator'!K25</f>
        <v>36.8637857142857</v>
      </c>
      <c r="K25" s="85">
        <v>80</v>
      </c>
      <c r="L25" s="84">
        <f t="shared" si="1"/>
        <v>43.1362142857143</v>
      </c>
      <c r="M25" s="93"/>
      <c r="N25" s="71"/>
      <c r="O25" s="71"/>
    </row>
    <row r="26" s="66" customFormat="1" ht="14.25" customHeight="1" spans="1:15">
      <c r="A26" s="72" t="s">
        <v>99</v>
      </c>
      <c r="B26" s="72" t="s">
        <v>102</v>
      </c>
      <c r="C26" s="72" t="s">
        <v>50</v>
      </c>
      <c r="D26" s="72" t="s">
        <v>103</v>
      </c>
      <c r="E26" s="72" t="s">
        <v>104</v>
      </c>
      <c r="F26" s="72" t="s">
        <v>28</v>
      </c>
      <c r="G26" s="77">
        <f>'Cost Calculator'!J26</f>
        <v>97.9585</v>
      </c>
      <c r="H26" s="77">
        <v>200</v>
      </c>
      <c r="I26" s="83">
        <f t="shared" si="3"/>
        <v>102.0415</v>
      </c>
      <c r="J26" s="84">
        <f>'Cost Calculator'!K26</f>
        <v>32.2800457142857</v>
      </c>
      <c r="K26" s="85">
        <v>80</v>
      </c>
      <c r="L26" s="84">
        <f t="shared" si="1"/>
        <v>47.7199542857143</v>
      </c>
      <c r="M26" s="93"/>
      <c r="N26" s="71"/>
      <c r="O26" s="71"/>
    </row>
    <row r="27" s="66" customFormat="1" ht="14.25" customHeight="1" spans="1:15">
      <c r="A27" s="71" t="s">
        <v>99</v>
      </c>
      <c r="B27" s="71" t="s">
        <v>105</v>
      </c>
      <c r="C27" s="71" t="s">
        <v>17</v>
      </c>
      <c r="D27" s="71" t="s">
        <v>106</v>
      </c>
      <c r="E27" s="71" t="s">
        <v>107</v>
      </c>
      <c r="F27" s="71" t="s">
        <v>62</v>
      </c>
      <c r="G27" s="77">
        <f>'Cost Calculator'!J27</f>
        <v>119.6785</v>
      </c>
      <c r="H27" s="77">
        <v>200</v>
      </c>
      <c r="I27" s="83">
        <f t="shared" si="3"/>
        <v>80.3215</v>
      </c>
      <c r="J27" s="84">
        <f>'Cost Calculator'!K27</f>
        <v>38.3137857142857</v>
      </c>
      <c r="K27" s="85">
        <v>80</v>
      </c>
      <c r="L27" s="84">
        <f t="shared" si="1"/>
        <v>41.6862142857143</v>
      </c>
      <c r="M27" s="93"/>
      <c r="N27" s="71"/>
      <c r="O27" s="71"/>
    </row>
    <row r="28" s="66" customFormat="1" ht="14.25" customHeight="1" spans="1:15">
      <c r="A28" s="71" t="s">
        <v>15</v>
      </c>
      <c r="B28" s="71" t="s">
        <v>108</v>
      </c>
      <c r="C28" s="71" t="s">
        <v>17</v>
      </c>
      <c r="D28" s="71" t="s">
        <v>39</v>
      </c>
      <c r="E28" s="71" t="s">
        <v>109</v>
      </c>
      <c r="F28" s="71" t="s">
        <v>20</v>
      </c>
      <c r="G28" s="77">
        <f>'Cost Calculator'!J28</f>
        <v>89.0785</v>
      </c>
      <c r="H28" s="77">
        <v>200</v>
      </c>
      <c r="I28" s="83">
        <f t="shared" si="3"/>
        <v>110.9215</v>
      </c>
      <c r="J28" s="84">
        <f>'Cost Calculator'!K28</f>
        <v>29.8137857142857</v>
      </c>
      <c r="K28" s="85">
        <v>80</v>
      </c>
      <c r="L28" s="84">
        <f t="shared" si="1"/>
        <v>50.1862142857143</v>
      </c>
      <c r="M28" s="91">
        <f>'Cost Calculator'!L28</f>
        <v>90.21</v>
      </c>
      <c r="N28" s="92">
        <v>180</v>
      </c>
      <c r="O28" s="92">
        <f>N28-M28</f>
        <v>89.79</v>
      </c>
    </row>
    <row r="29" s="66" customFormat="1" ht="14.25" customHeight="1" spans="1:15">
      <c r="A29" s="68" t="s">
        <v>76</v>
      </c>
      <c r="B29" s="68" t="s">
        <v>110</v>
      </c>
      <c r="C29" s="68" t="s">
        <v>31</v>
      </c>
      <c r="D29" s="68" t="s">
        <v>32</v>
      </c>
      <c r="E29" s="68" t="s">
        <v>111</v>
      </c>
      <c r="F29" s="69" t="s">
        <v>34</v>
      </c>
      <c r="G29" s="77">
        <f>'Cost Calculator'!J29</f>
        <v>105.9835</v>
      </c>
      <c r="H29" s="77">
        <v>200</v>
      </c>
      <c r="I29" s="83">
        <f t="shared" si="3"/>
        <v>94.0165</v>
      </c>
      <c r="J29" s="84">
        <f>'Cost Calculator'!K29</f>
        <v>34.5091232142857</v>
      </c>
      <c r="K29" s="85">
        <v>80</v>
      </c>
      <c r="L29" s="84">
        <f t="shared" si="1"/>
        <v>45.4908767857143</v>
      </c>
      <c r="M29" s="91" t="e">
        <f>'Cost Calculator'!L29</f>
        <v>#REF!</v>
      </c>
      <c r="N29" s="92">
        <v>180</v>
      </c>
      <c r="O29" s="92" t="e">
        <f>N29-M29</f>
        <v>#REF!</v>
      </c>
    </row>
    <row r="30" s="66" customFormat="1" ht="14.25" customHeight="1" spans="1:15">
      <c r="A30" s="71" t="s">
        <v>112</v>
      </c>
      <c r="B30" s="71" t="s">
        <v>113</v>
      </c>
      <c r="C30" s="71" t="s">
        <v>17</v>
      </c>
      <c r="D30" s="71" t="s">
        <v>54</v>
      </c>
      <c r="E30" s="71" t="s">
        <v>114</v>
      </c>
      <c r="F30" s="71" t="s">
        <v>72</v>
      </c>
      <c r="G30" s="77">
        <f>'Cost Calculator'!J30</f>
        <v>120.4705</v>
      </c>
      <c r="H30" s="77">
        <v>200</v>
      </c>
      <c r="I30" s="83">
        <f t="shared" ref="I30:I70" si="5">H30-G30</f>
        <v>79.5295</v>
      </c>
      <c r="J30" s="71"/>
      <c r="K30" s="71"/>
      <c r="L30" s="71"/>
      <c r="M30" s="93"/>
      <c r="N30" s="71"/>
      <c r="O30" s="71"/>
    </row>
    <row r="31" s="66" customFormat="1" ht="14.25" customHeight="1" spans="1:15">
      <c r="A31" s="74" t="s">
        <v>115</v>
      </c>
      <c r="B31" s="74" t="s">
        <v>116</v>
      </c>
      <c r="C31" s="74" t="s">
        <v>50</v>
      </c>
      <c r="D31" s="74" t="s">
        <v>117</v>
      </c>
      <c r="E31" s="74" t="s">
        <v>118</v>
      </c>
      <c r="F31" s="78" t="s">
        <v>28</v>
      </c>
      <c r="G31" s="77">
        <f>'Cost Calculator'!J31</f>
        <v>104.4835</v>
      </c>
      <c r="H31" s="77">
        <v>200</v>
      </c>
      <c r="I31" s="83">
        <f t="shared" si="5"/>
        <v>95.5165</v>
      </c>
      <c r="J31" s="84">
        <f>'Cost Calculator'!K31</f>
        <v>34.0924732142857</v>
      </c>
      <c r="K31" s="85">
        <v>80</v>
      </c>
      <c r="L31" s="84">
        <f t="shared" ref="L31:L41" si="6">K31-J31</f>
        <v>45.9075267857143</v>
      </c>
      <c r="M31" s="91" t="e">
        <f>'Cost Calculator'!L31</f>
        <v>#REF!</v>
      </c>
      <c r="N31" s="92">
        <v>180</v>
      </c>
      <c r="O31" s="92" t="e">
        <f t="shared" ref="O31:O36" si="7">N31-M31</f>
        <v>#REF!</v>
      </c>
    </row>
    <row r="32" s="66" customFormat="1" ht="14.25" customHeight="1" spans="1:15">
      <c r="A32" s="75" t="s">
        <v>21</v>
      </c>
      <c r="B32" s="75" t="s">
        <v>119</v>
      </c>
      <c r="C32" s="75" t="s">
        <v>17</v>
      </c>
      <c r="D32" s="75" t="s">
        <v>32</v>
      </c>
      <c r="E32" s="75" t="s">
        <v>120</v>
      </c>
      <c r="F32" s="79" t="s">
        <v>41</v>
      </c>
      <c r="G32" s="77">
        <f>'Cost Calculator'!J32</f>
        <v>108.1585</v>
      </c>
      <c r="H32" s="77">
        <v>200</v>
      </c>
      <c r="I32" s="83">
        <f t="shared" si="5"/>
        <v>91.8415</v>
      </c>
      <c r="J32" s="84">
        <f>'Cost Calculator'!K32</f>
        <v>35.1137857142857</v>
      </c>
      <c r="K32" s="85">
        <v>80</v>
      </c>
      <c r="L32" s="84">
        <f t="shared" si="6"/>
        <v>44.8862142857143</v>
      </c>
      <c r="M32" s="91">
        <f>'Cost Calculator'!L32</f>
        <v>74.81</v>
      </c>
      <c r="N32" s="92">
        <v>180</v>
      </c>
      <c r="O32" s="92">
        <f t="shared" si="7"/>
        <v>105.19</v>
      </c>
    </row>
    <row r="33" s="66" customFormat="1" ht="14.25" customHeight="1" spans="1:15">
      <c r="A33" s="72" t="s">
        <v>99</v>
      </c>
      <c r="B33" s="72" t="s">
        <v>121</v>
      </c>
      <c r="C33" s="72" t="s">
        <v>17</v>
      </c>
      <c r="D33" s="72" t="s">
        <v>32</v>
      </c>
      <c r="E33" s="72" t="s">
        <v>122</v>
      </c>
      <c r="F33" s="72" t="s">
        <v>41</v>
      </c>
      <c r="G33" s="77">
        <f>'Cost Calculator'!J33</f>
        <v>126.1585</v>
      </c>
      <c r="H33" s="77">
        <v>200</v>
      </c>
      <c r="I33" s="83">
        <f t="shared" si="5"/>
        <v>73.8415</v>
      </c>
      <c r="J33" s="84">
        <f>'Cost Calculator'!K33</f>
        <v>40.1137857142857</v>
      </c>
      <c r="K33" s="85">
        <v>80</v>
      </c>
      <c r="L33" s="84">
        <f t="shared" si="6"/>
        <v>39.8862142857143</v>
      </c>
      <c r="M33" s="91">
        <f>'Cost Calculator'!L35</f>
        <v>92.309993</v>
      </c>
      <c r="N33" s="92">
        <v>180</v>
      </c>
      <c r="O33" s="92">
        <f t="shared" si="7"/>
        <v>87.690007</v>
      </c>
    </row>
    <row r="34" s="66" customFormat="1" ht="14.25" customHeight="1" spans="1:15">
      <c r="A34" s="71" t="s">
        <v>99</v>
      </c>
      <c r="B34" s="71" t="s">
        <v>123</v>
      </c>
      <c r="C34" s="71" t="s">
        <v>17</v>
      </c>
      <c r="D34" s="71" t="s">
        <v>78</v>
      </c>
      <c r="E34" s="71" t="s">
        <v>124</v>
      </c>
      <c r="F34" s="71" t="s">
        <v>41</v>
      </c>
      <c r="G34" s="77">
        <f>'Cost Calculator'!J34</f>
        <v>126.1585</v>
      </c>
      <c r="H34" s="77">
        <v>200</v>
      </c>
      <c r="I34" s="83">
        <f t="shared" si="5"/>
        <v>73.8415</v>
      </c>
      <c r="J34" s="84">
        <f>'Cost Calculator'!K34</f>
        <v>40.1137857142857</v>
      </c>
      <c r="K34" s="85">
        <v>80</v>
      </c>
      <c r="L34" s="84">
        <f t="shared" si="6"/>
        <v>39.8862142857143</v>
      </c>
      <c r="M34" s="91" t="e">
        <f>'Cost Calculator'!L36</f>
        <v>#REF!</v>
      </c>
      <c r="N34" s="92">
        <v>180</v>
      </c>
      <c r="O34" s="92" t="e">
        <f t="shared" si="7"/>
        <v>#REF!</v>
      </c>
    </row>
    <row r="35" s="66" customFormat="1" ht="14.25" customHeight="1" spans="1:15">
      <c r="A35" s="71" t="s">
        <v>125</v>
      </c>
      <c r="B35" s="71" t="s">
        <v>126</v>
      </c>
      <c r="C35" s="71" t="s">
        <v>31</v>
      </c>
      <c r="D35" s="71" t="s">
        <v>32</v>
      </c>
      <c r="E35" s="71" t="s">
        <v>127</v>
      </c>
      <c r="F35" s="71" t="s">
        <v>28</v>
      </c>
      <c r="G35" s="77">
        <f>'Cost Calculator'!J35</f>
        <v>92.8585</v>
      </c>
      <c r="H35" s="77">
        <v>200</v>
      </c>
      <c r="I35" s="83">
        <f t="shared" si="5"/>
        <v>107.1415</v>
      </c>
      <c r="J35" s="84">
        <f>'Cost Calculator'!K35</f>
        <v>30.8634357142857</v>
      </c>
      <c r="K35" s="85">
        <v>80</v>
      </c>
      <c r="L35" s="84">
        <f t="shared" si="6"/>
        <v>49.1365642857143</v>
      </c>
      <c r="M35" s="91">
        <f>'Cost Calculator'!L37</f>
        <v>74.81</v>
      </c>
      <c r="N35" s="92">
        <v>180</v>
      </c>
      <c r="O35" s="92">
        <f t="shared" si="7"/>
        <v>105.19</v>
      </c>
    </row>
    <row r="36" s="66" customFormat="1" ht="14.25" customHeight="1" spans="1:15">
      <c r="A36" s="70" t="s">
        <v>42</v>
      </c>
      <c r="B36" s="70" t="s">
        <v>128</v>
      </c>
      <c r="C36" s="70" t="s">
        <v>17</v>
      </c>
      <c r="D36" s="70" t="s">
        <v>47</v>
      </c>
      <c r="E36" s="70" t="s">
        <v>129</v>
      </c>
      <c r="F36" s="73" t="s">
        <v>28</v>
      </c>
      <c r="G36" s="77">
        <f>'Cost Calculator'!J36</f>
        <v>109.7335</v>
      </c>
      <c r="H36" s="77">
        <v>200</v>
      </c>
      <c r="I36" s="83">
        <f t="shared" si="5"/>
        <v>90.2665</v>
      </c>
      <c r="J36" s="84">
        <f>'Cost Calculator'!K36</f>
        <v>35.5507482142857</v>
      </c>
      <c r="K36" s="85">
        <v>80</v>
      </c>
      <c r="L36" s="84">
        <f t="shared" si="6"/>
        <v>44.4492517857143</v>
      </c>
      <c r="M36" s="91">
        <f>'Cost Calculator'!L38</f>
        <v>107.31</v>
      </c>
      <c r="N36" s="92">
        <v>180</v>
      </c>
      <c r="O36" s="92">
        <f t="shared" si="7"/>
        <v>72.69</v>
      </c>
    </row>
    <row r="37" s="66" customFormat="1" ht="14.25" customHeight="1" spans="1:15">
      <c r="A37" s="68" t="s">
        <v>99</v>
      </c>
      <c r="B37" s="68" t="s">
        <v>130</v>
      </c>
      <c r="C37" s="68" t="s">
        <v>17</v>
      </c>
      <c r="D37" s="68" t="s">
        <v>64</v>
      </c>
      <c r="E37" s="68" t="s">
        <v>131</v>
      </c>
      <c r="F37" s="69" t="s">
        <v>41</v>
      </c>
      <c r="G37" s="77">
        <f>'Cost Calculator'!J37</f>
        <v>119.8585</v>
      </c>
      <c r="H37" s="77">
        <v>200</v>
      </c>
      <c r="I37" s="83">
        <f t="shared" si="5"/>
        <v>80.1415</v>
      </c>
      <c r="J37" s="84">
        <f>'Cost Calculator'!K37</f>
        <v>38.3637857142857</v>
      </c>
      <c r="K37" s="85">
        <v>80</v>
      </c>
      <c r="L37" s="84">
        <f t="shared" si="6"/>
        <v>41.6362142857143</v>
      </c>
      <c r="M37" s="93"/>
      <c r="N37" s="71"/>
      <c r="O37" s="71"/>
    </row>
    <row r="38" s="66" customFormat="1" ht="14.25" customHeight="1" spans="1:15">
      <c r="A38" s="72" t="s">
        <v>132</v>
      </c>
      <c r="B38" s="72" t="s">
        <v>133</v>
      </c>
      <c r="C38" s="72" t="s">
        <v>50</v>
      </c>
      <c r="D38" s="72" t="s">
        <v>134</v>
      </c>
      <c r="E38" s="72" t="s">
        <v>135</v>
      </c>
      <c r="F38" s="72" t="s">
        <v>41</v>
      </c>
      <c r="G38" s="77">
        <f>'Cost Calculator'!J38</f>
        <v>119.8585</v>
      </c>
      <c r="H38" s="77">
        <v>200</v>
      </c>
      <c r="I38" s="83">
        <f t="shared" si="5"/>
        <v>80.1415</v>
      </c>
      <c r="J38" s="84">
        <f>'Cost Calculator'!K38</f>
        <v>38.3637857142857</v>
      </c>
      <c r="K38" s="85">
        <v>80</v>
      </c>
      <c r="L38" s="84">
        <f t="shared" si="6"/>
        <v>41.6362142857143</v>
      </c>
      <c r="M38" s="91">
        <f>'Cost Calculator'!L41</f>
        <v>0</v>
      </c>
      <c r="N38" s="92">
        <v>180</v>
      </c>
      <c r="O38" s="92">
        <f>N38-M38</f>
        <v>180</v>
      </c>
    </row>
    <row r="39" s="66" customFormat="1" ht="14.25" customHeight="1" spans="1:15">
      <c r="A39" s="71" t="s">
        <v>136</v>
      </c>
      <c r="B39" s="71" t="s">
        <v>137</v>
      </c>
      <c r="C39" s="71" t="s">
        <v>50</v>
      </c>
      <c r="D39" s="71" t="s">
        <v>117</v>
      </c>
      <c r="E39" s="71" t="s">
        <v>138</v>
      </c>
      <c r="F39" s="71" t="s">
        <v>34</v>
      </c>
      <c r="G39" s="77">
        <f>'Cost Calculator'!J39</f>
        <v>98.4835</v>
      </c>
      <c r="H39" s="77">
        <v>200</v>
      </c>
      <c r="I39" s="83">
        <f t="shared" si="5"/>
        <v>101.5165</v>
      </c>
      <c r="J39" s="84">
        <f>'Cost Calculator'!K39</f>
        <v>32.4258732142857</v>
      </c>
      <c r="K39" s="85">
        <v>80</v>
      </c>
      <c r="L39" s="84">
        <f t="shared" si="6"/>
        <v>47.5741267857143</v>
      </c>
      <c r="M39" s="93"/>
      <c r="N39" s="71"/>
      <c r="O39" s="71"/>
    </row>
    <row r="40" s="66" customFormat="1" ht="14.25" customHeight="1" spans="1:15">
      <c r="A40" s="71" t="s">
        <v>15</v>
      </c>
      <c r="B40" s="71" t="s">
        <v>139</v>
      </c>
      <c r="C40" s="71" t="s">
        <v>17</v>
      </c>
      <c r="D40" s="71" t="s">
        <v>18</v>
      </c>
      <c r="E40" s="71" t="s">
        <v>140</v>
      </c>
      <c r="F40" s="71" t="s">
        <v>41</v>
      </c>
      <c r="G40" s="77">
        <f>'Cost Calculator'!J40</f>
        <v>108.1585</v>
      </c>
      <c r="H40" s="77">
        <v>200</v>
      </c>
      <c r="I40" s="83">
        <f t="shared" si="5"/>
        <v>91.8415</v>
      </c>
      <c r="J40" s="84">
        <f>'Cost Calculator'!K40</f>
        <v>35.1137857142857</v>
      </c>
      <c r="K40" s="85">
        <v>80</v>
      </c>
      <c r="L40" s="84">
        <f t="shared" si="6"/>
        <v>44.8862142857143</v>
      </c>
      <c r="M40" s="93"/>
      <c r="N40" s="71"/>
      <c r="O40" s="71"/>
    </row>
    <row r="41" s="66" customFormat="1" ht="14.25" customHeight="1" spans="1:15">
      <c r="A41" s="68" t="s">
        <v>141</v>
      </c>
      <c r="B41" s="68" t="s">
        <v>142</v>
      </c>
      <c r="C41" s="68" t="s">
        <v>31</v>
      </c>
      <c r="D41" s="68" t="s">
        <v>143</v>
      </c>
      <c r="E41" s="68" t="s">
        <v>144</v>
      </c>
      <c r="F41" s="69" t="s">
        <v>34</v>
      </c>
      <c r="G41" s="77">
        <f>'Cost Calculator'!J41</f>
        <v>102.6085</v>
      </c>
      <c r="H41" s="77">
        <v>200</v>
      </c>
      <c r="I41" s="83">
        <f t="shared" si="5"/>
        <v>97.3915</v>
      </c>
      <c r="J41" s="84">
        <f>'Cost Calculator'!K41</f>
        <v>33.5716607142857</v>
      </c>
      <c r="K41" s="85">
        <v>80</v>
      </c>
      <c r="L41" s="84">
        <f t="shared" si="6"/>
        <v>46.4283392857143</v>
      </c>
      <c r="M41" s="91">
        <f>'Cost Calculator'!L45</f>
        <v>100.81</v>
      </c>
      <c r="N41" s="92">
        <v>180</v>
      </c>
      <c r="O41" s="92">
        <f>N41-M41</f>
        <v>79.19</v>
      </c>
    </row>
    <row r="42" s="66" customFormat="1" ht="14.25" customHeight="1" spans="1:15">
      <c r="A42" s="71" t="s">
        <v>132</v>
      </c>
      <c r="B42" s="71" t="s">
        <v>145</v>
      </c>
      <c r="C42" s="71" t="s">
        <v>17</v>
      </c>
      <c r="D42" s="71" t="s">
        <v>146</v>
      </c>
      <c r="E42" s="71" t="s">
        <v>147</v>
      </c>
      <c r="F42" s="71" t="s">
        <v>41</v>
      </c>
      <c r="G42" s="77">
        <f>'Cost Calculator'!J42</f>
        <v>105.6085</v>
      </c>
      <c r="H42" s="77">
        <v>200</v>
      </c>
      <c r="I42" s="83">
        <f t="shared" si="5"/>
        <v>94.3915</v>
      </c>
      <c r="J42" s="71"/>
      <c r="K42" s="71"/>
      <c r="L42" s="71"/>
      <c r="M42" s="93"/>
      <c r="N42" s="71"/>
      <c r="O42" s="71"/>
    </row>
    <row r="43" s="66" customFormat="1" ht="14.25" customHeight="1" spans="1:15">
      <c r="A43" s="71" t="s">
        <v>99</v>
      </c>
      <c r="B43" s="71" t="s">
        <v>148</v>
      </c>
      <c r="C43" s="71" t="s">
        <v>50</v>
      </c>
      <c r="D43" s="71" t="s">
        <v>146</v>
      </c>
      <c r="E43" s="71" t="s">
        <v>149</v>
      </c>
      <c r="F43" s="71" t="s">
        <v>41</v>
      </c>
      <c r="G43" s="77">
        <f>'Cost Calculator'!J43</f>
        <v>102.7585</v>
      </c>
      <c r="H43" s="77">
        <v>200</v>
      </c>
      <c r="I43" s="83">
        <f t="shared" si="5"/>
        <v>97.2415</v>
      </c>
      <c r="J43" s="84">
        <f>'Cost Calculator'!K43</f>
        <v>33.6137857142857</v>
      </c>
      <c r="K43" s="85">
        <v>80</v>
      </c>
      <c r="L43" s="84">
        <f t="shared" ref="L43:L48" si="8">K43-J43</f>
        <v>46.3862142857143</v>
      </c>
      <c r="M43" s="93"/>
      <c r="N43" s="71"/>
      <c r="O43" s="71"/>
    </row>
    <row r="44" s="66" customFormat="1" ht="14.25" customHeight="1" spans="1:15">
      <c r="A44" s="71" t="s">
        <v>99</v>
      </c>
      <c r="B44" s="71" t="s">
        <v>150</v>
      </c>
      <c r="C44" s="71" t="s">
        <v>17</v>
      </c>
      <c r="D44" s="71" t="s">
        <v>47</v>
      </c>
      <c r="E44" s="71" t="s">
        <v>151</v>
      </c>
      <c r="F44" s="71" t="s">
        <v>41</v>
      </c>
      <c r="G44" s="77">
        <f>'Cost Calculator'!J44</f>
        <v>102.7585</v>
      </c>
      <c r="H44" s="77">
        <v>200</v>
      </c>
      <c r="I44" s="83">
        <f t="shared" si="5"/>
        <v>97.2415</v>
      </c>
      <c r="J44" s="84">
        <f>'Cost Calculator'!K44</f>
        <v>33.6137857142857</v>
      </c>
      <c r="K44" s="85">
        <v>80</v>
      </c>
      <c r="L44" s="84">
        <f t="shared" si="8"/>
        <v>46.3862142857143</v>
      </c>
      <c r="M44" s="93"/>
      <c r="N44" s="71"/>
      <c r="O44" s="71"/>
    </row>
    <row r="45" s="66" customFormat="1" ht="14.25" customHeight="1" spans="1:15">
      <c r="A45" s="73" t="s">
        <v>152</v>
      </c>
      <c r="B45" s="73" t="s">
        <v>153</v>
      </c>
      <c r="C45" s="73" t="s">
        <v>31</v>
      </c>
      <c r="D45" s="73" t="s">
        <v>39</v>
      </c>
      <c r="E45" s="73" t="s">
        <v>154</v>
      </c>
      <c r="F45" s="73" t="s">
        <v>41</v>
      </c>
      <c r="G45" s="77">
        <f>'Cost Calculator'!J45</f>
        <v>108.1585</v>
      </c>
      <c r="H45" s="77">
        <v>200</v>
      </c>
      <c r="I45" s="83">
        <f t="shared" si="5"/>
        <v>91.8415</v>
      </c>
      <c r="J45" s="84">
        <f>'Cost Calculator'!K45</f>
        <v>35.1137857142857</v>
      </c>
      <c r="K45" s="85">
        <v>80</v>
      </c>
      <c r="L45" s="84">
        <f t="shared" si="8"/>
        <v>44.8862142857143</v>
      </c>
      <c r="M45" s="91">
        <f>'Cost Calculator'!L48</f>
        <v>97.81</v>
      </c>
      <c r="N45" s="92">
        <v>180</v>
      </c>
      <c r="O45" s="92">
        <f>N45-M45</f>
        <v>82.19</v>
      </c>
    </row>
    <row r="46" s="66" customFormat="1" ht="14.25" customHeight="1" spans="1:15">
      <c r="A46" s="72" t="s">
        <v>35</v>
      </c>
      <c r="B46" s="72" t="s">
        <v>155</v>
      </c>
      <c r="C46" s="72" t="s">
        <v>50</v>
      </c>
      <c r="D46" s="72" t="s">
        <v>47</v>
      </c>
      <c r="E46" s="72" t="s">
        <v>156</v>
      </c>
      <c r="F46" s="72" t="s">
        <v>41</v>
      </c>
      <c r="G46" s="77">
        <f>'Cost Calculator'!J46</f>
        <v>102.7585</v>
      </c>
      <c r="H46" s="77">
        <v>200</v>
      </c>
      <c r="I46" s="83">
        <f t="shared" si="5"/>
        <v>97.2415</v>
      </c>
      <c r="J46" s="84">
        <f>'Cost Calculator'!K46</f>
        <v>33.6137857142857</v>
      </c>
      <c r="K46" s="85">
        <v>80</v>
      </c>
      <c r="L46" s="84">
        <f t="shared" si="8"/>
        <v>46.3862142857143</v>
      </c>
      <c r="M46" s="93"/>
      <c r="N46" s="71"/>
      <c r="O46" s="71"/>
    </row>
    <row r="47" s="66" customFormat="1" ht="14.25" customHeight="1" spans="1:15">
      <c r="A47" s="72" t="s">
        <v>157</v>
      </c>
      <c r="B47" s="72" t="s">
        <v>158</v>
      </c>
      <c r="C47" s="72" t="s">
        <v>31</v>
      </c>
      <c r="D47" s="72" t="s">
        <v>159</v>
      </c>
      <c r="E47" s="72" t="s">
        <v>160</v>
      </c>
      <c r="F47" s="72" t="s">
        <v>41</v>
      </c>
      <c r="G47" s="77">
        <f>'Cost Calculator'!J47</f>
        <v>108.1585</v>
      </c>
      <c r="H47" s="77">
        <v>200</v>
      </c>
      <c r="I47" s="83">
        <f t="shared" si="5"/>
        <v>91.8415</v>
      </c>
      <c r="J47" s="84">
        <f>'Cost Calculator'!K47</f>
        <v>35.1137857142857</v>
      </c>
      <c r="K47" s="85">
        <v>80</v>
      </c>
      <c r="L47" s="84">
        <f t="shared" si="8"/>
        <v>44.8862142857143</v>
      </c>
      <c r="M47" s="91">
        <f>'Cost Calculator'!L53</f>
        <v>74.81</v>
      </c>
      <c r="N47" s="92">
        <v>180</v>
      </c>
      <c r="O47" s="92">
        <f>N47-M47</f>
        <v>105.19</v>
      </c>
    </row>
    <row r="48" s="66" customFormat="1" ht="14.25" customHeight="1" spans="1:15">
      <c r="A48" s="71" t="s">
        <v>125</v>
      </c>
      <c r="B48" s="71" t="s">
        <v>161</v>
      </c>
      <c r="C48" s="71" t="s">
        <v>50</v>
      </c>
      <c r="D48" s="71" t="s">
        <v>162</v>
      </c>
      <c r="E48" s="71" t="s">
        <v>163</v>
      </c>
      <c r="F48" s="71" t="s">
        <v>41</v>
      </c>
      <c r="G48" s="77">
        <f>'Cost Calculator'!J48</f>
        <v>102.7585</v>
      </c>
      <c r="H48" s="77">
        <v>200</v>
      </c>
      <c r="I48" s="83">
        <f t="shared" si="5"/>
        <v>97.2415</v>
      </c>
      <c r="J48" s="84">
        <f>'Cost Calculator'!K48</f>
        <v>33.6137857142857</v>
      </c>
      <c r="K48" s="85">
        <v>80</v>
      </c>
      <c r="L48" s="84">
        <f t="shared" si="8"/>
        <v>46.3862142857143</v>
      </c>
      <c r="M48" s="91">
        <f>'Cost Calculator'!L54</f>
        <v>74.81</v>
      </c>
      <c r="N48" s="92">
        <v>180</v>
      </c>
      <c r="O48" s="92">
        <f>N48-M48</f>
        <v>105.19</v>
      </c>
    </row>
    <row r="49" s="66" customFormat="1" ht="14.25" customHeight="1" spans="1:15">
      <c r="A49" s="71" t="s">
        <v>35</v>
      </c>
      <c r="B49" s="71" t="s">
        <v>164</v>
      </c>
      <c r="C49" s="71" t="s">
        <v>31</v>
      </c>
      <c r="D49" s="71" t="s">
        <v>165</v>
      </c>
      <c r="E49" s="71" t="s">
        <v>166</v>
      </c>
      <c r="F49" s="71" t="s">
        <v>41</v>
      </c>
      <c r="G49" s="77">
        <f>'Cost Calculator'!J49</f>
        <v>100.3585</v>
      </c>
      <c r="H49" s="77">
        <v>200</v>
      </c>
      <c r="I49" s="83">
        <f t="shared" si="5"/>
        <v>99.6415</v>
      </c>
      <c r="J49" s="71"/>
      <c r="K49" s="71"/>
      <c r="L49" s="71"/>
      <c r="M49" s="93"/>
      <c r="N49" s="71"/>
      <c r="O49" s="71"/>
    </row>
    <row r="50" s="66" customFormat="1" ht="14.25" customHeight="1" spans="1:15">
      <c r="A50" s="71" t="s">
        <v>167</v>
      </c>
      <c r="B50" s="71" t="s">
        <v>168</v>
      </c>
      <c r="C50" s="71" t="s">
        <v>50</v>
      </c>
      <c r="D50" s="71" t="s">
        <v>169</v>
      </c>
      <c r="E50" s="71" t="s">
        <v>170</v>
      </c>
      <c r="F50" s="71" t="s">
        <v>41</v>
      </c>
      <c r="G50" s="77">
        <f>'Cost Calculator'!J50</f>
        <v>105.6085</v>
      </c>
      <c r="H50" s="77">
        <v>200</v>
      </c>
      <c r="I50" s="83">
        <f t="shared" si="5"/>
        <v>94.3915</v>
      </c>
      <c r="J50" s="71"/>
      <c r="K50" s="71"/>
      <c r="L50" s="71"/>
      <c r="M50" s="93"/>
      <c r="N50" s="71"/>
      <c r="O50" s="71"/>
    </row>
    <row r="51" s="66" customFormat="1" ht="14.25" customHeight="1" spans="1:15">
      <c r="A51" s="71" t="s">
        <v>171</v>
      </c>
      <c r="B51" s="71" t="s">
        <v>172</v>
      </c>
      <c r="C51" s="71" t="s">
        <v>50</v>
      </c>
      <c r="D51" s="71" t="s">
        <v>47</v>
      </c>
      <c r="E51" s="71" t="s">
        <v>173</v>
      </c>
      <c r="F51" s="71" t="s">
        <v>34</v>
      </c>
      <c r="G51" s="77">
        <f>'Cost Calculator'!J51</f>
        <v>100.7335</v>
      </c>
      <c r="H51" s="77">
        <v>200</v>
      </c>
      <c r="I51" s="83">
        <f t="shared" si="5"/>
        <v>99.2665</v>
      </c>
      <c r="J51" s="71"/>
      <c r="K51" s="71"/>
      <c r="L51" s="71"/>
      <c r="M51" s="93"/>
      <c r="N51" s="71"/>
      <c r="O51" s="71"/>
    </row>
    <row r="52" s="66" customFormat="1" ht="14.25" customHeight="1" spans="1:15">
      <c r="A52" s="71" t="s">
        <v>136</v>
      </c>
      <c r="B52" s="71" t="s">
        <v>174</v>
      </c>
      <c r="C52" s="71" t="s">
        <v>31</v>
      </c>
      <c r="D52" s="71" t="s">
        <v>159</v>
      </c>
      <c r="E52" s="80" t="s">
        <v>175</v>
      </c>
      <c r="F52" s="71" t="s">
        <v>41</v>
      </c>
      <c r="G52" s="77">
        <f>'Cost Calculator'!J52</f>
        <v>114.4585</v>
      </c>
      <c r="H52" s="77">
        <v>200</v>
      </c>
      <c r="I52" s="83">
        <f t="shared" si="5"/>
        <v>85.5415</v>
      </c>
      <c r="J52" s="84">
        <f>'Cost Calculator'!K52</f>
        <v>36.8637857142857</v>
      </c>
      <c r="K52" s="85">
        <v>80</v>
      </c>
      <c r="L52" s="84">
        <f t="shared" ref="L52:L57" si="9">K52-J52</f>
        <v>43.1362142857143</v>
      </c>
      <c r="M52" s="91">
        <f>'Cost Calculator'!L55</f>
        <v>107.33</v>
      </c>
      <c r="N52" s="92">
        <v>180</v>
      </c>
      <c r="O52" s="92">
        <f>N52-M52</f>
        <v>72.67</v>
      </c>
    </row>
    <row r="53" s="66" customFormat="1" ht="14.25" customHeight="1" spans="1:15">
      <c r="A53" s="71" t="s">
        <v>99</v>
      </c>
      <c r="B53" s="71" t="s">
        <v>176</v>
      </c>
      <c r="C53" s="71" t="s">
        <v>17</v>
      </c>
      <c r="D53" s="71" t="s">
        <v>146</v>
      </c>
      <c r="E53" s="71" t="s">
        <v>177</v>
      </c>
      <c r="F53" s="71" t="s">
        <v>41</v>
      </c>
      <c r="G53" s="77">
        <f>'Cost Calculator'!J53</f>
        <v>102.7585</v>
      </c>
      <c r="H53" s="77">
        <v>200</v>
      </c>
      <c r="I53" s="83">
        <f t="shared" si="5"/>
        <v>97.2415</v>
      </c>
      <c r="J53" s="84">
        <f>'Cost Calculator'!K53</f>
        <v>33.6137857142857</v>
      </c>
      <c r="K53" s="85">
        <v>80</v>
      </c>
      <c r="L53" s="84">
        <f t="shared" si="9"/>
        <v>46.3862142857143</v>
      </c>
      <c r="M53" s="91">
        <f>'Cost Calculator'!L57</f>
        <v>104.31</v>
      </c>
      <c r="N53" s="92">
        <v>180</v>
      </c>
      <c r="O53" s="92">
        <f>N53-M53</f>
        <v>75.69</v>
      </c>
    </row>
    <row r="54" s="66" customFormat="1" ht="14.25" customHeight="1" spans="1:15">
      <c r="A54" s="68" t="s">
        <v>136</v>
      </c>
      <c r="B54" s="68" t="s">
        <v>178</v>
      </c>
      <c r="C54" s="68" t="s">
        <v>31</v>
      </c>
      <c r="D54" s="68" t="s">
        <v>134</v>
      </c>
      <c r="E54" s="68" t="s">
        <v>179</v>
      </c>
      <c r="F54" s="69" t="s">
        <v>41</v>
      </c>
      <c r="G54" s="77">
        <f>'Cost Calculator'!J54</f>
        <v>108.1585</v>
      </c>
      <c r="H54" s="77">
        <v>200</v>
      </c>
      <c r="I54" s="83">
        <f t="shared" si="5"/>
        <v>91.8415</v>
      </c>
      <c r="J54" s="84">
        <f>'Cost Calculator'!K54</f>
        <v>35.1137857142857</v>
      </c>
      <c r="K54" s="85">
        <v>80</v>
      </c>
      <c r="L54" s="84">
        <f t="shared" si="9"/>
        <v>44.8862142857143</v>
      </c>
      <c r="M54" s="91">
        <f>'Cost Calculator'!L61</f>
        <v>92.33</v>
      </c>
      <c r="N54" s="92">
        <v>180</v>
      </c>
      <c r="O54" s="92">
        <f>N54-M54</f>
        <v>87.67</v>
      </c>
    </row>
    <row r="55" s="66" customFormat="1" ht="14.25" customHeight="1" spans="1:15">
      <c r="A55" s="75" t="s">
        <v>180</v>
      </c>
      <c r="B55" s="75" t="s">
        <v>181</v>
      </c>
      <c r="C55" s="75" t="s">
        <v>17</v>
      </c>
      <c r="D55" s="75" t="s">
        <v>106</v>
      </c>
      <c r="E55" s="75" t="s">
        <v>182</v>
      </c>
      <c r="F55" s="75" t="s">
        <v>72</v>
      </c>
      <c r="G55" s="77">
        <f>'Cost Calculator'!J55</f>
        <v>119.8945</v>
      </c>
      <c r="H55" s="77">
        <v>200</v>
      </c>
      <c r="I55" s="83">
        <f t="shared" si="5"/>
        <v>80.1055</v>
      </c>
      <c r="J55" s="84">
        <f>'Cost Calculator'!K55</f>
        <v>38.3737857142857</v>
      </c>
      <c r="K55" s="85">
        <v>80</v>
      </c>
      <c r="L55" s="84">
        <f t="shared" si="9"/>
        <v>41.6262142857143</v>
      </c>
      <c r="M55" s="91">
        <f>'Cost Calculator'!L62</f>
        <v>122.93</v>
      </c>
      <c r="N55" s="92">
        <v>180</v>
      </c>
      <c r="O55" s="92">
        <f>N55-M55</f>
        <v>57.07</v>
      </c>
    </row>
    <row r="56" s="66" customFormat="1" ht="14.25" customHeight="1" spans="1:15">
      <c r="A56" s="72" t="s">
        <v>157</v>
      </c>
      <c r="B56" s="72" t="s">
        <v>183</v>
      </c>
      <c r="C56" s="72" t="s">
        <v>31</v>
      </c>
      <c r="D56" s="72" t="s">
        <v>184</v>
      </c>
      <c r="E56" s="72" t="s">
        <v>185</v>
      </c>
      <c r="F56" s="72" t="s">
        <v>41</v>
      </c>
      <c r="G56" s="77">
        <f>'Cost Calculator'!J56</f>
        <v>114.4585</v>
      </c>
      <c r="H56" s="77">
        <v>200</v>
      </c>
      <c r="I56" s="83">
        <f t="shared" si="5"/>
        <v>85.5415</v>
      </c>
      <c r="J56" s="84">
        <f>'Cost Calculator'!K56</f>
        <v>36.8637857142857</v>
      </c>
      <c r="K56" s="85">
        <v>80</v>
      </c>
      <c r="L56" s="84">
        <f t="shared" si="9"/>
        <v>43.1362142857143</v>
      </c>
      <c r="M56" s="93"/>
      <c r="N56" s="71"/>
      <c r="O56" s="71"/>
    </row>
    <row r="57" s="66" customFormat="1" ht="14.25" customHeight="1" spans="1:15">
      <c r="A57" s="70" t="s">
        <v>152</v>
      </c>
      <c r="B57" s="70" t="s">
        <v>186</v>
      </c>
      <c r="C57" s="70" t="s">
        <v>31</v>
      </c>
      <c r="D57" s="70" t="s">
        <v>106</v>
      </c>
      <c r="E57" s="73" t="s">
        <v>187</v>
      </c>
      <c r="F57" s="73" t="s">
        <v>41</v>
      </c>
      <c r="G57" s="77">
        <f>'Cost Calculator'!J57</f>
        <v>114.4585</v>
      </c>
      <c r="H57" s="77">
        <v>200</v>
      </c>
      <c r="I57" s="83">
        <f t="shared" si="5"/>
        <v>85.5415</v>
      </c>
      <c r="J57" s="84">
        <f>'Cost Calculator'!K57</f>
        <v>36.8637857142857</v>
      </c>
      <c r="K57" s="85">
        <v>80</v>
      </c>
      <c r="L57" s="84">
        <f t="shared" si="9"/>
        <v>43.1362142857143</v>
      </c>
      <c r="M57" s="94">
        <f>'Cost Calculator'!L63</f>
        <v>74.81</v>
      </c>
      <c r="N57" s="94">
        <v>180</v>
      </c>
      <c r="O57" s="94">
        <f>N57-M57</f>
        <v>105.19</v>
      </c>
    </row>
    <row r="58" s="66" customFormat="1" ht="14.25" customHeight="1" spans="1:12">
      <c r="A58" s="71" t="s">
        <v>132</v>
      </c>
      <c r="B58" s="71" t="s">
        <v>188</v>
      </c>
      <c r="C58" s="71" t="s">
        <v>17</v>
      </c>
      <c r="D58" s="71" t="s">
        <v>169</v>
      </c>
      <c r="E58" s="71" t="s">
        <v>189</v>
      </c>
      <c r="F58" s="71" t="s">
        <v>41</v>
      </c>
      <c r="G58" s="77">
        <f>'Cost Calculator'!J58</f>
        <v>100.3585</v>
      </c>
      <c r="H58" s="77">
        <v>200</v>
      </c>
      <c r="I58" s="83">
        <f t="shared" si="5"/>
        <v>99.6415</v>
      </c>
      <c r="J58" s="71"/>
      <c r="K58" s="71"/>
      <c r="L58" s="71"/>
    </row>
    <row r="59" s="66" customFormat="1" ht="14.25" customHeight="1" spans="1:15">
      <c r="A59" s="71" t="s">
        <v>190</v>
      </c>
      <c r="B59" s="71" t="s">
        <v>191</v>
      </c>
      <c r="C59" s="71" t="s">
        <v>17</v>
      </c>
      <c r="D59" s="71" t="s">
        <v>192</v>
      </c>
      <c r="E59" s="71" t="s">
        <v>193</v>
      </c>
      <c r="F59" s="71" t="s">
        <v>72</v>
      </c>
      <c r="G59" s="77">
        <f>'Cost Calculator'!J59</f>
        <v>157.3345</v>
      </c>
      <c r="H59" s="77">
        <v>200</v>
      </c>
      <c r="I59" s="83">
        <f t="shared" si="5"/>
        <v>42.6655</v>
      </c>
      <c r="J59" s="84">
        <f>'Cost Calculator'!K59</f>
        <v>48.7737857142857</v>
      </c>
      <c r="K59" s="85">
        <v>80</v>
      </c>
      <c r="L59" s="84">
        <f t="shared" ref="L59:L70" si="10">K59-J59</f>
        <v>31.2262142857143</v>
      </c>
      <c r="M59" s="94">
        <f>'Cost Calculator'!L64</f>
        <v>94.18499225</v>
      </c>
      <c r="N59" s="94">
        <v>180</v>
      </c>
      <c r="O59" s="94">
        <f>N59-M59</f>
        <v>85.81500775</v>
      </c>
    </row>
    <row r="60" s="66" customFormat="1" ht="14.25" customHeight="1" spans="1:15">
      <c r="A60" s="71" t="s">
        <v>95</v>
      </c>
      <c r="B60" s="71" t="s">
        <v>194</v>
      </c>
      <c r="C60" s="71" t="s">
        <v>17</v>
      </c>
      <c r="D60" s="71" t="s">
        <v>192</v>
      </c>
      <c r="E60" s="71" t="s">
        <v>195</v>
      </c>
      <c r="F60" s="71" t="s">
        <v>72</v>
      </c>
      <c r="G60" s="77">
        <f>'Cost Calculator'!J60</f>
        <v>149.9905</v>
      </c>
      <c r="H60" s="77">
        <v>200</v>
      </c>
      <c r="I60" s="83">
        <f t="shared" si="5"/>
        <v>50.0095</v>
      </c>
      <c r="J60" s="84">
        <f>'Cost Calculator'!K60</f>
        <v>46.7337857142857</v>
      </c>
      <c r="K60" s="85">
        <v>80</v>
      </c>
      <c r="L60" s="84">
        <f t="shared" si="10"/>
        <v>33.2662142857143</v>
      </c>
      <c r="M60" s="95"/>
      <c r="N60" s="95"/>
      <c r="O60" s="95"/>
    </row>
    <row r="61" s="66" customFormat="1" ht="14.25" customHeight="1" spans="1:15">
      <c r="A61" s="69" t="s">
        <v>21</v>
      </c>
      <c r="B61" s="69" t="s">
        <v>196</v>
      </c>
      <c r="C61" s="69" t="s">
        <v>50</v>
      </c>
      <c r="D61" s="69" t="s">
        <v>54</v>
      </c>
      <c r="E61" s="69" t="s">
        <v>197</v>
      </c>
      <c r="F61" s="69" t="s">
        <v>20</v>
      </c>
      <c r="G61" s="77">
        <f>'Cost Calculator'!J61</f>
        <v>92.8945</v>
      </c>
      <c r="H61" s="77">
        <v>200</v>
      </c>
      <c r="I61" s="83">
        <f t="shared" si="5"/>
        <v>107.1055</v>
      </c>
      <c r="J61" s="84">
        <f>'Cost Calculator'!K61</f>
        <v>30.8737857142857</v>
      </c>
      <c r="K61" s="85">
        <v>80</v>
      </c>
      <c r="L61" s="84">
        <f t="shared" si="10"/>
        <v>49.1262142857143</v>
      </c>
      <c r="M61" s="94">
        <f>'Cost Calculator'!L66</f>
        <v>113.81</v>
      </c>
      <c r="N61" s="94">
        <v>180</v>
      </c>
      <c r="O61" s="94">
        <f>N61-M61</f>
        <v>66.19</v>
      </c>
    </row>
    <row r="62" s="66" customFormat="1" ht="14.25" customHeight="1" spans="1:15">
      <c r="A62" s="68" t="s">
        <v>42</v>
      </c>
      <c r="B62" s="68" t="s">
        <v>198</v>
      </c>
      <c r="C62" s="68" t="s">
        <v>17</v>
      </c>
      <c r="D62" s="68" t="s">
        <v>39</v>
      </c>
      <c r="E62" s="68" t="s">
        <v>199</v>
      </c>
      <c r="F62" s="69" t="s">
        <v>72</v>
      </c>
      <c r="G62" s="77">
        <f>'Cost Calculator'!J62</f>
        <v>147.9745</v>
      </c>
      <c r="H62" s="77">
        <v>200</v>
      </c>
      <c r="I62" s="83">
        <f t="shared" si="5"/>
        <v>52.0255</v>
      </c>
      <c r="J62" s="84">
        <f>'Cost Calculator'!K62</f>
        <v>46.1737857142857</v>
      </c>
      <c r="K62" s="85">
        <v>80</v>
      </c>
      <c r="L62" s="84">
        <f t="shared" si="10"/>
        <v>33.8262142857143</v>
      </c>
      <c r="M62" s="94">
        <f>'Cost Calculator'!L67</f>
        <v>89.49</v>
      </c>
      <c r="N62" s="94">
        <v>180</v>
      </c>
      <c r="O62" s="94">
        <f>N62-M62</f>
        <v>90.51</v>
      </c>
    </row>
    <row r="63" s="66" customFormat="1" ht="14.25" customHeight="1" spans="1:15">
      <c r="A63" s="71" t="s">
        <v>95</v>
      </c>
      <c r="B63" s="71" t="s">
        <v>200</v>
      </c>
      <c r="C63" s="71" t="s">
        <v>17</v>
      </c>
      <c r="D63" s="71" t="s">
        <v>54</v>
      </c>
      <c r="E63" s="71" t="s">
        <v>201</v>
      </c>
      <c r="F63" s="69" t="s">
        <v>41</v>
      </c>
      <c r="G63" s="77">
        <f>'Cost Calculator'!J63</f>
        <v>114.4585</v>
      </c>
      <c r="H63" s="77">
        <v>200</v>
      </c>
      <c r="I63" s="83">
        <f t="shared" si="5"/>
        <v>85.5415</v>
      </c>
      <c r="J63" s="86">
        <f>'Cost Calculator'!K63</f>
        <v>36.8637857142857</v>
      </c>
      <c r="K63" s="87">
        <v>80</v>
      </c>
      <c r="L63" s="86">
        <f t="shared" si="10"/>
        <v>43.1362142857143</v>
      </c>
      <c r="M63" s="94" t="e">
        <f>'Cost Calculator'!L68</f>
        <v>#REF!</v>
      </c>
      <c r="N63" s="94">
        <v>180</v>
      </c>
      <c r="O63" s="94" t="e">
        <f>N63-M63</f>
        <v>#REF!</v>
      </c>
    </row>
    <row r="64" s="66" customFormat="1" ht="14.25" customHeight="1" spans="1:15">
      <c r="A64" s="71" t="s">
        <v>202</v>
      </c>
      <c r="B64" s="71" t="s">
        <v>203</v>
      </c>
      <c r="C64" s="71" t="s">
        <v>50</v>
      </c>
      <c r="D64" s="71" t="s">
        <v>47</v>
      </c>
      <c r="E64" s="71" t="s">
        <v>204</v>
      </c>
      <c r="F64" s="69" t="s">
        <v>28</v>
      </c>
      <c r="G64" s="81">
        <f>'Cost Calculator'!J64</f>
        <v>96.2335</v>
      </c>
      <c r="H64" s="81">
        <v>200</v>
      </c>
      <c r="I64" s="88">
        <f t="shared" si="5"/>
        <v>103.7665</v>
      </c>
      <c r="J64" s="86">
        <f>'Cost Calculator'!K64</f>
        <v>31.8008982142857</v>
      </c>
      <c r="K64" s="87">
        <v>80</v>
      </c>
      <c r="L64" s="86">
        <f t="shared" si="10"/>
        <v>48.1991017857143</v>
      </c>
      <c r="M64" s="94">
        <f>'Cost Calculator'!L69</f>
        <v>110.25</v>
      </c>
      <c r="N64" s="94">
        <v>180</v>
      </c>
      <c r="O64" s="94">
        <f>N64-M64</f>
        <v>69.75</v>
      </c>
    </row>
    <row r="65" s="66" customFormat="1" ht="14.25" customHeight="1" spans="1:15">
      <c r="A65" s="95" t="s">
        <v>99</v>
      </c>
      <c r="B65" s="95" t="s">
        <v>205</v>
      </c>
      <c r="C65" s="95" t="s">
        <v>17</v>
      </c>
      <c r="D65" s="95" t="s">
        <v>58</v>
      </c>
      <c r="E65" s="95" t="s">
        <v>206</v>
      </c>
      <c r="F65" s="95" t="s">
        <v>41</v>
      </c>
      <c r="G65" s="81">
        <f>'Cost Calculator'!J65</f>
        <v>108.1585</v>
      </c>
      <c r="H65" s="81">
        <v>200</v>
      </c>
      <c r="I65" s="88">
        <f t="shared" si="5"/>
        <v>91.8415</v>
      </c>
      <c r="J65" s="86">
        <f>'Cost Calculator'!K65</f>
        <v>35.1137857142857</v>
      </c>
      <c r="K65" s="87">
        <v>80</v>
      </c>
      <c r="L65" s="86">
        <f t="shared" si="10"/>
        <v>44.8862142857143</v>
      </c>
      <c r="M65" s="94" t="e">
        <f>'Cost Calculator'!L70</f>
        <v>#REF!</v>
      </c>
      <c r="N65" s="94">
        <v>180</v>
      </c>
      <c r="O65" s="94" t="e">
        <f>N65-M65</f>
        <v>#REF!</v>
      </c>
    </row>
    <row r="66" s="66" customFormat="1" ht="14.25" customHeight="1" spans="1:15">
      <c r="A66" s="96" t="s">
        <v>190</v>
      </c>
      <c r="B66" s="96" t="s">
        <v>207</v>
      </c>
      <c r="C66" s="96" t="s">
        <v>17</v>
      </c>
      <c r="D66" s="96" t="s">
        <v>93</v>
      </c>
      <c r="E66" s="96" t="s">
        <v>208</v>
      </c>
      <c r="F66" s="98" t="s">
        <v>41</v>
      </c>
      <c r="G66" s="81">
        <f>'Cost Calculator'!J66</f>
        <v>131.5585</v>
      </c>
      <c r="H66" s="81">
        <v>200</v>
      </c>
      <c r="I66" s="88">
        <f t="shared" si="5"/>
        <v>68.4415</v>
      </c>
      <c r="J66" s="86">
        <f>'Cost Calculator'!K66</f>
        <v>41.6137857142857</v>
      </c>
      <c r="K66" s="87">
        <v>80</v>
      </c>
      <c r="L66" s="86">
        <f t="shared" si="10"/>
        <v>38.3862142857143</v>
      </c>
      <c r="M66" s="95"/>
      <c r="N66" s="95"/>
      <c r="O66" s="95"/>
    </row>
    <row r="67" s="66" customFormat="1" ht="14.25" customHeight="1" spans="1:15">
      <c r="A67" s="95" t="s">
        <v>95</v>
      </c>
      <c r="B67" s="95" t="s">
        <v>209</v>
      </c>
      <c r="C67" s="95" t="s">
        <v>17</v>
      </c>
      <c r="D67" s="95" t="s">
        <v>32</v>
      </c>
      <c r="E67" s="95" t="s">
        <v>210</v>
      </c>
      <c r="F67" s="98" t="s">
        <v>20</v>
      </c>
      <c r="G67" s="81">
        <f>'Cost Calculator'!J67</f>
        <v>87.7825</v>
      </c>
      <c r="H67" s="81">
        <v>200</v>
      </c>
      <c r="I67" s="88">
        <f t="shared" si="5"/>
        <v>112.2175</v>
      </c>
      <c r="J67" s="86">
        <f>'Cost Calculator'!K67</f>
        <v>29.4537857142857</v>
      </c>
      <c r="K67" s="87">
        <v>80</v>
      </c>
      <c r="L67" s="86">
        <f t="shared" si="10"/>
        <v>50.5462142857143</v>
      </c>
      <c r="M67" s="95"/>
      <c r="N67" s="95"/>
      <c r="O67" s="95"/>
    </row>
    <row r="68" s="66" customFormat="1" ht="14.25" customHeight="1" spans="1:15">
      <c r="A68" s="97" t="s">
        <v>15</v>
      </c>
      <c r="B68" s="97" t="s">
        <v>211</v>
      </c>
      <c r="C68" s="97" t="s">
        <v>17</v>
      </c>
      <c r="D68" s="97" t="s">
        <v>162</v>
      </c>
      <c r="E68" s="97" t="s">
        <v>212</v>
      </c>
      <c r="F68" s="99" t="s">
        <v>34</v>
      </c>
      <c r="G68" s="81">
        <f>'Cost Calculator'!J68</f>
        <v>105.9835</v>
      </c>
      <c r="H68" s="81">
        <v>200</v>
      </c>
      <c r="I68" s="88">
        <f t="shared" si="5"/>
        <v>94.0165</v>
      </c>
      <c r="J68" s="86">
        <f>'Cost Calculator'!K68</f>
        <v>34.5091232142857</v>
      </c>
      <c r="K68" s="87">
        <v>80</v>
      </c>
      <c r="L68" s="86">
        <f t="shared" si="10"/>
        <v>45.4908767857143</v>
      </c>
      <c r="M68" s="95"/>
      <c r="N68" s="95"/>
      <c r="O68" s="95"/>
    </row>
    <row r="69" s="66" customFormat="1" ht="14.25" customHeight="1" spans="1:15">
      <c r="A69" s="95" t="s">
        <v>15</v>
      </c>
      <c r="B69" s="95" t="s">
        <v>213</v>
      </c>
      <c r="C69" s="95" t="s">
        <v>17</v>
      </c>
      <c r="D69" s="95" t="s">
        <v>47</v>
      </c>
      <c r="E69" s="95" t="s">
        <v>214</v>
      </c>
      <c r="F69" s="95" t="s">
        <v>72</v>
      </c>
      <c r="G69" s="81">
        <f>'Cost Calculator'!J69</f>
        <v>125.1505</v>
      </c>
      <c r="H69" s="81">
        <v>200</v>
      </c>
      <c r="I69" s="88">
        <f t="shared" si="5"/>
        <v>74.8495</v>
      </c>
      <c r="J69" s="86">
        <f>'Cost Calculator'!K69</f>
        <v>39.8337857142857</v>
      </c>
      <c r="K69" s="87">
        <v>80</v>
      </c>
      <c r="L69" s="86">
        <f t="shared" si="10"/>
        <v>40.1662142857143</v>
      </c>
      <c r="M69" s="95"/>
      <c r="N69" s="95"/>
      <c r="O69" s="95"/>
    </row>
    <row r="70" s="66" customFormat="1" ht="14.25" customHeight="1" spans="1:15">
      <c r="A70" s="96" t="s">
        <v>215</v>
      </c>
      <c r="B70" s="96" t="s">
        <v>216</v>
      </c>
      <c r="C70" s="96" t="s">
        <v>17</v>
      </c>
      <c r="D70" s="96" t="s">
        <v>106</v>
      </c>
      <c r="E70" s="96" t="s">
        <v>217</v>
      </c>
      <c r="F70" s="98" t="s">
        <v>34</v>
      </c>
      <c r="G70" s="81">
        <f>'Cost Calculator'!J70</f>
        <v>105.9835</v>
      </c>
      <c r="H70" s="81">
        <v>200</v>
      </c>
      <c r="I70" s="88">
        <f t="shared" si="5"/>
        <v>94.0165</v>
      </c>
      <c r="J70" s="86">
        <f>'Cost Calculator'!K70</f>
        <v>34.5091232142857</v>
      </c>
      <c r="K70" s="87">
        <v>80</v>
      </c>
      <c r="L70" s="86">
        <f t="shared" si="10"/>
        <v>45.4908767857143</v>
      </c>
      <c r="M70" s="95"/>
      <c r="N70" s="95"/>
      <c r="O70" s="95"/>
    </row>
    <row r="71" s="66" customFormat="1" ht="14.25" customHeight="1"/>
    <row r="72" s="66" customFormat="1" ht="14.25" customHeight="1"/>
    <row r="73" s="66" customFormat="1" ht="14.25" customHeight="1"/>
    <row r="74" s="66" customFormat="1" ht="14.25" customHeight="1"/>
    <row r="75" s="66" customFormat="1" ht="14.25" customHeight="1"/>
    <row r="76" s="66" customFormat="1" ht="14.25" customHeight="1"/>
    <row r="77" s="66" customFormat="1" ht="14.25" customHeight="1"/>
    <row r="78" s="66" customFormat="1" ht="14.25" customHeight="1"/>
    <row r="79" s="66" customFormat="1" ht="14.25" customHeight="1"/>
    <row r="80" s="66" customFormat="1" ht="14.25" customHeight="1"/>
    <row r="81" s="66" customFormat="1" ht="14.25" customHeight="1"/>
    <row r="82" s="66" customFormat="1" ht="14.25" customHeight="1"/>
    <row r="83" s="66" customFormat="1" ht="14.25" customHeight="1"/>
    <row r="84" s="66" customFormat="1" ht="14.25" customHeight="1"/>
    <row r="85" s="66" customFormat="1" ht="14.25" customHeight="1"/>
    <row r="86" s="66" customFormat="1" ht="14.25" customHeight="1"/>
    <row r="87" s="66" customFormat="1" ht="14.25" customHeight="1"/>
    <row r="88" s="66" customFormat="1" ht="14.25" customHeight="1"/>
    <row r="89" s="66" customFormat="1" ht="14.25" customHeight="1"/>
    <row r="90" s="66" customFormat="1" ht="14.25" customHeight="1"/>
    <row r="91" s="66" customFormat="1" ht="14.25" customHeight="1"/>
    <row r="92" s="66" customFormat="1" ht="14.25" customHeight="1"/>
    <row r="93" s="66" customFormat="1" ht="14.25" customHeight="1"/>
    <row r="94" s="66" customFormat="1" ht="14.25" customHeight="1"/>
    <row r="95" s="66" customFormat="1" ht="14.25" customHeight="1"/>
    <row r="96" s="66" customFormat="1" ht="14.25" customHeight="1"/>
    <row r="97" s="66" customFormat="1" ht="14.25" customHeight="1"/>
    <row r="98" s="66" customFormat="1" ht="14.25" customHeight="1"/>
    <row r="99" s="66" customFormat="1" ht="14.25" customHeight="1"/>
    <row r="100" s="66" customFormat="1" ht="14.25" customHeight="1"/>
    <row r="101" s="66" customFormat="1" ht="14.25" customHeight="1"/>
    <row r="102" s="66" customFormat="1" ht="14.25" customHeight="1"/>
    <row r="103" s="66" customFormat="1" ht="14.25" customHeight="1"/>
    <row r="104" s="66" customFormat="1" ht="14.25" customHeight="1"/>
    <row r="105" s="66" customFormat="1" ht="14.25" customHeight="1"/>
    <row r="106" s="66" customFormat="1" ht="14.25" customHeight="1"/>
    <row r="107" s="66" customFormat="1" ht="14.25" customHeight="1"/>
    <row r="108" s="66" customFormat="1" ht="14.25" customHeight="1"/>
    <row r="109" s="66" customFormat="1" ht="14.25" customHeight="1"/>
    <row r="110" s="66" customFormat="1" ht="14.25" customHeight="1"/>
    <row r="111" s="66" customFormat="1" ht="14.25" customHeight="1"/>
    <row r="112" s="66" customFormat="1" ht="14.25" customHeight="1"/>
    <row r="113" s="66" customFormat="1" ht="14.25" customHeight="1"/>
    <row r="114" s="66" customFormat="1" ht="14.25" customHeight="1"/>
    <row r="115" s="66" customFormat="1" ht="14.25" customHeight="1"/>
    <row r="116" s="66" customFormat="1" ht="14.25" customHeight="1"/>
    <row r="117" s="66" customFormat="1" ht="14.25" customHeight="1"/>
    <row r="118" s="66" customFormat="1" ht="14.25" customHeight="1"/>
    <row r="119" s="66" customFormat="1" ht="14.25" customHeight="1"/>
    <row r="120" s="66" customFormat="1" ht="14.25" customHeight="1"/>
    <row r="121" s="66" customFormat="1" ht="14.25" customHeight="1"/>
    <row r="122" s="66" customFormat="1" ht="14.25" customHeight="1"/>
    <row r="123" s="66" customFormat="1" ht="14.25" customHeight="1"/>
    <row r="124" s="66" customFormat="1" ht="14.25" customHeight="1"/>
    <row r="125" s="66" customFormat="1" ht="14.25" customHeight="1"/>
    <row r="126" s="66" customFormat="1" ht="14.25" customHeight="1"/>
    <row r="127" s="66" customFormat="1" ht="14.25" customHeight="1"/>
    <row r="128" s="66" customFormat="1" ht="14.25" customHeight="1"/>
    <row r="129" s="66" customFormat="1" ht="14.25" customHeight="1"/>
    <row r="130" s="66" customFormat="1" ht="14.25" customHeight="1"/>
    <row r="131" s="66" customFormat="1" ht="14.25" customHeight="1"/>
    <row r="132" s="66" customFormat="1" ht="14.25" customHeight="1"/>
    <row r="133" s="66" customFormat="1" ht="14.25" customHeight="1"/>
    <row r="134" s="66" customFormat="1" ht="14.25" customHeight="1"/>
    <row r="135" s="66" customFormat="1" ht="14.25" customHeight="1"/>
    <row r="136" s="66" customFormat="1" ht="14.25" customHeight="1"/>
    <row r="137" s="66" customFormat="1" ht="14.25" customHeight="1"/>
    <row r="138" s="66" customFormat="1" ht="14.25" customHeight="1"/>
    <row r="139" s="66" customFormat="1" ht="14.25" customHeight="1"/>
    <row r="140" s="66" customFormat="1" ht="14.25" customHeight="1"/>
    <row r="141" s="66" customFormat="1" ht="14.25" customHeight="1"/>
    <row r="142" s="66" customFormat="1" ht="14.25" customHeight="1"/>
    <row r="143" s="66" customFormat="1" ht="14.25" customHeight="1"/>
    <row r="144" s="66" customFormat="1" ht="14.25" customHeight="1"/>
    <row r="145" s="66" customFormat="1" ht="14.25" customHeight="1"/>
    <row r="146" s="66" customFormat="1" ht="14.25" customHeight="1"/>
    <row r="147" s="66" customFormat="1" ht="14.25" customHeight="1"/>
    <row r="148" s="66" customFormat="1" ht="14.25" customHeight="1"/>
    <row r="149" s="66" customFormat="1" ht="14.25" customHeight="1"/>
    <row r="150" s="66" customFormat="1" ht="14.25" customHeight="1"/>
    <row r="151" s="66" customFormat="1" ht="14.25" customHeight="1"/>
    <row r="152" s="66" customFormat="1" ht="14.25" customHeight="1"/>
    <row r="153" s="66" customFormat="1" ht="14.25" customHeight="1"/>
    <row r="154" s="66" customFormat="1" ht="14.25" customHeight="1"/>
    <row r="155" s="66" customFormat="1" ht="14.25" customHeight="1"/>
    <row r="156" s="66" customFormat="1" ht="14.25" customHeight="1"/>
    <row r="157" s="66" customFormat="1" ht="14.25" customHeight="1"/>
    <row r="158" s="66" customFormat="1" ht="14.25" customHeight="1"/>
    <row r="159" s="66" customFormat="1" ht="14.25" customHeight="1"/>
    <row r="160" s="66" customFormat="1" ht="14.25" customHeight="1"/>
    <row r="161" s="66" customFormat="1" ht="14.25" customHeight="1"/>
    <row r="162" s="66" customFormat="1" ht="14.25" customHeight="1"/>
    <row r="163" s="66" customFormat="1" ht="14.25" customHeight="1"/>
    <row r="164" s="66" customFormat="1" ht="14.25" customHeight="1"/>
    <row r="165" s="66" customFormat="1" ht="14.25" customHeight="1"/>
    <row r="166" s="66" customFormat="1" ht="14.25" customHeight="1"/>
    <row r="167" s="66" customFormat="1" ht="14.25" customHeight="1"/>
    <row r="168" s="66" customFormat="1" ht="14.25" customHeight="1"/>
    <row r="169" s="66" customFormat="1" ht="14.25" customHeight="1"/>
    <row r="170" s="66" customFormat="1" ht="14.25" customHeight="1"/>
    <row r="171" s="66" customFormat="1" ht="14.25" customHeight="1"/>
    <row r="172" s="66" customFormat="1" ht="14.25" customHeight="1"/>
    <row r="173" s="66" customFormat="1" ht="14.25" customHeight="1"/>
    <row r="174" s="66" customFormat="1" ht="14.25" customHeight="1"/>
    <row r="175" s="66" customFormat="1" ht="14.25" customHeight="1"/>
    <row r="176" s="66" customFormat="1" ht="14.25" customHeight="1"/>
    <row r="177" s="66" customFormat="1" ht="14.25" customHeight="1"/>
    <row r="178" s="66" customFormat="1" ht="14.25" customHeight="1"/>
    <row r="179" s="66" customFormat="1" ht="14.25" customHeight="1"/>
    <row r="180" s="66" customFormat="1" ht="14.25" customHeight="1"/>
    <row r="181" s="66" customFormat="1" ht="14.25" customHeight="1"/>
    <row r="182" s="66" customFormat="1" ht="14.25" customHeight="1"/>
    <row r="183" s="66" customFormat="1" ht="14.25" customHeight="1"/>
    <row r="184" s="66" customFormat="1" ht="14.25" customHeight="1"/>
    <row r="185" s="66" customFormat="1" ht="14.25" customHeight="1"/>
    <row r="186" s="66" customFormat="1" ht="14.25" customHeight="1"/>
    <row r="187" s="66" customFormat="1" ht="14.25" customHeight="1"/>
    <row r="188" s="66" customFormat="1" ht="14.25" customHeight="1"/>
    <row r="189" s="66" customFormat="1" ht="14.25" customHeight="1"/>
    <row r="190" s="66" customFormat="1" ht="14.25" customHeight="1"/>
    <row r="191" s="66" customFormat="1" ht="14.25" customHeight="1"/>
    <row r="192" s="66" customFormat="1" ht="14.25" customHeight="1"/>
    <row r="193" s="66" customFormat="1" ht="14.25" customHeight="1"/>
    <row r="194" s="66" customFormat="1" ht="14.25" customHeight="1"/>
    <row r="195" s="66" customFormat="1" ht="14.25" customHeight="1"/>
    <row r="196" s="66" customFormat="1" ht="14.25" customHeight="1"/>
    <row r="197" s="66" customFormat="1" ht="14.25" customHeight="1"/>
    <row r="198" s="66" customFormat="1" ht="14.25" customHeight="1"/>
    <row r="199" s="66" customFormat="1" ht="14.25" customHeight="1"/>
    <row r="200" s="66" customFormat="1" ht="14.25" customHeight="1"/>
    <row r="201" s="66" customFormat="1" ht="14.25" customHeight="1"/>
    <row r="202" s="66" customFormat="1" ht="14.25" customHeight="1"/>
    <row r="203" s="66" customFormat="1" ht="14.25" customHeight="1"/>
    <row r="204" s="66" customFormat="1" ht="14.25" customHeight="1"/>
    <row r="205" s="66" customFormat="1" ht="14.25" customHeight="1"/>
    <row r="206" s="66" customFormat="1" ht="14.25" customHeight="1"/>
    <row r="207" s="66" customFormat="1" ht="14.25" customHeight="1"/>
    <row r="208" s="66" customFormat="1" ht="14.25" customHeight="1"/>
    <row r="209" s="66" customFormat="1" ht="14.25" customHeight="1"/>
    <row r="210" s="66" customFormat="1" ht="14.25" customHeight="1"/>
    <row r="211" s="66" customFormat="1" ht="14.25" customHeight="1"/>
    <row r="212" s="66" customFormat="1" ht="14.25" customHeight="1"/>
    <row r="213" s="66" customFormat="1" ht="14.25" customHeight="1"/>
    <row r="214" s="66" customFormat="1" ht="14.25" customHeight="1"/>
    <row r="215" s="66" customFormat="1" ht="14.25" customHeight="1"/>
    <row r="216" s="66" customFormat="1" ht="14.25" customHeight="1"/>
    <row r="217" s="66" customFormat="1" ht="14.25" customHeight="1"/>
    <row r="218" s="66" customFormat="1" ht="14.25" customHeight="1"/>
    <row r="219" s="66" customFormat="1" ht="14.25" customHeight="1"/>
    <row r="220" s="66" customFormat="1" ht="14.25" customHeight="1"/>
    <row r="221" s="66" customFormat="1" ht="14.25" customHeight="1"/>
    <row r="222" s="66" customFormat="1" ht="14.25" customHeight="1"/>
    <row r="223" s="66" customFormat="1" ht="14.25" customHeight="1"/>
    <row r="224" s="66" customFormat="1" ht="14.25" customHeight="1"/>
    <row r="225" s="66" customFormat="1" ht="14.25" customHeight="1"/>
    <row r="226" s="66" customFormat="1" ht="14.25" customHeight="1"/>
    <row r="227" s="66" customFormat="1" ht="14.25" customHeight="1"/>
    <row r="228" s="66" customFormat="1" ht="14.25" customHeight="1"/>
    <row r="229" s="66" customFormat="1" ht="14.25" customHeight="1"/>
    <row r="230" s="66" customFormat="1" ht="14.25" customHeight="1"/>
    <row r="231" s="66" customFormat="1" ht="14.25" customHeight="1"/>
    <row r="232" s="66" customFormat="1" ht="14.25" customHeight="1"/>
    <row r="233" s="66" customFormat="1" ht="14.25" customHeight="1"/>
    <row r="234" s="66" customFormat="1" ht="14.25" customHeight="1"/>
    <row r="235" s="66" customFormat="1" ht="14.25" customHeight="1"/>
    <row r="236" s="66" customFormat="1" ht="14.25" customHeight="1"/>
    <row r="237" s="66" customFormat="1" ht="14.25" customHeight="1"/>
    <row r="238" s="66" customFormat="1" ht="14.25" customHeight="1"/>
    <row r="239" s="66" customFormat="1" ht="14.25" customHeight="1"/>
    <row r="240" s="66" customFormat="1" ht="14.25" customHeight="1"/>
    <row r="241" s="66" customFormat="1" ht="14.25" customHeight="1"/>
    <row r="242" s="66" customFormat="1" ht="14.25" customHeight="1"/>
    <row r="243" s="66" customFormat="1" ht="14.25" customHeight="1"/>
    <row r="244" s="66" customFormat="1" ht="14.25" customHeight="1"/>
    <row r="245" s="66" customFormat="1" ht="14.25" customHeight="1"/>
    <row r="246" s="66" customFormat="1" ht="14.25" customHeight="1"/>
    <row r="247" s="66" customFormat="1" ht="14.25" customHeight="1"/>
    <row r="248" s="66" customFormat="1" ht="14.25" customHeight="1"/>
    <row r="249" s="66" customFormat="1" ht="14.25" customHeight="1"/>
    <row r="250" s="66" customFormat="1" ht="14.25" customHeight="1"/>
    <row r="251" s="66" customFormat="1" ht="14.25" customHeight="1"/>
    <row r="252" s="66" customFormat="1" ht="14.25" customHeight="1"/>
    <row r="253" s="66" customFormat="1" ht="14.25" customHeight="1"/>
    <row r="254" s="66" customFormat="1" ht="14.25" customHeight="1"/>
    <row r="255" s="66" customFormat="1" ht="14.25" customHeight="1"/>
    <row r="256" s="66" customFormat="1" ht="14.25" customHeight="1"/>
    <row r="257" s="66" customFormat="1" ht="14.25" customHeight="1"/>
    <row r="258" s="66" customFormat="1" ht="14.25" customHeight="1"/>
    <row r="259" s="66" customFormat="1" ht="14.25" customHeight="1"/>
    <row r="260" s="66" customFormat="1" ht="14.25" customHeight="1"/>
    <row r="261" s="66" customFormat="1" ht="14.25" customHeight="1"/>
    <row r="262" s="66" customFormat="1" ht="14.25" customHeight="1"/>
    <row r="263" s="66" customFormat="1" ht="14.25" customHeight="1"/>
    <row r="264" s="66" customFormat="1" ht="14.25" customHeight="1"/>
    <row r="265" s="66" customFormat="1" ht="14.25" customHeight="1"/>
    <row r="266" s="66" customFormat="1" ht="14.25" customHeight="1"/>
    <row r="267" s="66" customFormat="1" ht="14.25" customHeight="1"/>
    <row r="268" s="66" customFormat="1" ht="14.25" customHeight="1"/>
    <row r="269" s="66" customFormat="1" ht="14.25" customHeight="1"/>
    <row r="270" s="66" customFormat="1" ht="14.25" customHeight="1"/>
    <row r="271" s="66" customFormat="1" ht="14.25" customHeight="1"/>
    <row r="272" s="66" customFormat="1" ht="14.25" customHeight="1"/>
    <row r="273" s="66" customFormat="1" ht="14.25" customHeight="1"/>
    <row r="274" s="66" customFormat="1" ht="14.25" customHeight="1"/>
    <row r="275" s="66" customFormat="1" ht="14.25" customHeight="1"/>
    <row r="276" s="66" customFormat="1" ht="14.25" customHeight="1"/>
    <row r="277" s="66" customFormat="1" ht="14.25" customHeight="1"/>
    <row r="278" s="66" customFormat="1" ht="14.25" customHeight="1"/>
    <row r="279" s="66" customFormat="1" ht="14.25" customHeight="1"/>
    <row r="280" s="66" customFormat="1" ht="14.25" customHeight="1"/>
    <row r="281" s="66" customFormat="1" ht="14.25" customHeight="1"/>
    <row r="282" s="66" customFormat="1" ht="14.25" customHeight="1"/>
    <row r="283" s="66" customFormat="1" ht="14.25" customHeight="1"/>
    <row r="284" s="66" customFormat="1" ht="14.25" customHeight="1"/>
    <row r="285" s="66" customFormat="1" ht="14.25" customHeight="1"/>
    <row r="286" s="66" customFormat="1" ht="14.25" customHeight="1"/>
    <row r="287" s="66" customFormat="1" ht="14.25" customHeight="1"/>
    <row r="288" s="66" customFormat="1" ht="14.25" customHeight="1"/>
    <row r="289" s="66" customFormat="1" ht="14.25" customHeight="1"/>
    <row r="290" s="66" customFormat="1" ht="14.25" customHeight="1"/>
    <row r="291" s="66" customFormat="1" ht="14.25" customHeight="1"/>
    <row r="292" s="66" customFormat="1" ht="14.25" customHeight="1"/>
    <row r="293" s="66" customFormat="1" ht="14.25" customHeight="1"/>
    <row r="294" s="66" customFormat="1" ht="14.25" customHeight="1"/>
    <row r="295" s="66" customFormat="1" ht="14.25" customHeight="1"/>
    <row r="296" s="66" customFormat="1" ht="14.25" customHeight="1"/>
    <row r="297" s="66" customFormat="1" ht="14.25" customHeight="1"/>
    <row r="298" s="66" customFormat="1" ht="14.25" customHeight="1"/>
    <row r="299" s="66" customFormat="1" ht="14.25" customHeight="1"/>
    <row r="300" s="66" customFormat="1" ht="14.25" customHeight="1"/>
    <row r="301" s="66" customFormat="1" ht="14.25" customHeight="1"/>
    <row r="302" s="66" customFormat="1" ht="14.25" customHeight="1"/>
    <row r="303" s="66" customFormat="1" ht="14.25" customHeight="1"/>
    <row r="304" s="66" customFormat="1" ht="14.25" customHeight="1"/>
    <row r="305" s="66" customFormat="1" ht="14.25" customHeight="1"/>
    <row r="306" s="66" customFormat="1" ht="14.25" customHeight="1"/>
    <row r="307" s="66" customFormat="1" ht="14.25" customHeight="1"/>
    <row r="308" s="66" customFormat="1" ht="14.25" customHeight="1"/>
    <row r="309" s="66" customFormat="1" ht="14.25" customHeight="1"/>
    <row r="310" s="66" customFormat="1" ht="14.25" customHeight="1"/>
    <row r="311" s="66" customFormat="1" ht="14.25" customHeight="1"/>
    <row r="312" s="66" customFormat="1" ht="14.25" customHeight="1"/>
    <row r="313" s="66" customFormat="1" ht="14.25" customHeight="1"/>
    <row r="314" s="66" customFormat="1" ht="14.25" customHeight="1"/>
    <row r="315" s="66" customFormat="1" ht="14.25" customHeight="1"/>
    <row r="316" s="66" customFormat="1" ht="14.25" customHeight="1"/>
    <row r="317" s="66" customFormat="1" ht="14.25" customHeight="1"/>
    <row r="318" s="66" customFormat="1" ht="14.25" customHeight="1"/>
    <row r="319" s="66" customFormat="1" ht="14.25" customHeight="1"/>
    <row r="320" s="66" customFormat="1" ht="14.25" customHeight="1"/>
    <row r="321" s="66" customFormat="1" ht="14.25" customHeight="1"/>
    <row r="322" s="66" customFormat="1" ht="14.25" customHeight="1"/>
    <row r="323" s="66" customFormat="1" ht="14.25" customHeight="1"/>
    <row r="324" s="66" customFormat="1" ht="14.25" customHeight="1"/>
    <row r="325" s="66" customFormat="1" ht="14.25" customHeight="1"/>
    <row r="326" s="66" customFormat="1" ht="14.25" customHeight="1"/>
    <row r="327" s="66" customFormat="1" ht="14.25" customHeight="1"/>
    <row r="328" s="66" customFormat="1" ht="14.25" customHeight="1"/>
    <row r="329" s="66" customFormat="1" ht="14.25" customHeight="1"/>
    <row r="330" s="66" customFormat="1" ht="14.25" customHeight="1"/>
    <row r="331" s="66" customFormat="1" ht="14.25" customHeight="1"/>
    <row r="332" s="66" customFormat="1" ht="14.25" customHeight="1"/>
    <row r="333" s="66" customFormat="1" ht="14.25" customHeight="1"/>
    <row r="334" s="66" customFormat="1" ht="14.25" customHeight="1"/>
    <row r="335" s="66" customFormat="1" ht="14.25" customHeight="1"/>
    <row r="336" s="66" customFormat="1" ht="14.25" customHeight="1"/>
    <row r="337" s="66" customFormat="1" ht="14.25" customHeight="1"/>
    <row r="338" s="66" customFormat="1" ht="14.25" customHeight="1"/>
    <row r="339" s="66" customFormat="1" ht="14.25" customHeight="1"/>
    <row r="340" s="66" customFormat="1" ht="14.25" customHeight="1"/>
    <row r="341" s="66" customFormat="1" ht="14.25" customHeight="1"/>
    <row r="342" s="66" customFormat="1" ht="14.25" customHeight="1"/>
    <row r="343" s="66" customFormat="1" ht="14.25" customHeight="1"/>
    <row r="344" s="66" customFormat="1" ht="14.25" customHeight="1"/>
    <row r="345" s="66" customFormat="1" ht="14.25" customHeight="1"/>
    <row r="346" s="66" customFormat="1" ht="14.25" customHeight="1"/>
    <row r="347" s="66" customFormat="1" ht="14.25" customHeight="1"/>
    <row r="348" s="66" customFormat="1" ht="14.25" customHeight="1"/>
    <row r="349" s="66" customFormat="1" ht="14.25" customHeight="1"/>
    <row r="350" s="66" customFormat="1" ht="14.25" customHeight="1"/>
    <row r="351" s="66" customFormat="1" ht="14.25" customHeight="1"/>
    <row r="352" s="66" customFormat="1" ht="14.25" customHeight="1"/>
    <row r="353" s="66" customFormat="1" ht="14.25" customHeight="1"/>
    <row r="354" s="66" customFormat="1" ht="14.25" customHeight="1"/>
    <row r="355" s="66" customFormat="1" ht="14.25" customHeight="1"/>
    <row r="356" s="66" customFormat="1" ht="14.25" customHeight="1"/>
    <row r="357" s="66" customFormat="1" ht="14.25" customHeight="1"/>
    <row r="358" s="66" customFormat="1" ht="14.25" customHeight="1"/>
    <row r="359" s="66" customFormat="1" ht="14.25" customHeight="1"/>
    <row r="360" s="66" customFormat="1" ht="14.25" customHeight="1"/>
    <row r="361" s="66" customFormat="1" ht="14.25" customHeight="1"/>
    <row r="362" s="66" customFormat="1" ht="14.25" customHeight="1"/>
    <row r="363" s="66" customFormat="1" ht="14.25" customHeight="1"/>
    <row r="364" s="66" customFormat="1" ht="14.25" customHeight="1"/>
    <row r="365" s="66" customFormat="1" ht="14.25" customHeight="1"/>
    <row r="366" s="66" customFormat="1" ht="14.25" customHeight="1"/>
    <row r="367" s="66" customFormat="1" ht="14.25" customHeight="1"/>
    <row r="368" s="66" customFormat="1" ht="14.25" customHeight="1"/>
    <row r="369" s="66" customFormat="1" ht="14.25" customHeight="1"/>
    <row r="370" s="66" customFormat="1" ht="14.25" customHeight="1"/>
    <row r="371" s="66" customFormat="1" ht="14.25" customHeight="1"/>
    <row r="372" s="66" customFormat="1" ht="14.25" customHeight="1"/>
    <row r="373" s="66" customFormat="1" ht="14.25" customHeight="1"/>
    <row r="374" s="66" customFormat="1" ht="14.25" customHeight="1"/>
    <row r="375" s="66" customFormat="1" ht="14.25" customHeight="1"/>
    <row r="376" s="66" customFormat="1" ht="14.25" customHeight="1"/>
    <row r="377" s="66" customFormat="1" ht="14.25" customHeight="1"/>
    <row r="378" s="66" customFormat="1" ht="14.25" customHeight="1"/>
    <row r="379" s="66" customFormat="1" ht="14.25" customHeight="1"/>
    <row r="380" s="66" customFormat="1" ht="14.25" customHeight="1"/>
    <row r="381" s="66" customFormat="1" ht="14.25" customHeight="1"/>
    <row r="382" s="66" customFormat="1" ht="14.25" customHeight="1"/>
    <row r="383" s="66" customFormat="1" ht="14.25" customHeight="1"/>
    <row r="384" s="66" customFormat="1" ht="14.25" customHeight="1"/>
    <row r="385" s="66" customFormat="1" ht="14.25" customHeight="1"/>
    <row r="386" s="66" customFormat="1" ht="14.25" customHeight="1"/>
    <row r="387" s="66" customFormat="1" ht="14.25" customHeight="1"/>
    <row r="388" s="66" customFormat="1" ht="14.25" customHeight="1"/>
    <row r="389" s="66" customFormat="1" ht="14.25" customHeight="1"/>
    <row r="390" s="66" customFormat="1" ht="14.25" customHeight="1"/>
    <row r="391" s="66" customFormat="1" ht="14.25" customHeight="1"/>
    <row r="392" s="66" customFormat="1" ht="14.25" customHeight="1"/>
    <row r="393" s="66" customFormat="1" ht="14.25" customHeight="1"/>
    <row r="394" s="66" customFormat="1" ht="14.25" customHeight="1"/>
    <row r="395" s="66" customFormat="1" ht="14.25" customHeight="1"/>
    <row r="396" s="66" customFormat="1" ht="14.25" customHeight="1"/>
    <row r="397" s="66" customFormat="1" ht="14.25" customHeight="1"/>
    <row r="398" s="66" customFormat="1" ht="14.25" customHeight="1"/>
    <row r="399" s="66" customFormat="1" ht="14.25" customHeight="1"/>
    <row r="400" s="66" customFormat="1" ht="14.25" customHeight="1"/>
    <row r="401" s="66" customFormat="1" ht="14.25" customHeight="1"/>
    <row r="402" s="66" customFormat="1" ht="14.25" customHeight="1"/>
    <row r="403" s="66" customFormat="1" ht="14.25" customHeight="1"/>
    <row r="404" s="66" customFormat="1" ht="14.25" customHeight="1"/>
    <row r="405" s="66" customFormat="1" ht="14.25" customHeight="1"/>
    <row r="406" s="66" customFormat="1" ht="14.25" customHeight="1"/>
    <row r="407" s="66" customFormat="1" ht="14.25" customHeight="1"/>
    <row r="408" s="66" customFormat="1" ht="14.25" customHeight="1"/>
    <row r="409" s="66" customFormat="1" ht="14.25" customHeight="1"/>
    <row r="410" s="66" customFormat="1" ht="14.25" customHeight="1"/>
    <row r="411" s="66" customFormat="1" ht="14.25" customHeight="1"/>
    <row r="412" s="66" customFormat="1" ht="14.25" customHeight="1"/>
    <row r="413" s="66" customFormat="1" ht="14.25" customHeight="1"/>
    <row r="414" s="66" customFormat="1" ht="14.25" customHeight="1"/>
    <row r="415" s="66" customFormat="1" ht="14.25" customHeight="1"/>
    <row r="416" s="66" customFormat="1" ht="14.25" customHeight="1"/>
    <row r="417" s="66" customFormat="1" ht="14.25" customHeight="1"/>
    <row r="418" s="66" customFormat="1" ht="14.25" customHeight="1"/>
    <row r="419" s="66" customFormat="1" ht="14.25" customHeight="1"/>
    <row r="420" s="66" customFormat="1" ht="14.25" customHeight="1"/>
    <row r="421" s="66" customFormat="1" ht="14.25" customHeight="1"/>
    <row r="422" s="66" customFormat="1" ht="14.25" customHeight="1"/>
    <row r="423" s="66" customFormat="1" ht="14.25" customHeight="1"/>
    <row r="424" s="66" customFormat="1" ht="14.25" customHeight="1"/>
    <row r="425" s="66" customFormat="1" ht="14.25" customHeight="1"/>
    <row r="426" s="66" customFormat="1" ht="14.25" customHeight="1"/>
    <row r="427" s="66" customFormat="1" ht="14.25" customHeight="1"/>
    <row r="428" s="66" customFormat="1" ht="14.25" customHeight="1"/>
    <row r="429" s="66" customFormat="1" ht="14.25" customHeight="1"/>
    <row r="430" s="66" customFormat="1" ht="14.25" customHeight="1"/>
    <row r="431" s="66" customFormat="1" ht="14.25" customHeight="1"/>
    <row r="432" s="66" customFormat="1" ht="14.25" customHeight="1"/>
    <row r="433" s="66" customFormat="1" ht="14.25" customHeight="1"/>
    <row r="434" s="66" customFormat="1" ht="14.25" customHeight="1"/>
    <row r="435" s="66" customFormat="1" ht="14.25" customHeight="1"/>
    <row r="436" s="66" customFormat="1" ht="14.25" customHeight="1"/>
    <row r="437" s="66" customFormat="1" ht="14.25" customHeight="1"/>
    <row r="438" s="66" customFormat="1" ht="14.25" customHeight="1"/>
    <row r="439" s="66" customFormat="1" ht="14.25" customHeight="1"/>
    <row r="440" s="66" customFormat="1" ht="14.25" customHeight="1"/>
    <row r="441" s="66" customFormat="1" ht="14.25" customHeight="1"/>
    <row r="442" s="66" customFormat="1" ht="14.25" customHeight="1"/>
    <row r="443" s="66" customFormat="1" ht="14.25" customHeight="1"/>
    <row r="444" s="66" customFormat="1" ht="14.25" customHeight="1"/>
    <row r="445" s="66" customFormat="1" ht="14.25" customHeight="1"/>
    <row r="446" s="66" customFormat="1" ht="14.25" customHeight="1"/>
    <row r="447" s="66" customFormat="1" ht="14.25" customHeight="1"/>
    <row r="448" s="66" customFormat="1" ht="14.25" customHeight="1"/>
    <row r="449" s="66" customFormat="1" ht="14.25" customHeight="1"/>
    <row r="450" s="66" customFormat="1" ht="14.25" customHeight="1"/>
    <row r="451" s="66" customFormat="1" ht="14.25" customHeight="1"/>
    <row r="452" s="66" customFormat="1" ht="14.25" customHeight="1"/>
    <row r="453" s="66" customFormat="1" ht="14.25" customHeight="1"/>
    <row r="454" s="66" customFormat="1" ht="14.25" customHeight="1"/>
    <row r="455" s="66" customFormat="1" ht="14.25" customHeight="1"/>
    <row r="456" s="66" customFormat="1" ht="14.25" customHeight="1"/>
    <row r="457" s="66" customFormat="1" ht="14.25" customHeight="1"/>
    <row r="458" s="66" customFormat="1" ht="14.25" customHeight="1"/>
    <row r="459" s="66" customFormat="1" ht="14.25" customHeight="1"/>
    <row r="460" s="66" customFormat="1" ht="14.25" customHeight="1"/>
    <row r="461" s="66" customFormat="1" ht="14.25" customHeight="1"/>
    <row r="462" s="66" customFormat="1" ht="14.25" customHeight="1"/>
    <row r="463" s="66" customFormat="1" ht="14.25" customHeight="1"/>
    <row r="464" s="66" customFormat="1" ht="14.25" customHeight="1"/>
    <row r="465" s="66" customFormat="1" ht="14.25" customHeight="1"/>
    <row r="466" s="66" customFormat="1" ht="14.25" customHeight="1"/>
    <row r="467" s="66" customFormat="1" ht="14.25" customHeight="1"/>
    <row r="468" s="66" customFormat="1" ht="14.25" customHeight="1"/>
    <row r="469" s="66" customFormat="1" ht="14.25" customHeight="1"/>
    <row r="470" s="66" customFormat="1" ht="14.25" customHeight="1"/>
    <row r="471" s="66" customFormat="1" ht="14.25" customHeight="1"/>
    <row r="472" s="66" customFormat="1" ht="14.25" customHeight="1"/>
    <row r="473" s="66" customFormat="1" ht="14.25" customHeight="1"/>
    <row r="474" s="66" customFormat="1" ht="14.25" customHeight="1"/>
    <row r="475" s="66" customFormat="1" ht="14.25" customHeight="1"/>
    <row r="476" s="66" customFormat="1" ht="14.25" customHeight="1"/>
    <row r="477" s="66" customFormat="1" ht="14.25" customHeight="1"/>
    <row r="478" s="66" customFormat="1" ht="14.25" customHeight="1"/>
    <row r="479" s="66" customFormat="1" ht="14.25" customHeight="1"/>
    <row r="480" s="66" customFormat="1" ht="14.25" customHeight="1"/>
    <row r="481" s="66" customFormat="1" ht="14.25" customHeight="1"/>
    <row r="482" s="66" customFormat="1" ht="14.25" customHeight="1"/>
    <row r="483" s="66" customFormat="1" ht="14.25" customHeight="1"/>
    <row r="484" s="66" customFormat="1" ht="14.25" customHeight="1"/>
    <row r="485" s="66" customFormat="1" ht="14.25" customHeight="1"/>
    <row r="486" s="66" customFormat="1" ht="14.25" customHeight="1"/>
    <row r="487" s="66" customFormat="1" ht="14.25" customHeight="1"/>
    <row r="488" s="66" customFormat="1" ht="14.25" customHeight="1"/>
    <row r="489" s="66" customFormat="1" ht="14.25" customHeight="1"/>
    <row r="490" s="66" customFormat="1" ht="14.25" customHeight="1"/>
    <row r="491" s="66" customFormat="1" ht="14.25" customHeight="1"/>
    <row r="492" s="66" customFormat="1" ht="14.25" customHeight="1"/>
    <row r="493" s="66" customFormat="1" ht="14.25" customHeight="1"/>
    <row r="494" s="66" customFormat="1" ht="14.25" customHeight="1"/>
    <row r="495" s="66" customFormat="1" ht="14.25" customHeight="1"/>
    <row r="496" s="66" customFormat="1" ht="14.25" customHeight="1"/>
    <row r="497" s="66" customFormat="1" ht="14.25" customHeight="1"/>
    <row r="498" s="66" customFormat="1" ht="14.25" customHeight="1"/>
    <row r="499" s="66" customFormat="1" ht="14.25" customHeight="1"/>
    <row r="500" s="66" customFormat="1" ht="14.25" customHeight="1"/>
    <row r="501" s="66" customFormat="1" ht="14.25" customHeight="1"/>
    <row r="502" s="66" customFormat="1" ht="14.25" customHeight="1"/>
    <row r="503" s="66" customFormat="1" ht="14.25" customHeight="1"/>
    <row r="504" s="66" customFormat="1" ht="14.25" customHeight="1"/>
    <row r="505" s="66" customFormat="1" ht="14.25" customHeight="1"/>
    <row r="506" s="66" customFormat="1" ht="14.25" customHeight="1"/>
    <row r="507" s="66" customFormat="1" ht="14.25" customHeight="1"/>
    <row r="508" s="66" customFormat="1" ht="14.25" customHeight="1"/>
    <row r="509" s="66" customFormat="1" ht="14.25" customHeight="1"/>
    <row r="510" s="66" customFormat="1" ht="14.25" customHeight="1"/>
    <row r="511" s="66" customFormat="1" ht="14.25" customHeight="1"/>
    <row r="512" s="66" customFormat="1" ht="14.25" customHeight="1"/>
    <row r="513" s="66" customFormat="1" ht="14.25" customHeight="1"/>
    <row r="514" s="66" customFormat="1" ht="14.25" customHeight="1"/>
    <row r="515" s="66" customFormat="1" ht="14.25" customHeight="1"/>
    <row r="516" s="66" customFormat="1" ht="14.25" customHeight="1"/>
    <row r="517" s="66" customFormat="1" ht="14.25" customHeight="1"/>
    <row r="518" s="66" customFormat="1" ht="14.25" customHeight="1"/>
    <row r="519" s="66" customFormat="1" ht="14.25" customHeight="1"/>
    <row r="520" s="66" customFormat="1" ht="14.25" customHeight="1"/>
    <row r="521" s="66" customFormat="1" ht="14.25" customHeight="1"/>
    <row r="522" s="66" customFormat="1" ht="14.25" customHeight="1"/>
    <row r="523" s="66" customFormat="1" ht="14.25" customHeight="1"/>
    <row r="524" s="66" customFormat="1" ht="14.25" customHeight="1"/>
    <row r="525" s="66" customFormat="1" ht="14.25" customHeight="1"/>
    <row r="526" s="66" customFormat="1" ht="14.25" customHeight="1"/>
    <row r="527" s="66" customFormat="1" ht="14.25" customHeight="1"/>
    <row r="528" s="66" customFormat="1" ht="14.25" customHeight="1"/>
    <row r="529" s="66" customFormat="1" ht="14.25" customHeight="1"/>
    <row r="530" s="66" customFormat="1" ht="14.25" customHeight="1"/>
    <row r="531" s="66" customFormat="1" ht="14.25" customHeight="1"/>
    <row r="532" s="66" customFormat="1" ht="14.25" customHeight="1"/>
    <row r="533" s="66" customFormat="1" ht="14.25" customHeight="1"/>
    <row r="534" s="66" customFormat="1" ht="14.25" customHeight="1"/>
    <row r="535" s="66" customFormat="1" ht="14.25" customHeight="1"/>
    <row r="536" s="66" customFormat="1" ht="14.25" customHeight="1"/>
    <row r="537" s="66" customFormat="1" ht="14.25" customHeight="1"/>
    <row r="538" s="66" customFormat="1" ht="14.25" customHeight="1"/>
    <row r="539" s="66" customFormat="1" ht="14.25" customHeight="1"/>
    <row r="540" s="66" customFormat="1" ht="14.25" customHeight="1"/>
    <row r="541" s="66" customFormat="1" ht="14.25" customHeight="1"/>
    <row r="542" s="66" customFormat="1" ht="14.25" customHeight="1"/>
    <row r="543" s="66" customFormat="1" ht="14.25" customHeight="1"/>
    <row r="544" s="66" customFormat="1" ht="14.25" customHeight="1"/>
    <row r="545" s="66" customFormat="1" ht="14.25" customHeight="1"/>
    <row r="546" s="66" customFormat="1" ht="14.25" customHeight="1"/>
    <row r="547" s="66" customFormat="1" ht="14.25" customHeight="1"/>
    <row r="548" s="66" customFormat="1" ht="14.25" customHeight="1"/>
    <row r="549" s="66" customFormat="1" ht="14.25" customHeight="1"/>
    <row r="550" s="66" customFormat="1" ht="14.25" customHeight="1"/>
    <row r="551" s="66" customFormat="1" ht="14.25" customHeight="1"/>
    <row r="552" s="66" customFormat="1" ht="14.25" customHeight="1"/>
    <row r="553" s="66" customFormat="1" ht="14.25" customHeight="1"/>
    <row r="554" s="66" customFormat="1" ht="14.25" customHeight="1"/>
    <row r="555" s="66" customFormat="1" ht="14.25" customHeight="1"/>
    <row r="556" s="66" customFormat="1" ht="14.25" customHeight="1"/>
    <row r="557" s="66" customFormat="1" ht="14.25" customHeight="1"/>
    <row r="558" s="66" customFormat="1" ht="14.25" customHeight="1"/>
    <row r="559" s="66" customFormat="1" ht="14.25" customHeight="1"/>
    <row r="560" s="66" customFormat="1" ht="14.25" customHeight="1"/>
    <row r="561" s="66" customFormat="1" ht="14.25" customHeight="1"/>
    <row r="562" s="66" customFormat="1" ht="14.25" customHeight="1"/>
    <row r="563" s="66" customFormat="1" ht="14.25" customHeight="1"/>
    <row r="564" s="66" customFormat="1" ht="14.25" customHeight="1"/>
    <row r="565" s="66" customFormat="1" ht="14.25" customHeight="1"/>
    <row r="566" s="66" customFormat="1" ht="14.25" customHeight="1"/>
    <row r="567" s="66" customFormat="1" ht="14.25" customHeight="1"/>
    <row r="568" s="66" customFormat="1" ht="14.25" customHeight="1"/>
    <row r="569" s="66" customFormat="1" ht="14.25" customHeight="1"/>
    <row r="570" s="66" customFormat="1" ht="14.25" customHeight="1"/>
    <row r="571" s="66" customFormat="1" ht="14.25" customHeight="1"/>
    <row r="572" s="66" customFormat="1" ht="14.25" customHeight="1"/>
    <row r="573" s="66" customFormat="1" ht="14.25" customHeight="1"/>
    <row r="574" s="66" customFormat="1" ht="14.25" customHeight="1"/>
    <row r="575" s="66" customFormat="1" ht="14.25" customHeight="1"/>
    <row r="576" s="66" customFormat="1" ht="14.25" customHeight="1"/>
    <row r="577" s="66" customFormat="1" ht="14.25" customHeight="1"/>
    <row r="578" s="66" customFormat="1" ht="14.25" customHeight="1"/>
    <row r="579" s="66" customFormat="1" ht="14.25" customHeight="1"/>
    <row r="580" s="66" customFormat="1" ht="14.25" customHeight="1"/>
    <row r="581" s="66" customFormat="1" ht="14.25" customHeight="1"/>
    <row r="582" s="66" customFormat="1" ht="14.25" customHeight="1"/>
    <row r="583" s="66" customFormat="1" ht="14.25" customHeight="1"/>
    <row r="584" s="66" customFormat="1" ht="14.25" customHeight="1"/>
    <row r="585" s="66" customFormat="1" ht="14.25" customHeight="1"/>
    <row r="586" s="66" customFormat="1" ht="14.25" customHeight="1"/>
    <row r="587" s="66" customFormat="1" ht="14.25" customHeight="1"/>
    <row r="588" s="66" customFormat="1" ht="14.25" customHeight="1"/>
    <row r="589" s="66" customFormat="1" ht="14.25" customHeight="1"/>
    <row r="590" s="66" customFormat="1" ht="14.25" customHeight="1"/>
    <row r="591" s="66" customFormat="1" ht="14.25" customHeight="1"/>
    <row r="592" s="66" customFormat="1" ht="14.25" customHeight="1"/>
    <row r="593" s="66" customFormat="1" ht="14.25" customHeight="1"/>
    <row r="594" s="66" customFormat="1" ht="14.25" customHeight="1"/>
    <row r="595" s="66" customFormat="1" ht="14.25" customHeight="1"/>
    <row r="596" s="66" customFormat="1" ht="14.25" customHeight="1"/>
    <row r="597" s="66" customFormat="1" ht="14.25" customHeight="1"/>
    <row r="598" s="66" customFormat="1" ht="14.25" customHeight="1"/>
    <row r="599" s="66" customFormat="1" ht="14.25" customHeight="1"/>
    <row r="600" s="66" customFormat="1" ht="14.25" customHeight="1"/>
    <row r="601" s="66" customFormat="1" ht="14.25" customHeight="1"/>
    <row r="602" s="66" customFormat="1" ht="14.25" customHeight="1"/>
    <row r="603" s="66" customFormat="1" ht="14.25" customHeight="1"/>
    <row r="604" s="66" customFormat="1" ht="14.25" customHeight="1"/>
    <row r="605" s="66" customFormat="1" ht="14.25" customHeight="1"/>
    <row r="606" s="66" customFormat="1" ht="14.25" customHeight="1"/>
    <row r="607" s="66" customFormat="1" ht="14.25" customHeight="1"/>
    <row r="608" s="66" customFormat="1" ht="14.25" customHeight="1"/>
    <row r="609" s="66" customFormat="1" ht="14.25" customHeight="1"/>
    <row r="610" s="66" customFormat="1" ht="14.25" customHeight="1"/>
    <row r="611" s="66" customFormat="1" ht="14.25" customHeight="1"/>
    <row r="612" s="66" customFormat="1" ht="14.25" customHeight="1"/>
    <row r="613" s="66" customFormat="1" ht="14.25" customHeight="1"/>
    <row r="614" s="66" customFormat="1" ht="14.25" customHeight="1"/>
    <row r="615" s="66" customFormat="1" ht="14.25" customHeight="1"/>
    <row r="616" s="66" customFormat="1" ht="14.25" customHeight="1"/>
    <row r="617" s="66" customFormat="1" ht="14.25" customHeight="1"/>
    <row r="618" s="66" customFormat="1" ht="14.25" customHeight="1"/>
    <row r="619" s="66" customFormat="1" ht="14.25" customHeight="1"/>
    <row r="620" s="66" customFormat="1" ht="14.25" customHeight="1"/>
    <row r="621" s="66" customFormat="1" ht="14.25" customHeight="1"/>
    <row r="622" s="66" customFormat="1" ht="14.25" customHeight="1"/>
    <row r="623" s="66" customFormat="1" ht="14.25" customHeight="1"/>
    <row r="624" s="66" customFormat="1" ht="14.25" customHeight="1"/>
    <row r="625" s="66" customFormat="1" ht="14.25" customHeight="1"/>
    <row r="626" s="66" customFormat="1" ht="14.25" customHeight="1"/>
    <row r="627" s="66" customFormat="1" ht="14.25" customHeight="1"/>
    <row r="628" s="66" customFormat="1" ht="14.25" customHeight="1"/>
    <row r="629" s="66" customFormat="1" ht="14.25" customHeight="1"/>
    <row r="630" s="66" customFormat="1" ht="14.25" customHeight="1"/>
    <row r="631" s="66" customFormat="1" ht="14.25" customHeight="1"/>
    <row r="632" s="66" customFormat="1" ht="14.25" customHeight="1"/>
    <row r="633" s="66" customFormat="1" ht="14.25" customHeight="1"/>
    <row r="634" s="66" customFormat="1" ht="14.25" customHeight="1"/>
    <row r="635" s="66" customFormat="1" ht="14.25" customHeight="1"/>
    <row r="636" s="66" customFormat="1" ht="14.25" customHeight="1"/>
    <row r="637" s="66" customFormat="1" ht="14.25" customHeight="1"/>
    <row r="638" s="66" customFormat="1" ht="14.25" customHeight="1"/>
    <row r="639" s="66" customFormat="1" ht="14.25" customHeight="1"/>
    <row r="640" s="66" customFormat="1" ht="14.25" customHeight="1"/>
    <row r="641" s="66" customFormat="1" ht="14.25" customHeight="1"/>
    <row r="642" s="66" customFormat="1" ht="14.25" customHeight="1"/>
    <row r="643" s="66" customFormat="1" ht="14.25" customHeight="1"/>
    <row r="644" s="66" customFormat="1" ht="14.25" customHeight="1"/>
    <row r="645" s="66" customFormat="1" ht="14.25" customHeight="1"/>
    <row r="646" s="66" customFormat="1" ht="14.25" customHeight="1"/>
    <row r="647" s="66" customFormat="1" ht="14.25" customHeight="1"/>
    <row r="648" s="66" customFormat="1" ht="14.25" customHeight="1"/>
    <row r="649" s="66" customFormat="1" ht="14.25" customHeight="1"/>
    <row r="650" s="66" customFormat="1" ht="14.25" customHeight="1"/>
    <row r="651" s="66" customFormat="1" ht="14.25" customHeight="1"/>
    <row r="652" s="66" customFormat="1" ht="14.25" customHeight="1"/>
    <row r="653" s="66" customFormat="1" ht="14.25" customHeight="1"/>
    <row r="654" s="66" customFormat="1" ht="14.25" customHeight="1"/>
    <row r="655" s="66" customFormat="1" ht="14.25" customHeight="1"/>
    <row r="656" s="66" customFormat="1" ht="14.25" customHeight="1"/>
    <row r="657" s="66" customFormat="1" ht="14.25" customHeight="1"/>
    <row r="658" s="66" customFormat="1" ht="14.25" customHeight="1"/>
    <row r="659" s="66" customFormat="1" ht="14.25" customHeight="1"/>
    <row r="660" s="66" customFormat="1" ht="14.25" customHeight="1"/>
    <row r="661" s="66" customFormat="1" ht="14.25" customHeight="1"/>
    <row r="662" s="66" customFormat="1" ht="14.25" customHeight="1"/>
    <row r="663" s="66" customFormat="1" ht="14.25" customHeight="1"/>
    <row r="664" s="66" customFormat="1" ht="14.25" customHeight="1"/>
    <row r="665" s="66" customFormat="1" ht="14.25" customHeight="1"/>
    <row r="666" s="66" customFormat="1" ht="14.25" customHeight="1"/>
    <row r="667" s="66" customFormat="1" ht="14.25" customHeight="1"/>
    <row r="668" s="66" customFormat="1" ht="14.25" customHeight="1"/>
    <row r="669" s="66" customFormat="1" ht="14.25" customHeight="1"/>
    <row r="670" s="66" customFormat="1" ht="14.25" customHeight="1"/>
    <row r="671" s="66" customFormat="1" ht="14.25" customHeight="1"/>
    <row r="672" s="66" customFormat="1" ht="14.25" customHeight="1"/>
    <row r="673" s="66" customFormat="1" ht="14.25" customHeight="1"/>
    <row r="674" s="66" customFormat="1" ht="14.25" customHeight="1"/>
    <row r="675" s="66" customFormat="1" ht="14.25" customHeight="1"/>
    <row r="676" s="66" customFormat="1" ht="14.25" customHeight="1"/>
    <row r="677" s="66" customFormat="1" ht="14.25" customHeight="1"/>
    <row r="678" s="66" customFormat="1" ht="14.25" customHeight="1"/>
    <row r="679" s="66" customFormat="1" ht="14.25" customHeight="1"/>
    <row r="680" s="66" customFormat="1" ht="14.25" customHeight="1"/>
    <row r="681" s="66" customFormat="1" ht="14.25" customHeight="1"/>
    <row r="682" s="66" customFormat="1" ht="14.25" customHeight="1"/>
    <row r="683" s="66" customFormat="1" ht="14.25" customHeight="1"/>
    <row r="684" s="66" customFormat="1" ht="14.25" customHeight="1"/>
    <row r="685" s="66" customFormat="1" ht="14.25" customHeight="1"/>
    <row r="686" s="66" customFormat="1" ht="14.25" customHeight="1"/>
    <row r="687" s="66" customFormat="1" ht="14.25" customHeight="1"/>
    <row r="688" s="66" customFormat="1" ht="14.25" customHeight="1"/>
    <row r="689" s="66" customFormat="1" ht="14.25" customHeight="1"/>
    <row r="690" s="66" customFormat="1" ht="14.25" customHeight="1"/>
    <row r="691" s="66" customFormat="1" ht="14.25" customHeight="1"/>
    <row r="692" s="66" customFormat="1" ht="14.25" customHeight="1"/>
    <row r="693" s="66" customFormat="1" ht="14.25" customHeight="1"/>
    <row r="694" s="66" customFormat="1" ht="14.25" customHeight="1"/>
    <row r="695" s="66" customFormat="1" ht="14.25" customHeight="1"/>
    <row r="696" s="66" customFormat="1" ht="14.25" customHeight="1"/>
    <row r="697" s="66" customFormat="1" ht="14.25" customHeight="1"/>
    <row r="698" s="66" customFormat="1" ht="14.25" customHeight="1"/>
    <row r="699" s="66" customFormat="1" ht="14.25" customHeight="1"/>
    <row r="700" s="66" customFormat="1" ht="14.25" customHeight="1"/>
    <row r="701" s="66" customFormat="1" ht="14.25" customHeight="1"/>
    <row r="702" s="66" customFormat="1" ht="14.25" customHeight="1"/>
    <row r="703" s="66" customFormat="1" ht="14.25" customHeight="1"/>
    <row r="704" s="66" customFormat="1" ht="14.25" customHeight="1"/>
    <row r="705" s="66" customFormat="1" ht="14.25" customHeight="1"/>
    <row r="706" s="66" customFormat="1" ht="14.25" customHeight="1"/>
    <row r="707" s="66" customFormat="1" ht="14.25" customHeight="1"/>
    <row r="708" s="66" customFormat="1" ht="14.25" customHeight="1"/>
    <row r="709" s="66" customFormat="1" ht="14.25" customHeight="1"/>
    <row r="710" s="66" customFormat="1" ht="14.25" customHeight="1"/>
    <row r="711" s="66" customFormat="1" ht="14.25" customHeight="1"/>
    <row r="712" s="66" customFormat="1" ht="14.25" customHeight="1"/>
    <row r="713" s="66" customFormat="1" ht="14.25" customHeight="1"/>
    <row r="714" s="66" customFormat="1" ht="14.25" customHeight="1"/>
    <row r="715" s="66" customFormat="1" ht="14.25" customHeight="1"/>
    <row r="716" s="66" customFormat="1" ht="14.25" customHeight="1"/>
    <row r="717" s="66" customFormat="1" ht="14.25" customHeight="1"/>
    <row r="718" s="66" customFormat="1" ht="14.25" customHeight="1"/>
    <row r="719" s="66" customFormat="1" ht="14.25" customHeight="1"/>
    <row r="720" s="66" customFormat="1" ht="14.25" customHeight="1"/>
    <row r="721" s="66" customFormat="1" ht="14.25" customHeight="1"/>
    <row r="722" s="66" customFormat="1" ht="14.25" customHeight="1"/>
    <row r="723" s="66" customFormat="1" ht="14.25" customHeight="1"/>
    <row r="724" s="66" customFormat="1" ht="14.25" customHeight="1"/>
    <row r="725" s="66" customFormat="1" ht="14.25" customHeight="1"/>
    <row r="726" s="66" customFormat="1" ht="14.25" customHeight="1"/>
    <row r="727" s="66" customFormat="1" ht="14.25" customHeight="1"/>
    <row r="728" s="66" customFormat="1" ht="14.25" customHeight="1"/>
    <row r="729" s="66" customFormat="1" ht="14.25" customHeight="1"/>
    <row r="730" s="66" customFormat="1" ht="14.25" customHeight="1"/>
    <row r="731" s="66" customFormat="1" ht="14.25" customHeight="1"/>
    <row r="732" s="66" customFormat="1" ht="14.25" customHeight="1"/>
    <row r="733" s="66" customFormat="1" ht="14.25" customHeight="1"/>
    <row r="734" s="66" customFormat="1" ht="14.25" customHeight="1"/>
    <row r="735" s="66" customFormat="1" ht="14.25" customHeight="1"/>
    <row r="736" s="66" customFormat="1" ht="14.25" customHeight="1"/>
    <row r="737" s="66" customFormat="1" ht="14.25" customHeight="1"/>
    <row r="738" s="66" customFormat="1" ht="14.25" customHeight="1"/>
    <row r="739" s="66" customFormat="1" ht="14.25" customHeight="1"/>
    <row r="740" s="66" customFormat="1" ht="14.25" customHeight="1"/>
    <row r="741" s="66" customFormat="1" ht="14.25" customHeight="1"/>
    <row r="742" s="66" customFormat="1" ht="14.25" customHeight="1"/>
    <row r="743" s="66" customFormat="1" ht="14.25" customHeight="1"/>
    <row r="744" s="66" customFormat="1" ht="14.25" customHeight="1"/>
    <row r="745" s="66" customFormat="1" ht="14.25" customHeight="1"/>
    <row r="746" s="66" customFormat="1" ht="14.25" customHeight="1"/>
    <row r="747" s="66" customFormat="1" ht="14.25" customHeight="1"/>
    <row r="748" s="66" customFormat="1" ht="14.25" customHeight="1"/>
    <row r="749" s="66" customFormat="1" ht="14.25" customHeight="1"/>
    <row r="750" s="66" customFormat="1" ht="14.25" customHeight="1"/>
    <row r="751" s="66" customFormat="1" ht="14.25" customHeight="1"/>
    <row r="752" s="66" customFormat="1" ht="14.25" customHeight="1"/>
    <row r="753" s="66" customFormat="1" ht="14.25" customHeight="1"/>
    <row r="754" s="66" customFormat="1" ht="14.25" customHeight="1"/>
    <row r="755" s="66" customFormat="1" ht="14.25" customHeight="1"/>
    <row r="756" s="66" customFormat="1" ht="14.25" customHeight="1"/>
    <row r="757" s="66" customFormat="1" ht="14.25" customHeight="1"/>
    <row r="758" s="66" customFormat="1" ht="14.25" customHeight="1"/>
    <row r="759" s="66" customFormat="1" ht="14.25" customHeight="1"/>
    <row r="760" s="66" customFormat="1" ht="14.25" customHeight="1"/>
    <row r="761" s="66" customFormat="1" ht="14.25" customHeight="1"/>
    <row r="762" s="66" customFormat="1" ht="14.25" customHeight="1"/>
    <row r="763" s="66" customFormat="1" ht="14.25" customHeight="1"/>
    <row r="764" s="66" customFormat="1" ht="14.25" customHeight="1"/>
    <row r="765" s="66" customFormat="1" ht="14.25" customHeight="1"/>
    <row r="766" s="66" customFormat="1" ht="14.25" customHeight="1"/>
    <row r="767" s="66" customFormat="1" ht="14.25" customHeight="1"/>
    <row r="768" s="66" customFormat="1" ht="14.25" customHeight="1"/>
    <row r="769" s="66" customFormat="1" ht="14.25" customHeight="1"/>
    <row r="770" s="66" customFormat="1" ht="14.25" customHeight="1"/>
    <row r="771" s="66" customFormat="1" ht="14.25" customHeight="1"/>
    <row r="772" s="66" customFormat="1" ht="14.25" customHeight="1"/>
    <row r="773" s="66" customFormat="1" ht="14.25" customHeight="1"/>
    <row r="774" s="66" customFormat="1" ht="14.25" customHeight="1"/>
    <row r="775" s="66" customFormat="1" ht="14.25" customHeight="1"/>
    <row r="776" s="66" customFormat="1" ht="14.25" customHeight="1"/>
    <row r="777" s="66" customFormat="1" ht="14.25" customHeight="1"/>
    <row r="778" s="66" customFormat="1" ht="14.25" customHeight="1"/>
    <row r="779" s="66" customFormat="1" ht="14.25" customHeight="1"/>
    <row r="780" s="66" customFormat="1" ht="14.25" customHeight="1"/>
    <row r="781" s="66" customFormat="1" ht="14.25" customHeight="1"/>
    <row r="782" s="66" customFormat="1" ht="14.25" customHeight="1"/>
    <row r="783" s="66" customFormat="1" ht="14.25" customHeight="1"/>
    <row r="784" s="66" customFormat="1" ht="14.25" customHeight="1"/>
    <row r="785" s="66" customFormat="1" ht="14.25" customHeight="1"/>
    <row r="786" s="66" customFormat="1" ht="14.25" customHeight="1"/>
    <row r="787" s="66" customFormat="1" ht="14.25" customHeight="1"/>
    <row r="788" s="66" customFormat="1" ht="14.25" customHeight="1"/>
    <row r="789" s="66" customFormat="1" ht="14.25" customHeight="1"/>
    <row r="790" s="66" customFormat="1" ht="14.25" customHeight="1"/>
    <row r="791" s="66" customFormat="1" ht="14.25" customHeight="1"/>
    <row r="792" s="66" customFormat="1" ht="14.25" customHeight="1"/>
    <row r="793" s="66" customFormat="1" ht="14.25" customHeight="1"/>
    <row r="794" s="66" customFormat="1" ht="14.25" customHeight="1"/>
    <row r="795" s="66" customFormat="1" ht="14.25" customHeight="1"/>
    <row r="796" s="66" customFormat="1" ht="14.25" customHeight="1"/>
    <row r="797" s="66" customFormat="1" ht="14.25" customHeight="1"/>
    <row r="798" s="66" customFormat="1" ht="14.25" customHeight="1"/>
    <row r="799" s="66" customFormat="1" ht="14.25" customHeight="1"/>
    <row r="800" s="66" customFormat="1" ht="14.25" customHeight="1"/>
    <row r="801" s="66" customFormat="1" ht="14.25" customHeight="1"/>
    <row r="802" s="66" customFormat="1" ht="14.25" customHeight="1"/>
    <row r="803" s="66" customFormat="1" ht="14.25" customHeight="1"/>
    <row r="804" s="66" customFormat="1" ht="14.25" customHeight="1"/>
    <row r="805" s="66" customFormat="1" ht="14.25" customHeight="1"/>
    <row r="806" s="66" customFormat="1" ht="14.25" customHeight="1"/>
    <row r="807" s="66" customFormat="1" ht="14.25" customHeight="1"/>
    <row r="808" s="66" customFormat="1" ht="14.25" customHeight="1"/>
    <row r="809" s="66" customFormat="1" ht="14.25" customHeight="1"/>
    <row r="810" s="66" customFormat="1" ht="14.25" customHeight="1"/>
    <row r="811" s="66" customFormat="1" ht="14.25" customHeight="1"/>
    <row r="812" s="66" customFormat="1" ht="14.25" customHeight="1"/>
    <row r="813" s="66" customFormat="1" ht="14.25" customHeight="1"/>
    <row r="814" s="66" customFormat="1" ht="14.25" customHeight="1"/>
    <row r="815" s="66" customFormat="1" ht="14.25" customHeight="1"/>
    <row r="816" s="66" customFormat="1" ht="14.25" customHeight="1"/>
    <row r="817" s="66" customFormat="1" ht="14.25" customHeight="1"/>
    <row r="818" s="66" customFormat="1" ht="14.25" customHeight="1"/>
    <row r="819" s="66" customFormat="1" ht="14.25" customHeight="1"/>
    <row r="820" s="66" customFormat="1" ht="14.25" customHeight="1"/>
    <row r="821" s="66" customFormat="1" ht="14.25" customHeight="1"/>
    <row r="822" s="66" customFormat="1" ht="14.25" customHeight="1"/>
    <row r="823" s="66" customFormat="1" ht="14.25" customHeight="1"/>
    <row r="824" s="66" customFormat="1" ht="14.25" customHeight="1"/>
    <row r="825" s="66" customFormat="1" ht="14.25" customHeight="1"/>
    <row r="826" s="66" customFormat="1" ht="14.25" customHeight="1"/>
    <row r="827" s="66" customFormat="1" ht="14.25" customHeight="1"/>
    <row r="828" s="66" customFormat="1" ht="14.25" customHeight="1"/>
    <row r="829" s="66" customFormat="1" ht="14.25" customHeight="1"/>
    <row r="830" s="66" customFormat="1" ht="14.25" customHeight="1"/>
    <row r="831" s="66" customFormat="1" ht="14.25" customHeight="1"/>
    <row r="832" s="66" customFormat="1" ht="14.25" customHeight="1"/>
    <row r="833" s="66" customFormat="1" ht="14.25" customHeight="1"/>
    <row r="834" s="66" customFormat="1" ht="14.25" customHeight="1"/>
    <row r="835" s="66" customFormat="1" ht="14.25" customHeight="1"/>
    <row r="836" s="66" customFormat="1" ht="14.25" customHeight="1"/>
    <row r="837" s="66" customFormat="1" ht="14.25" customHeight="1"/>
    <row r="838" s="66" customFormat="1" ht="14.25" customHeight="1"/>
    <row r="839" s="66" customFormat="1" ht="14.25" customHeight="1"/>
    <row r="840" s="66" customFormat="1" ht="14.25" customHeight="1"/>
    <row r="841" s="66" customFormat="1" ht="14.25" customHeight="1"/>
    <row r="842" s="66" customFormat="1" ht="14.25" customHeight="1"/>
    <row r="843" s="66" customFormat="1" ht="14.25" customHeight="1"/>
    <row r="844" s="66" customFormat="1" ht="14.25" customHeight="1"/>
    <row r="845" s="66" customFormat="1" ht="14.25" customHeight="1"/>
    <row r="846" s="66" customFormat="1" ht="14.25" customHeight="1"/>
    <row r="847" s="66" customFormat="1" ht="14.25" customHeight="1"/>
    <row r="848" s="66" customFormat="1" ht="14.25" customHeight="1"/>
    <row r="849" s="66" customFormat="1" ht="14.25" customHeight="1"/>
    <row r="850" s="66" customFormat="1" ht="14.25" customHeight="1"/>
    <row r="851" s="66" customFormat="1" ht="14.25" customHeight="1"/>
    <row r="852" s="66" customFormat="1" ht="14.25" customHeight="1"/>
    <row r="853" s="66" customFormat="1" ht="14.25" customHeight="1"/>
    <row r="854" s="66" customFormat="1" ht="14.25" customHeight="1"/>
    <row r="855" s="66" customFormat="1" ht="14.25" customHeight="1"/>
    <row r="856" s="66" customFormat="1" ht="14.25" customHeight="1"/>
    <row r="857" s="66" customFormat="1" ht="14.25" customHeight="1"/>
    <row r="858" s="66" customFormat="1" ht="14.25" customHeight="1"/>
    <row r="859" s="66" customFormat="1" ht="14.25" customHeight="1"/>
    <row r="860" s="66" customFormat="1" ht="14.25" customHeight="1"/>
    <row r="861" s="66" customFormat="1" ht="14.25" customHeight="1"/>
    <row r="862" s="66" customFormat="1" ht="14.25" customHeight="1"/>
    <row r="863" s="66" customFormat="1" ht="14.25" customHeight="1"/>
    <row r="864" s="66" customFormat="1" ht="14.25" customHeight="1"/>
    <row r="865" s="66" customFormat="1" ht="14.25" customHeight="1"/>
    <row r="866" s="66" customFormat="1" ht="14.25" customHeight="1"/>
    <row r="867" s="66" customFormat="1" ht="14.25" customHeight="1"/>
    <row r="868" s="66" customFormat="1" ht="14.25" customHeight="1"/>
    <row r="869" s="66" customFormat="1" ht="14.25" customHeight="1"/>
    <row r="870" s="66" customFormat="1" ht="14.25" customHeight="1"/>
    <row r="871" s="66" customFormat="1" ht="14.25" customHeight="1"/>
    <row r="872" s="66" customFormat="1" ht="14.25" customHeight="1"/>
    <row r="873" s="66" customFormat="1" ht="14.25" customHeight="1"/>
    <row r="874" s="66" customFormat="1" ht="14.25" customHeight="1"/>
    <row r="875" s="66" customFormat="1" ht="14.25" customHeight="1"/>
    <row r="876" s="66" customFormat="1" ht="14.25" customHeight="1"/>
    <row r="877" s="66" customFormat="1" ht="14.25" customHeight="1"/>
    <row r="878" s="66" customFormat="1" ht="14.25" customHeight="1"/>
    <row r="879" s="66" customFormat="1" ht="14.25" customHeight="1"/>
    <row r="880" s="66" customFormat="1" ht="14.25" customHeight="1"/>
    <row r="881" s="66" customFormat="1" ht="14.25" customHeight="1"/>
    <row r="882" s="66" customFormat="1" ht="14.25" customHeight="1"/>
    <row r="883" s="66" customFormat="1" ht="14.25" customHeight="1"/>
    <row r="884" s="66" customFormat="1" ht="14.25" customHeight="1"/>
    <row r="885" s="66" customFormat="1" ht="14.25" customHeight="1"/>
    <row r="886" s="66" customFormat="1" ht="14.25" customHeight="1"/>
    <row r="887" s="66" customFormat="1" ht="14.25" customHeight="1"/>
    <row r="888" s="66" customFormat="1" ht="14.25" customHeight="1"/>
    <row r="889" s="66" customFormat="1" ht="14.25" customHeight="1"/>
    <row r="890" s="66" customFormat="1" ht="14.25" customHeight="1"/>
    <row r="891" s="66" customFormat="1" ht="14.25" customHeight="1"/>
    <row r="892" s="66" customFormat="1" ht="14.25" customHeight="1"/>
    <row r="893" s="66" customFormat="1" ht="14.25" customHeight="1"/>
    <row r="894" s="66" customFormat="1" ht="14.25" customHeight="1"/>
    <row r="895" s="66" customFormat="1" ht="14.25" customHeight="1"/>
    <row r="896" s="66" customFormat="1" ht="14.25" customHeight="1"/>
    <row r="897" s="66" customFormat="1" ht="14.25" customHeight="1"/>
    <row r="898" s="66" customFormat="1" ht="14.25" customHeight="1"/>
    <row r="899" s="66" customFormat="1" ht="14.25" customHeight="1"/>
    <row r="900" s="66" customFormat="1" ht="14.25" customHeight="1"/>
    <row r="901" s="66" customFormat="1" ht="14.25" customHeight="1"/>
    <row r="902" s="66" customFormat="1" ht="14.25" customHeight="1"/>
    <row r="903" s="66" customFormat="1" ht="14.25" customHeight="1"/>
    <row r="904" s="66" customFormat="1" ht="14.25" customHeight="1"/>
    <row r="905" s="66" customFormat="1" ht="14.25" customHeight="1"/>
    <row r="906" s="66" customFormat="1" ht="14.25" customHeight="1"/>
    <row r="907" s="66" customFormat="1" ht="14.25" customHeight="1"/>
    <row r="908" s="66" customFormat="1" ht="14.25" customHeight="1"/>
    <row r="909" s="66" customFormat="1" ht="14.25" customHeight="1"/>
    <row r="910" s="66" customFormat="1" ht="14.25" customHeight="1"/>
    <row r="911" s="66" customFormat="1" ht="14.25" customHeight="1"/>
    <row r="912" s="66" customFormat="1" ht="14.25" customHeight="1"/>
    <row r="913" s="66" customFormat="1" ht="14.25" customHeight="1"/>
    <row r="914" s="66" customFormat="1" ht="14.25" customHeight="1"/>
    <row r="915" s="66" customFormat="1" ht="14.25" customHeight="1"/>
    <row r="916" s="66" customFormat="1" ht="14.25" customHeight="1"/>
    <row r="917" s="66" customFormat="1" ht="14.25" customHeight="1"/>
    <row r="918" s="66" customFormat="1" ht="14.25" customHeight="1"/>
    <row r="919" s="66" customFormat="1" ht="14.25" customHeight="1"/>
    <row r="920" s="66" customFormat="1" ht="14.25" customHeight="1"/>
    <row r="921" s="66" customFormat="1" ht="14.25" customHeight="1"/>
    <row r="922" s="66" customFormat="1" ht="14.25" customHeight="1"/>
    <row r="923" s="66" customFormat="1" ht="14.25" customHeight="1"/>
    <row r="924" s="66" customFormat="1" ht="14.25" customHeight="1"/>
    <row r="925" s="66" customFormat="1" ht="14.25" customHeight="1"/>
    <row r="926" s="66" customFormat="1" ht="14.25" customHeight="1"/>
    <row r="927" s="66" customFormat="1" ht="14.25" customHeight="1"/>
    <row r="928" s="66" customFormat="1" ht="14.25" customHeight="1"/>
    <row r="929" s="66" customFormat="1" ht="14.25" customHeight="1"/>
    <row r="930" s="66" customFormat="1" ht="14.25" customHeight="1"/>
    <row r="931" s="66" customFormat="1" ht="14.25" customHeight="1"/>
    <row r="932" s="66" customFormat="1" ht="14.25" customHeight="1"/>
    <row r="933" s="66" customFormat="1" ht="14.25" customHeight="1"/>
    <row r="934" s="66" customFormat="1" ht="14.25" customHeight="1"/>
    <row r="935" s="66" customFormat="1" ht="14.25" customHeight="1"/>
    <row r="936" s="66" customFormat="1" ht="14.25" customHeight="1"/>
    <row r="937" s="66" customFormat="1" ht="14.25" customHeight="1"/>
    <row r="938" s="66" customFormat="1" ht="14.25" customHeight="1"/>
    <row r="939" s="66" customFormat="1" ht="14.25" customHeight="1"/>
    <row r="940" s="66" customFormat="1" ht="14.25" customHeight="1"/>
    <row r="941" s="66" customFormat="1" ht="14.25" customHeight="1"/>
    <row r="942" s="66" customFormat="1" ht="14.25" customHeight="1"/>
    <row r="943" s="66" customFormat="1" ht="14.25" customHeight="1"/>
    <row r="944" s="66" customFormat="1" ht="14.25" customHeight="1"/>
    <row r="945" s="66" customFormat="1" ht="14.25" customHeight="1"/>
    <row r="946" s="66" customFormat="1" ht="14.25" customHeight="1"/>
    <row r="947" s="66" customFormat="1" ht="14.25" customHeight="1"/>
    <row r="948" s="66" customFormat="1" ht="14.25" customHeight="1"/>
    <row r="949" s="66" customFormat="1" ht="14.25" customHeight="1"/>
    <row r="950" s="66" customFormat="1" ht="14.25" customHeight="1"/>
    <row r="951" s="66" customFormat="1" ht="14.25" customHeight="1"/>
    <row r="952" s="66" customFormat="1" ht="14.25" customHeight="1"/>
    <row r="953" s="66" customFormat="1" ht="14.25" customHeight="1"/>
    <row r="954" s="66" customFormat="1" ht="14.25" customHeight="1"/>
    <row r="955" s="66" customFormat="1" ht="14.25" customHeight="1"/>
    <row r="956" s="66" customFormat="1" ht="14.25" customHeight="1"/>
    <row r="957" s="66" customFormat="1" ht="14.25" customHeight="1"/>
    <row r="958" s="66" customFormat="1" ht="14.25" customHeight="1"/>
    <row r="959" s="66" customFormat="1" ht="14.25" customHeight="1"/>
    <row r="960" s="66" customFormat="1" ht="14.25" customHeight="1"/>
    <row r="961" s="66" customFormat="1" ht="14.25" customHeight="1"/>
    <row r="962" s="66" customFormat="1" ht="14.25" customHeight="1"/>
    <row r="963" s="66" customFormat="1" ht="14.25" customHeight="1"/>
    <row r="964" s="66" customFormat="1" ht="14.25" customHeight="1"/>
    <row r="965" s="66" customFormat="1" ht="14.25" customHeight="1"/>
    <row r="966" s="66" customFormat="1" ht="14.25" customHeight="1"/>
    <row r="967" s="66" customFormat="1" ht="14.25" customHeight="1"/>
    <row r="968" s="66" customFormat="1" ht="14.25" customHeight="1"/>
    <row r="969" s="66" customFormat="1" ht="14.25" customHeight="1"/>
    <row r="970" s="66" customFormat="1" ht="14.25" customHeight="1"/>
    <row r="971" s="66" customFormat="1" ht="14.25" customHeight="1"/>
    <row r="972" s="66" customFormat="1" ht="14.25" customHeight="1"/>
    <row r="973" s="66" customFormat="1" ht="14.25" customHeight="1"/>
    <row r="974" s="66" customFormat="1" ht="14.25" customHeight="1"/>
    <row r="975" s="66" customFormat="1" ht="14.25" customHeight="1"/>
    <row r="976" s="66" customFormat="1" ht="14.25" customHeight="1"/>
    <row r="977" s="66" customFormat="1" ht="14.25" customHeight="1"/>
    <row r="978" s="66" customFormat="1" ht="14.25" customHeight="1"/>
    <row r="979" s="66" customFormat="1" ht="14.25" customHeight="1"/>
    <row r="980" s="66" customFormat="1" ht="14.25" customHeight="1"/>
    <row r="981" s="66" customFormat="1" ht="14.25" customHeight="1"/>
    <row r="982" s="66" customFormat="1" ht="14.25" customHeight="1"/>
    <row r="983" s="66" customFormat="1" ht="14.25" customHeight="1"/>
    <row r="984" s="66" customFormat="1" ht="14.25" customHeight="1"/>
    <row r="985" s="66" customFormat="1" ht="14.25" customHeight="1"/>
    <row r="986" s="66" customFormat="1" ht="14.25" customHeight="1"/>
    <row r="987" s="66" customFormat="1" ht="14.25" customHeight="1"/>
    <row r="988" s="66" customFormat="1" ht="14.25" customHeight="1"/>
    <row r="989" s="66" customFormat="1" ht="14.25" customHeight="1"/>
    <row r="990" s="66" customFormat="1" ht="14.25" customHeight="1"/>
    <row r="991" s="66" customFormat="1" ht="14.25" customHeight="1"/>
    <row r="992" s="66" customFormat="1" ht="14.25" customHeight="1"/>
    <row r="993" s="66" customFormat="1" ht="14.25" customHeight="1"/>
    <row r="994" s="66" customFormat="1" ht="14.25" customHeight="1"/>
    <row r="995" s="66" customFormat="1" ht="14.25" customHeight="1"/>
    <row r="996" s="66" customFormat="1" ht="14.25" customHeight="1"/>
    <row r="997" s="66" customFormat="1" ht="14.25" customHeight="1"/>
    <row r="998" s="66" customFormat="1" ht="14.25" customHeight="1"/>
    <row r="999" s="66" customFormat="1" ht="14.25" customHeight="1"/>
    <row r="1000" s="66" customFormat="1" ht="14.25" customHeight="1"/>
    <row r="1001" s="66" customFormat="1" ht="14.25" customHeight="1"/>
    <row r="1002" s="66" customFormat="1" ht="14.25" customHeight="1"/>
    <row r="1003" s="66" customFormat="1" ht="14.25" customHeight="1"/>
    <row r="1004" s="66" customFormat="1" ht="14.25" customHeight="1"/>
    <row r="1005" s="66" customFormat="1" ht="14.25" customHeight="1"/>
    <row r="1006" s="66" customFormat="1" ht="14.25" customHeight="1"/>
    <row r="1007" s="66" customFormat="1" ht="14.25" customHeight="1"/>
    <row r="1008" s="66" customFormat="1" ht="14.25" customHeight="1"/>
    <row r="1009" s="66" customFormat="1" ht="14.25" customHeight="1"/>
    <row r="1010" s="66" customFormat="1" ht="14.25" customHeight="1"/>
    <row r="1011" s="66" customFormat="1" ht="14.25" customHeight="1"/>
    <row r="1012" s="66" customFormat="1" ht="14.25" customHeight="1"/>
  </sheetData>
  <sortState ref="A2:O70">
    <sortCondition ref="E2:E70"/>
    <sortCondition ref="A2:A70"/>
    <sortCondition ref="B2:B70"/>
  </sortState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71"/>
  <sheetViews>
    <sheetView zoomScale="70" zoomScaleNormal="70" workbookViewId="0">
      <selection activeCell="B39" sqref="B39"/>
    </sheetView>
  </sheetViews>
  <sheetFormatPr defaultColWidth="8.84375" defaultRowHeight="16.8"/>
  <cols>
    <col min="1" max="1" width="24.578125" customWidth="1"/>
    <col min="2" max="2" width="19.1015625" customWidth="1"/>
    <col min="3" max="3" width="25.859375" customWidth="1"/>
    <col min="4" max="4" width="17.7421875" customWidth="1"/>
    <col min="5" max="5" width="14.0625" customWidth="1"/>
    <col min="6" max="6" width="16.546875" customWidth="1"/>
    <col min="7" max="8" width="14.5" customWidth="1"/>
    <col min="9" max="9" width="13.5078125" customWidth="1"/>
    <col min="10" max="10" width="15.7265625" customWidth="1"/>
    <col min="11" max="11" width="17.140625" customWidth="1"/>
    <col min="12" max="12" width="16.3671875" customWidth="1"/>
  </cols>
  <sheetData>
    <row r="1" spans="1:12">
      <c r="A1" s="7"/>
      <c r="B1" s="8" t="s">
        <v>218</v>
      </c>
      <c r="C1" s="9" t="s">
        <v>219</v>
      </c>
      <c r="D1" s="10" t="s">
        <v>220</v>
      </c>
      <c r="E1" s="51" t="s">
        <v>221</v>
      </c>
      <c r="F1" s="52" t="s">
        <v>4</v>
      </c>
      <c r="G1" s="53" t="s">
        <v>222</v>
      </c>
      <c r="H1" s="53" t="s">
        <v>223</v>
      </c>
      <c r="I1" s="53" t="s">
        <v>224</v>
      </c>
      <c r="J1" s="62" t="s">
        <v>6</v>
      </c>
      <c r="K1" s="53" t="s">
        <v>225</v>
      </c>
      <c r="L1" s="53" t="s">
        <v>12</v>
      </c>
    </row>
    <row r="2" spans="1:12">
      <c r="A2" s="11"/>
      <c r="B2" s="12">
        <v>615</v>
      </c>
      <c r="C2" s="13" t="s">
        <v>226</v>
      </c>
      <c r="D2" s="14">
        <v>1050</v>
      </c>
      <c r="E2" s="54">
        <v>6000</v>
      </c>
      <c r="F2" s="55" t="str">
        <f>'Scent Inventory'!E2</f>
        <v>24 Persicarat</v>
      </c>
      <c r="G2" s="1"/>
      <c r="H2" s="1"/>
      <c r="I2" s="63">
        <v>445</v>
      </c>
      <c r="J2" s="64">
        <f>((I2*0.48)+SUM(B6:B8))*0.15+(SUM(B12:B16))</f>
        <v>93.3985</v>
      </c>
      <c r="K2" s="65">
        <f>(I2*0.08+SUM(D24:D28))*0.25+SUM(D29:D31)</f>
        <v>31.0137857142857</v>
      </c>
      <c r="L2" s="65">
        <f>((I2*0.08)+SUM(B20:B22))*0.5+SUM(B26:B30)</f>
        <v>92.61</v>
      </c>
    </row>
    <row r="3" ht="17.55" spans="1:12">
      <c r="A3" s="15"/>
      <c r="B3" s="16"/>
      <c r="C3" s="13" t="s">
        <v>227</v>
      </c>
      <c r="D3" s="14">
        <v>380</v>
      </c>
      <c r="E3" s="54">
        <v>1000</v>
      </c>
      <c r="F3" s="55" t="str">
        <f>'Scent Inventory'!E3</f>
        <v>Amberuby</v>
      </c>
      <c r="G3" s="1"/>
      <c r="H3" s="1"/>
      <c r="I3" s="63">
        <v>477</v>
      </c>
      <c r="J3" s="64">
        <f>((I3*0.48)+SUM(B6:B8))*0.15+(SUM(B12:B16))</f>
        <v>95.7025</v>
      </c>
      <c r="K3" s="65">
        <f>(I3*0.08+SUM(D24:D28))*0.25+SUM(D29:D31)</f>
        <v>31.6537857142857</v>
      </c>
      <c r="L3" s="65">
        <f>((I3*0.08)+SUM(B20:B22))*0.5+SUM(B26:B30)</f>
        <v>93.89</v>
      </c>
    </row>
    <row r="4" spans="1:12">
      <c r="A4" s="17" t="s">
        <v>228</v>
      </c>
      <c r="B4" s="18"/>
      <c r="C4" s="13" t="s">
        <v>229</v>
      </c>
      <c r="D4" s="14">
        <v>247</v>
      </c>
      <c r="E4" s="54">
        <v>500</v>
      </c>
      <c r="F4" s="55" t="str">
        <f>'Scent Inventory'!E4</f>
        <v>Anti-sober</v>
      </c>
      <c r="G4" s="1"/>
      <c r="H4" s="1">
        <v>473</v>
      </c>
      <c r="I4" s="1"/>
      <c r="J4" s="64">
        <f>((H4*0.5)+SUM(B6:B8))*0.15+(SUM(B12:B16))</f>
        <v>96.8335</v>
      </c>
      <c r="K4" s="65">
        <f>(H4*0.08333+SUM(D24:D28))*0.25+SUM(D29:D31)</f>
        <v>31.9675582142857</v>
      </c>
      <c r="L4" s="65">
        <f>((H4*0.08)+SUM(B20:B22))*0.5+SUM(B26:B30)</f>
        <v>93.73</v>
      </c>
    </row>
    <row r="5" spans="1:12">
      <c r="A5" s="19" t="s">
        <v>230</v>
      </c>
      <c r="B5" s="20">
        <f>B2*0.48</f>
        <v>295.2</v>
      </c>
      <c r="C5" s="13" t="s">
        <v>231</v>
      </c>
      <c r="D5" s="21">
        <v>356</v>
      </c>
      <c r="E5" s="56">
        <v>28000</v>
      </c>
      <c r="F5" s="55" t="str">
        <f>'Scent Inventory'!E5</f>
        <v>Apololavè</v>
      </c>
      <c r="G5" s="1"/>
      <c r="H5" s="1">
        <v>595</v>
      </c>
      <c r="I5" s="1"/>
      <c r="J5" s="64">
        <f>((H5*0.5)+SUM(B6:B8))*0.15+(SUM(B12:B16))</f>
        <v>105.9835</v>
      </c>
      <c r="K5" s="65">
        <f>(H5*0.08333+SUM(D24:D28))*0.25+SUM(D29:D31)</f>
        <v>34.5091232142857</v>
      </c>
      <c r="L5" s="65"/>
    </row>
    <row r="6" spans="1:12">
      <c r="A6" s="19" t="s">
        <v>232</v>
      </c>
      <c r="B6" s="22">
        <f>(110/E2)*D2</f>
        <v>19.25</v>
      </c>
      <c r="C6" s="19" t="s">
        <v>233</v>
      </c>
      <c r="D6" s="22">
        <v>320</v>
      </c>
      <c r="E6" s="54">
        <v>2000</v>
      </c>
      <c r="F6" s="55" t="str">
        <f>'Scent Inventory'!E6</f>
        <v>Arctic Materia</v>
      </c>
      <c r="G6" s="1"/>
      <c r="H6" s="1">
        <v>595</v>
      </c>
      <c r="I6" s="1"/>
      <c r="J6" s="64">
        <f>((H6*0.5)+SUM(B6:B8))*0.15+(SUM(B12:B16))</f>
        <v>105.9835</v>
      </c>
      <c r="K6" s="65">
        <f>(H6*0.08333+SUM(D24:D28))*0.25+SUM(D29:D31)</f>
        <v>34.5091232142857</v>
      </c>
      <c r="L6" s="65"/>
    </row>
    <row r="7" spans="1:12">
      <c r="A7" s="19" t="s">
        <v>234</v>
      </c>
      <c r="B7" s="22">
        <f>(20/E3)*D3</f>
        <v>7.6</v>
      </c>
      <c r="C7" s="19" t="s">
        <v>235</v>
      </c>
      <c r="D7" s="22">
        <v>263</v>
      </c>
      <c r="E7" s="54">
        <v>500</v>
      </c>
      <c r="F7" s="55" t="str">
        <f>'Scent Inventory'!E7</f>
        <v>Ardorveil</v>
      </c>
      <c r="G7" s="1">
        <v>720</v>
      </c>
      <c r="H7" s="1"/>
      <c r="I7" s="1"/>
      <c r="J7" s="64">
        <f>((G7*0.6)+SUM(B6:B8))*0.15+(SUM(B12:B16))</f>
        <v>126.1585</v>
      </c>
      <c r="K7" s="65">
        <f>(G7*0.1+SUM(D24:D28))*0.25+SUM(D29:D31)</f>
        <v>40.1137857142857</v>
      </c>
      <c r="L7" s="65">
        <f>((G7*0.1)+SUM(B20:B22))*0.5+SUM(B26:B30)</f>
        <v>110.81</v>
      </c>
    </row>
    <row r="8" spans="1:12">
      <c r="A8" s="19" t="s">
        <v>236</v>
      </c>
      <c r="B8" s="22">
        <f>(10/E4)*D4</f>
        <v>4.94</v>
      </c>
      <c r="C8" s="19" t="s">
        <v>237</v>
      </c>
      <c r="D8" s="22">
        <v>160</v>
      </c>
      <c r="E8" s="54">
        <v>1000</v>
      </c>
      <c r="F8" s="55" t="str">
        <f>'Scent Inventory'!E8</f>
        <v>Argentinite</v>
      </c>
      <c r="G8" s="1"/>
      <c r="H8" s="1">
        <v>550</v>
      </c>
      <c r="I8" s="50"/>
      <c r="J8" s="64">
        <f>((H8*0.5)+SUM(B6:B8))*0.15+(SUM(B12:B16))</f>
        <v>102.6085</v>
      </c>
      <c r="K8" s="65">
        <f>(H8*0.08333+SUM(D24:D28))*0.25+SUM(D29:D31)</f>
        <v>33.5716607142857</v>
      </c>
      <c r="L8" s="65">
        <f>((G8*0.1)+SUM(B20:B22))*0.5+SUM(B26:B30)</f>
        <v>74.81</v>
      </c>
    </row>
    <row r="9" ht="17.55" spans="1:12">
      <c r="A9" s="23" t="s">
        <v>238</v>
      </c>
      <c r="B9" s="24">
        <f>SUM(B5:B8)</f>
        <v>326.99</v>
      </c>
      <c r="C9" s="25" t="s">
        <v>239</v>
      </c>
      <c r="D9" s="26">
        <v>82</v>
      </c>
      <c r="E9" s="57">
        <v>100</v>
      </c>
      <c r="F9" s="55" t="str">
        <f>'Scent Inventory'!E9</f>
        <v>Avium Magnifique</v>
      </c>
      <c r="G9" s="1"/>
      <c r="H9" s="1"/>
      <c r="I9" s="50">
        <v>408</v>
      </c>
      <c r="J9" s="64">
        <f>((I9*0.48)+SUM(B6:B8))*0.15+(SUM(B12:B16))</f>
        <v>90.7345</v>
      </c>
      <c r="K9" s="65">
        <f>(I9*0.08+SUM(D24:D28))*0.25+SUM(D29:D31)</f>
        <v>30.2737857142857</v>
      </c>
      <c r="L9" s="65">
        <f>((I9*0.08)+SUM(B20:B22))*0.5+SUM(B26:B30)</f>
        <v>91.13</v>
      </c>
    </row>
    <row r="10" spans="1:12">
      <c r="A10" s="8" t="s">
        <v>240</v>
      </c>
      <c r="B10" s="27"/>
      <c r="C10" s="28" t="s">
        <v>241</v>
      </c>
      <c r="D10" s="29"/>
      <c r="F10" s="58" t="str">
        <f>'Scent Inventory'!E10</f>
        <v>Bar of the Elegants</v>
      </c>
      <c r="G10" s="1">
        <v>850</v>
      </c>
      <c r="H10" s="1"/>
      <c r="I10" s="50"/>
      <c r="J10" s="64">
        <f>((G10*0.6)+SUM(B6:B8))*0.15+(SUM(B12:B16))</f>
        <v>137.8585</v>
      </c>
      <c r="K10" s="65">
        <f>(G10*0.1+SUM(D24:D28))*0.25+SUM(D29:D31)</f>
        <v>43.3637857142857</v>
      </c>
      <c r="L10" s="65"/>
    </row>
    <row r="11" spans="1:12">
      <c r="A11" s="30" t="s">
        <v>242</v>
      </c>
      <c r="B11" s="31">
        <f>B9*0.15</f>
        <v>49.0485</v>
      </c>
      <c r="C11" s="19" t="s">
        <v>243</v>
      </c>
      <c r="D11" s="32">
        <f>B9*0.275</f>
        <v>89.92225</v>
      </c>
      <c r="F11" s="58" t="str">
        <f>'Scent Inventory'!E11</f>
        <v>Certainty</v>
      </c>
      <c r="G11" s="1"/>
      <c r="H11" s="1">
        <v>550</v>
      </c>
      <c r="I11" s="1"/>
      <c r="J11" s="64">
        <f>((H11*0.5)+SUM(B6:B8))*0.15+(SUM(B12:B16))</f>
        <v>102.6085</v>
      </c>
      <c r="K11" s="65">
        <f>(H11*0.08333+SUM(D24:D28))*0.25+SUM(D29:D31)</f>
        <v>33.5716607142857</v>
      </c>
      <c r="L11" s="65" t="e">
        <f>((#REF!*0.16667)+SUM(B20:B22))*0.5+SUM(B26:B30)</f>
        <v>#REF!</v>
      </c>
    </row>
    <row r="12" spans="1:12">
      <c r="A12" s="30" t="s">
        <v>244</v>
      </c>
      <c r="B12" s="21">
        <v>23</v>
      </c>
      <c r="C12" s="30" t="s">
        <v>245</v>
      </c>
      <c r="D12" s="33">
        <v>25</v>
      </c>
      <c r="F12" s="58" t="str">
        <f>'Scent Inventory'!E12</f>
        <v>Chinensis Savor</v>
      </c>
      <c r="G12" s="1"/>
      <c r="H12" s="1"/>
      <c r="I12" s="60">
        <v>475</v>
      </c>
      <c r="J12" s="64">
        <f>((I12*0.48)+SUM(B6:B8))*0.15+(SUM(B12:B16))</f>
        <v>95.5585</v>
      </c>
      <c r="K12" s="65">
        <f>(I12*0.08+SUM(D24:D28))*0.25+SUM(D29:D31)</f>
        <v>31.6137857142857</v>
      </c>
      <c r="L12" s="65">
        <f>((I12*0.08)+SUM(B20:B22))*0.5+SUM(B26:B30)</f>
        <v>93.81</v>
      </c>
    </row>
    <row r="13" spans="1:12">
      <c r="A13" s="30" t="s">
        <v>246</v>
      </c>
      <c r="B13" s="21">
        <v>19</v>
      </c>
      <c r="C13" s="34" t="s">
        <v>246</v>
      </c>
      <c r="D13" s="35">
        <v>22</v>
      </c>
      <c r="F13" s="58" t="str">
        <f>'Scent Inventory'!E13</f>
        <v>Corosa Skies</v>
      </c>
      <c r="G13" s="1">
        <v>687</v>
      </c>
      <c r="H13" s="1"/>
      <c r="I13" s="60"/>
      <c r="J13" s="64">
        <f>((G13*0.6)+SUM(B6:B8))*0.15+(SUM(B12:B16))</f>
        <v>123.1885</v>
      </c>
      <c r="K13" s="65">
        <f>(G13*0.1+SUM(D24:D28))*0.25+SUM(D29:D31)</f>
        <v>39.2887857142857</v>
      </c>
      <c r="L13" s="65">
        <f>((G13*0.1)+SUM(B20:B22))*0.5+SUM(B26:B30)</f>
        <v>109.16</v>
      </c>
    </row>
    <row r="14" spans="1:12">
      <c r="A14" s="30" t="s">
        <v>247</v>
      </c>
      <c r="B14" s="21">
        <v>12</v>
      </c>
      <c r="C14" s="30" t="s">
        <v>247</v>
      </c>
      <c r="D14" s="33">
        <v>12</v>
      </c>
      <c r="F14" s="58" t="str">
        <f>'Scent Inventory'!E14</f>
        <v>Dainty Esplanade</v>
      </c>
      <c r="G14" s="1">
        <v>520</v>
      </c>
      <c r="H14" s="1"/>
      <c r="I14" s="1"/>
      <c r="J14" s="64">
        <f>((G14*0.6)+SUM(B6:B8))*0.15+(SUM(B12:B16))</f>
        <v>108.1585</v>
      </c>
      <c r="K14" s="65">
        <f>(G14*0.1+SUM(D24:D28))*0.25+SUM(D29:D31)</f>
        <v>35.1137857142857</v>
      </c>
      <c r="L14" s="65">
        <f>((I14*0.08)+SUM(B20:B22))*0.5+SUM(B26:B30)</f>
        <v>74.81</v>
      </c>
    </row>
    <row r="15" spans="1:12">
      <c r="A15" s="30" t="s">
        <v>248</v>
      </c>
      <c r="B15" s="21">
        <v>1.29</v>
      </c>
      <c r="C15" s="30" t="s">
        <v>249</v>
      </c>
      <c r="D15" s="33">
        <v>0.89</v>
      </c>
      <c r="F15" s="58" t="str">
        <f>'Scent Inventory'!E15</f>
        <v>Dear Whispers</v>
      </c>
      <c r="G15" s="1"/>
      <c r="H15" s="1">
        <v>533</v>
      </c>
      <c r="I15" s="1"/>
      <c r="J15" s="64">
        <f>((H15*0.5)+SUM(B6:B8))*0.15+(SUM(B12:B16))</f>
        <v>101.3335</v>
      </c>
      <c r="K15" s="65">
        <f>(H15*0.08333+SUM(D24:D28))*0.25+SUM(D29:D31)</f>
        <v>33.2175082142857</v>
      </c>
      <c r="L15" s="65">
        <f>((H15*0.08)+SUM(B20:B22))*0.5+SUM(B26:B30)</f>
        <v>96.13</v>
      </c>
    </row>
    <row r="16" spans="1:12">
      <c r="A16" s="30" t="s">
        <v>250</v>
      </c>
      <c r="B16" s="21">
        <v>1.3</v>
      </c>
      <c r="C16" s="30" t="s">
        <v>250</v>
      </c>
      <c r="D16" s="33">
        <v>1.89</v>
      </c>
      <c r="F16" s="58" t="str">
        <f>'Scent Inventory'!E16</f>
        <v>Delight Mélange</v>
      </c>
      <c r="H16" s="1"/>
      <c r="I16" s="1">
        <v>951</v>
      </c>
      <c r="J16" s="64">
        <f>((I16*0.48)+SUM(B6:B8))*0.15+(SUM(B12:B16))</f>
        <v>129.8305</v>
      </c>
      <c r="K16" s="65">
        <f>(I16*0.08+SUM(D24:D28))*0.25+SUM(D29:D31)</f>
        <v>41.1337857142857</v>
      </c>
      <c r="L16" s="65">
        <f>((I16*0.08)+SUM(B20:B22))*0.5+SUM(B26:B30)</f>
        <v>112.85</v>
      </c>
    </row>
    <row r="17" ht="17.55" spans="1:12">
      <c r="A17" s="36" t="s">
        <v>251</v>
      </c>
      <c r="B17" s="37">
        <f>SUM(B11:B16)</f>
        <v>105.6385</v>
      </c>
      <c r="C17" s="38" t="s">
        <v>252</v>
      </c>
      <c r="D17" s="39">
        <f>SUM(D11:D16)</f>
        <v>151.70225</v>
      </c>
      <c r="F17" s="58" t="str">
        <f>'Scent Inventory'!E17</f>
        <v>Dermacore Vent</v>
      </c>
      <c r="G17" s="1">
        <v>910</v>
      </c>
      <c r="H17" s="1"/>
      <c r="I17" s="1"/>
      <c r="J17" s="64">
        <f>((G17*0.6)+SUM(B6:B8))*0.15+(SUM(B12:B16))</f>
        <v>143.2585</v>
      </c>
      <c r="K17" s="65">
        <f>(G17*0.1+SUM(D24:D28))*0.25+SUM(D29:D31)</f>
        <v>44.8637857142857</v>
      </c>
      <c r="L17" s="65"/>
    </row>
    <row r="18" spans="1:12">
      <c r="A18" s="23" t="s">
        <v>253</v>
      </c>
      <c r="B18" s="40"/>
      <c r="C18" s="8" t="s">
        <v>254</v>
      </c>
      <c r="D18" s="41"/>
      <c r="F18" s="58" t="str">
        <f>'Scent Inventory'!E18</f>
        <v>Dustyle</v>
      </c>
      <c r="G18" s="1"/>
      <c r="H18" s="1">
        <v>550</v>
      </c>
      <c r="I18" s="1"/>
      <c r="J18" s="64">
        <f>((H18*0.5)+SUM(B6:B8))*0.15+(SUM(B12:B16))</f>
        <v>102.6085</v>
      </c>
      <c r="K18" s="65">
        <f>(H18*0.08333+SUM(D24:D28))*0.25+SUM(D29:D31)</f>
        <v>33.5716607142857</v>
      </c>
      <c r="L18" s="65" t="e">
        <f>((#REF!*0.16667)+SUM(B20:B22))*0.5+SUM(B26:B30)</f>
        <v>#REF!</v>
      </c>
    </row>
    <row r="19" spans="1:12">
      <c r="A19" s="19" t="s">
        <v>255</v>
      </c>
      <c r="B19" s="20">
        <f>B5*0.16667</f>
        <v>49.200984</v>
      </c>
      <c r="C19" s="19" t="s">
        <v>256</v>
      </c>
      <c r="D19" s="42">
        <f>(55/E2)*D2</f>
        <v>9.625</v>
      </c>
      <c r="F19" s="58" t="str">
        <f>'Scent Inventory'!E19</f>
        <v>Enigmiasma</v>
      </c>
      <c r="G19" s="1">
        <v>687</v>
      </c>
      <c r="H19" s="1"/>
      <c r="I19" s="1"/>
      <c r="J19" s="64">
        <f>((G19*0.6)+SUM(B6:B8))*0.15+(SUM(B12:B16))</f>
        <v>123.1885</v>
      </c>
      <c r="K19" s="65">
        <f>(G19*0.1+SUM(D24:D28))*0.25+SUM(D29:D31)</f>
        <v>39.2887857142857</v>
      </c>
      <c r="L19" s="65">
        <f>((G19*0.1)+SUM(B20:B22))*0.5+SUM(B26:B30)</f>
        <v>109.16</v>
      </c>
    </row>
    <row r="20" spans="1:12">
      <c r="A20" s="19" t="s">
        <v>257</v>
      </c>
      <c r="B20" s="22">
        <f>(120/E2)*D2</f>
        <v>21</v>
      </c>
      <c r="C20" s="19" t="s">
        <v>258</v>
      </c>
      <c r="D20" s="42">
        <f>(10/E3)*D3</f>
        <v>3.8</v>
      </c>
      <c r="F20" s="58" t="str">
        <f>'Scent Inventory'!E20</f>
        <v>Epicene Oxymoron</v>
      </c>
      <c r="G20" s="1"/>
      <c r="H20" s="1">
        <v>447</v>
      </c>
      <c r="I20" s="1"/>
      <c r="J20" s="64">
        <f>((H20*0.5)+SUM(B6:B8))*0.15+(SUM(B12:B16))</f>
        <v>94.8835</v>
      </c>
      <c r="K20" s="65">
        <f>(H20*0.08333+SUM(D24:D28))*0.25+SUM(D29:D31)</f>
        <v>31.4259132142857</v>
      </c>
      <c r="L20" s="65">
        <f>((H20*0.08)+SUM(B20:B22))*0.5+SUM(B26:B30)</f>
        <v>92.69</v>
      </c>
    </row>
    <row r="21" ht="17.55" spans="1:12">
      <c r="A21" s="19" t="s">
        <v>259</v>
      </c>
      <c r="B21" s="22">
        <f>(60/E3)*D3</f>
        <v>22.8</v>
      </c>
      <c r="C21" s="25" t="s">
        <v>260</v>
      </c>
      <c r="D21" s="43">
        <f>(5/E4)*D4</f>
        <v>2.47</v>
      </c>
      <c r="F21" s="58" t="str">
        <f>'Scent Inventory'!E21</f>
        <v>Garland</v>
      </c>
      <c r="G21" s="1"/>
      <c r="H21" s="1">
        <v>550</v>
      </c>
      <c r="I21" s="1"/>
      <c r="J21" s="64">
        <f>((H21*0.5)+SUM(B6:B8))*0.15+(SUM(B12:B16))</f>
        <v>102.6085</v>
      </c>
      <c r="K21" s="65">
        <f>(H21*0.08333+SUM(D24:D28))*0.25+SUM(D29:D31)</f>
        <v>33.5716607142857</v>
      </c>
      <c r="L21" s="65" t="e">
        <f>((#REF!*0.16667)+SUM(B20:B22))*0.5+SUM(B26:B30)</f>
        <v>#REF!</v>
      </c>
    </row>
    <row r="22" spans="1:12">
      <c r="A22" s="19" t="s">
        <v>261</v>
      </c>
      <c r="B22" s="42">
        <f>(10/E4)*D4</f>
        <v>4.94</v>
      </c>
      <c r="C22" s="8" t="s">
        <v>262</v>
      </c>
      <c r="D22" s="41"/>
      <c r="F22" s="58" t="str">
        <f>'Scent Inventory'!E22</f>
        <v>Glade Parade</v>
      </c>
      <c r="G22" s="1"/>
      <c r="H22" s="1">
        <v>550</v>
      </c>
      <c r="I22" s="1"/>
      <c r="J22" s="64">
        <f>((H22*0.5)+SUM(B6:B8))*0.15+(SUM(B12:B16))</f>
        <v>102.6085</v>
      </c>
      <c r="K22" s="65">
        <f>(H22*0.08333+SUM(D24:D28))*0.25+SUM(D29:D31)</f>
        <v>33.5716607142857</v>
      </c>
      <c r="L22" s="65" t="e">
        <f>((#REF!*0.16667)+SUM(B20:B22))*0.5+SUM(B26:B30)</f>
        <v>#REF!</v>
      </c>
    </row>
    <row r="23" ht="17.55" spans="1:12">
      <c r="A23" s="44" t="s">
        <v>263</v>
      </c>
      <c r="B23" s="45">
        <f>SUM(B18:B22)</f>
        <v>97.940984</v>
      </c>
      <c r="C23" s="19" t="s">
        <v>264</v>
      </c>
      <c r="D23" s="42">
        <f>(10/125)*B2</f>
        <v>49.2</v>
      </c>
      <c r="F23" s="58" t="str">
        <f>'Scent Inventory'!E23</f>
        <v>Glittersphere</v>
      </c>
      <c r="G23" s="1">
        <v>520</v>
      </c>
      <c r="H23" s="1"/>
      <c r="I23" s="50"/>
      <c r="J23" s="64">
        <f>((G23*0.6)+SUM(B6:B8))*0.15+(SUM(B12:B16))</f>
        <v>108.1585</v>
      </c>
      <c r="K23" s="65">
        <f>(G23*0.1+SUM(D24:D28))*0.25+SUM(D29:D31)</f>
        <v>35.1137857142857</v>
      </c>
      <c r="L23" s="65">
        <f>((I23*0.08)+SUM(B20:B22))*0.5+SUM(B26:B30)</f>
        <v>74.81</v>
      </c>
    </row>
    <row r="24" spans="1:12">
      <c r="A24" s="8" t="s">
        <v>265</v>
      </c>
      <c r="B24" s="41"/>
      <c r="C24" s="19" t="s">
        <v>266</v>
      </c>
      <c r="D24" s="32">
        <f>150/E5*D5</f>
        <v>1.90714285714286</v>
      </c>
      <c r="F24" s="58" t="str">
        <f>'Scent Inventory'!E24</f>
        <v>Grovelock</v>
      </c>
      <c r="G24" s="1"/>
      <c r="H24" s="1"/>
      <c r="I24" s="1">
        <v>1231</v>
      </c>
      <c r="J24" s="64">
        <f>((I24*0.48)+SUM(B6:B8))*0.15+(SUM(B12:B16))</f>
        <v>149.9905</v>
      </c>
      <c r="K24" s="65">
        <f>(I24*0.08+SUM(D24:D28))*0.25+SUM(D29:D31)</f>
        <v>46.7337857142857</v>
      </c>
      <c r="L24" s="65">
        <f>((I24*0.08)+SUM(B20:B22))*0.5+SUM(B26:B30)</f>
        <v>124.05</v>
      </c>
    </row>
    <row r="25" spans="1:12">
      <c r="A25" s="19" t="s">
        <v>267</v>
      </c>
      <c r="B25" s="32">
        <f>B23/2</f>
        <v>48.970492</v>
      </c>
      <c r="C25" s="19" t="s">
        <v>268</v>
      </c>
      <c r="D25" s="42">
        <f>30/E6*D6</f>
        <v>4.8</v>
      </c>
      <c r="F25" s="58" t="str">
        <f>'Scent Inventory'!E25</f>
        <v>Helios Syrup</v>
      </c>
      <c r="G25" s="1">
        <v>590</v>
      </c>
      <c r="H25" s="1"/>
      <c r="I25" s="1"/>
      <c r="J25" s="64">
        <f>((G25*0.6)+SUM(B6:B8))*0.15+(SUM(B12:B16))</f>
        <v>114.4585</v>
      </c>
      <c r="K25" s="65">
        <f>(G25*0.1+SUM(D24:D28))*0.25+SUM(D29:D31)</f>
        <v>36.8637857142857</v>
      </c>
      <c r="L25" s="65"/>
    </row>
    <row r="26" spans="1:12">
      <c r="A26" s="19" t="s">
        <v>269</v>
      </c>
      <c r="B26" s="42">
        <v>24</v>
      </c>
      <c r="C26" s="19" t="s">
        <v>270</v>
      </c>
      <c r="D26" s="42">
        <f>8/E7*D7</f>
        <v>4.208</v>
      </c>
      <c r="F26" s="58" t="str">
        <f>'Scent Inventory'!E26</f>
        <v>Honorable Laurel</v>
      </c>
      <c r="G26" s="1"/>
      <c r="H26" s="1">
        <v>488</v>
      </c>
      <c r="I26" s="1"/>
      <c r="J26" s="64">
        <f>((H26*0.5)+SUM(B6:B8))*0.15+(SUM(B12:B16))</f>
        <v>97.9585</v>
      </c>
      <c r="K26" s="65">
        <f>(H26*0.08333+SUM(D24:D28))*0.25+SUM(D29:D31)</f>
        <v>32.2800457142857</v>
      </c>
      <c r="L26" s="65"/>
    </row>
    <row r="27" spans="1:12">
      <c r="A27" s="19" t="s">
        <v>246</v>
      </c>
      <c r="B27" s="42">
        <v>22</v>
      </c>
      <c r="C27" s="19" t="s">
        <v>271</v>
      </c>
      <c r="D27" s="42">
        <f>1/E8*D8</f>
        <v>0.16</v>
      </c>
      <c r="F27" s="58" t="str">
        <f>'Scent Inventory'!E27</f>
        <v>Icerbalitt</v>
      </c>
      <c r="G27" s="1">
        <v>648</v>
      </c>
      <c r="H27" s="1"/>
      <c r="I27" s="1"/>
      <c r="J27" s="64">
        <f>((G27*0.6)+SUM(B6:B8))*0.15+(SUM(B12:B16))</f>
        <v>119.6785</v>
      </c>
      <c r="K27" s="65">
        <f>(G27*0.1+SUM(D24:D28))*0.25+SUM(D29:D31)</f>
        <v>38.3137857142857</v>
      </c>
      <c r="L27" s="65"/>
    </row>
    <row r="28" ht="17.55" spans="1:12">
      <c r="A28" s="19" t="s">
        <v>247</v>
      </c>
      <c r="B28" s="42">
        <v>1.35</v>
      </c>
      <c r="C28" s="19" t="s">
        <v>272</v>
      </c>
      <c r="D28" s="42">
        <f>1/E9*D9</f>
        <v>0.82</v>
      </c>
      <c r="F28" s="58" t="str">
        <f>'Scent Inventory'!E28</f>
        <v>Incorienta Woods</v>
      </c>
      <c r="G28" s="1"/>
      <c r="H28" s="1"/>
      <c r="I28" s="1">
        <v>385</v>
      </c>
      <c r="J28" s="64">
        <f>((I28*0.48)+SUM(B6:B8))*0.15+(SUM(B12:B16))</f>
        <v>89.0785</v>
      </c>
      <c r="K28" s="65">
        <f>(I28*0.08+SUM(D24:D28))*0.25+SUM(D29:D31)</f>
        <v>29.8137857142857</v>
      </c>
      <c r="L28" s="65">
        <f>((I28*0.08)+SUM(B20:B22))*0.5+SUM(B26:B30)</f>
        <v>90.21</v>
      </c>
    </row>
    <row r="29" spans="1:12">
      <c r="A29" s="19" t="s">
        <v>273</v>
      </c>
      <c r="B29" s="42">
        <v>1.2</v>
      </c>
      <c r="C29" s="46" t="s">
        <v>274</v>
      </c>
      <c r="D29" s="47">
        <v>17</v>
      </c>
      <c r="F29" s="58" t="str">
        <f>'Scent Inventory'!E29</f>
        <v>Indispensable</v>
      </c>
      <c r="G29" s="1"/>
      <c r="H29" s="1">
        <v>595</v>
      </c>
      <c r="I29" s="1"/>
      <c r="J29" s="64">
        <f>((H29*0.5)+SUM(B6:B8))*0.15+(SUM(B12:B16))</f>
        <v>105.9835</v>
      </c>
      <c r="K29" s="65">
        <f>(H29*0.08333+SUM(D24:D28))*0.25+SUM(D29:D31)</f>
        <v>34.5091232142857</v>
      </c>
      <c r="L29" s="65" t="e">
        <f>((#REF!*0.16667)+SUM(B20:B22))*0.5+SUM(B26:B30)</f>
        <v>#REF!</v>
      </c>
    </row>
    <row r="30" spans="1:12">
      <c r="A30" s="19" t="s">
        <v>250</v>
      </c>
      <c r="B30" s="42">
        <v>1.89</v>
      </c>
      <c r="C30" s="19" t="s">
        <v>275</v>
      </c>
      <c r="D30" s="42">
        <v>1.35</v>
      </c>
      <c r="F30" s="58" t="str">
        <f>'Scent Inventory'!E30</f>
        <v>Lilium Celestia</v>
      </c>
      <c r="G30" s="1"/>
      <c r="H30" s="1"/>
      <c r="I30" s="1">
        <v>821</v>
      </c>
      <c r="J30" s="64">
        <f>((I30*0.48)+SUM(B6:B8))*0.15+(SUM(B12:B16))</f>
        <v>120.4705</v>
      </c>
      <c r="K30" s="65"/>
      <c r="L30" s="65"/>
    </row>
    <row r="31" ht="17.55" spans="1:12">
      <c r="A31" s="36" t="s">
        <v>276</v>
      </c>
      <c r="B31" s="48">
        <f>SUM(B25:B30)</f>
        <v>99.410492</v>
      </c>
      <c r="C31" s="25" t="s">
        <v>277</v>
      </c>
      <c r="D31" s="43">
        <v>0.79</v>
      </c>
      <c r="E31" s="59" t="s">
        <v>278</v>
      </c>
      <c r="F31" s="58" t="str">
        <f>'Scent Inventory'!E31</f>
        <v>Lotus Drift</v>
      </c>
      <c r="G31" s="1"/>
      <c r="H31" s="1">
        <v>575</v>
      </c>
      <c r="I31" s="1"/>
      <c r="J31" s="64">
        <f>((H31*0.5)+SUM(B6:B8))*0.15+(SUM(B12:B16))</f>
        <v>104.4835</v>
      </c>
      <c r="K31" s="65">
        <f>(H31*0.08333+SUM(D24:D28))*0.25+SUM(D29:D31)</f>
        <v>34.0924732142857</v>
      </c>
      <c r="L31" s="65" t="e">
        <f>((#REF!*0.16667)+SUM(B20:B22))*0.5+SUM(B26:B30)</f>
        <v>#REF!</v>
      </c>
    </row>
    <row r="32" ht="17.55" spans="1:12">
      <c r="A32" s="8" t="s">
        <v>279</v>
      </c>
      <c r="B32" s="27"/>
      <c r="C32" s="36" t="s">
        <v>280</v>
      </c>
      <c r="D32" s="49">
        <f>SUM(D24:D28)*0.25+SUM(D29:D31)</f>
        <v>22.1137857142857</v>
      </c>
      <c r="F32" s="58" t="str">
        <f>'Scent Inventory'!E32</f>
        <v>Lucent Haze</v>
      </c>
      <c r="G32" s="1">
        <v>520</v>
      </c>
      <c r="H32" s="1"/>
      <c r="I32" s="1"/>
      <c r="J32" s="64">
        <f>((G32*0.6)+SUM(B6:B8))*0.15+(SUM(B12:B16))</f>
        <v>108.1585</v>
      </c>
      <c r="K32" s="65">
        <f>(G32*0.1+SUM(D24:D28))*0.25+SUM(D29:D31)</f>
        <v>35.1137857142857</v>
      </c>
      <c r="L32" s="65">
        <f>((H32*0.0833333)+SUM(B20:B22))*0.5+SUM(B26:B30)</f>
        <v>74.81</v>
      </c>
    </row>
    <row r="33" spans="1:12">
      <c r="A33" s="30" t="s">
        <v>242</v>
      </c>
      <c r="B33" s="31">
        <f>B31*0.15</f>
        <v>14.9115738</v>
      </c>
      <c r="F33" s="58" t="str">
        <f>'Scent Inventory'!E33</f>
        <v>Lumberfizz </v>
      </c>
      <c r="G33" s="1">
        <v>720</v>
      </c>
      <c r="H33" s="1"/>
      <c r="I33" s="1"/>
      <c r="J33" s="64">
        <f>((G33*0.6)+SUM(B6:B8))*0.15+(SUM(B12:B16))</f>
        <v>126.1585</v>
      </c>
      <c r="K33" s="65">
        <f>(G33*0.1+SUM(D24:D28))*0.25+SUM(D29:D31)</f>
        <v>40.1137857142857</v>
      </c>
      <c r="L33" s="65"/>
    </row>
    <row r="34" spans="1:12">
      <c r="A34" s="30" t="s">
        <v>244</v>
      </c>
      <c r="B34" s="21">
        <v>23</v>
      </c>
      <c r="C34" s="50"/>
      <c r="D34" s="50"/>
      <c r="F34" s="58" t="str">
        <f>'Scent Inventory'!E34</f>
        <v>Lush Pingrasap</v>
      </c>
      <c r="G34" s="1">
        <v>720</v>
      </c>
      <c r="H34" s="1"/>
      <c r="I34" s="1"/>
      <c r="J34" s="64">
        <f>((G34*0.6)+SUM(B6:B8))*0.15+(SUM(B12:B16))</f>
        <v>126.1585</v>
      </c>
      <c r="K34" s="65">
        <f>(G34*0.1+SUM(D24:D28))*0.25+SUM(D29:D31)</f>
        <v>40.1137857142857</v>
      </c>
      <c r="L34" s="65"/>
    </row>
    <row r="35" spans="1:12">
      <c r="A35" s="30" t="s">
        <v>246</v>
      </c>
      <c r="B35" s="21">
        <v>19</v>
      </c>
      <c r="F35" s="58" t="str">
        <f>'Scent Inventory'!E35</f>
        <v>Maritaroma</v>
      </c>
      <c r="G35" s="1"/>
      <c r="H35" s="1">
        <v>420</v>
      </c>
      <c r="I35" s="1"/>
      <c r="J35" s="64">
        <f>((H35*0.5)+SUM(B6:B8))*0.15+(SUM(B12:B16))</f>
        <v>92.8585</v>
      </c>
      <c r="K35" s="65">
        <f>(H35*0.08333+SUM(D24:D28))*0.25+SUM(D29:D31)</f>
        <v>30.8634357142857</v>
      </c>
      <c r="L35" s="65">
        <f>((H35*0.0833333)+SUM(B20:B22))*0.5+SUM(B26:B30)</f>
        <v>92.309993</v>
      </c>
    </row>
    <row r="36" spans="1:12">
      <c r="A36" s="30" t="s">
        <v>247</v>
      </c>
      <c r="B36" s="21">
        <v>12</v>
      </c>
      <c r="E36" s="59" t="s">
        <v>281</v>
      </c>
      <c r="F36" s="58" t="str">
        <f>'Scent Inventory'!E36</f>
        <v>Noble Aplomb</v>
      </c>
      <c r="G36" s="1"/>
      <c r="H36" s="1">
        <v>645</v>
      </c>
      <c r="I36" s="1"/>
      <c r="J36" s="64">
        <f>((H36*0.5)+SUM(B6:B8))*0.15+(SUM(B12:B16))</f>
        <v>109.7335</v>
      </c>
      <c r="K36" s="65">
        <f>(H36*0.08333+SUM(D24:D28))*0.25+SUM(D29:D31)</f>
        <v>35.5507482142857</v>
      </c>
      <c r="L36" s="65" t="e">
        <f>((#REF!*0.16667)+SUM(B20:B22))*0.5+SUM(B26:B30)</f>
        <v>#REF!</v>
      </c>
    </row>
    <row r="37" spans="1:12">
      <c r="A37" s="30" t="s">
        <v>248</v>
      </c>
      <c r="B37" s="21">
        <v>1.29</v>
      </c>
      <c r="F37" s="58" t="str">
        <f>'Scent Inventory'!E37</f>
        <v>Novel Spirit of Fire</v>
      </c>
      <c r="G37" s="1">
        <v>650</v>
      </c>
      <c r="H37" s="1"/>
      <c r="I37" s="1"/>
      <c r="J37" s="64">
        <f>((G37*0.6)+SUM(B6:B8))*0.15+(SUM(B12:B16))</f>
        <v>119.8585</v>
      </c>
      <c r="K37" s="65">
        <f>(G37*0.1+SUM(D24:D28))*0.25+SUM(D29:D31)</f>
        <v>38.3637857142857</v>
      </c>
      <c r="L37" s="65">
        <f>((I37*0.08)+SUM(B20:B22))*0.5+SUM(B26:B30)</f>
        <v>74.81</v>
      </c>
    </row>
    <row r="38" spans="1:12">
      <c r="A38" s="30" t="s">
        <v>250</v>
      </c>
      <c r="B38" s="21">
        <v>1.3</v>
      </c>
      <c r="F38" s="58" t="str">
        <f>'Scent Inventory'!E38</f>
        <v>Pearanil Wisp</v>
      </c>
      <c r="G38" s="1">
        <v>650</v>
      </c>
      <c r="H38" s="1"/>
      <c r="I38" s="1"/>
      <c r="J38" s="64">
        <f>((G38*0.6)+SUM(B6:B8))*0.15+(SUM(B12:B16))</f>
        <v>119.8585</v>
      </c>
      <c r="K38" s="65">
        <f>(G38*0.1+SUM(D24:D28))*0.25+SUM(D29:D31)</f>
        <v>38.3637857142857</v>
      </c>
      <c r="L38" s="65">
        <f>((G38*0.1)+SUM(B20:B22))*0.5+SUM(B26:B30)</f>
        <v>107.31</v>
      </c>
    </row>
    <row r="39" ht="17.55" spans="1:12">
      <c r="A39" s="36" t="s">
        <v>251</v>
      </c>
      <c r="B39" s="37">
        <f>SUM(B33:B38)</f>
        <v>71.5015738</v>
      </c>
      <c r="F39" s="58" t="str">
        <f>'Scent Inventory'!E39</f>
        <v>Peostachio Airs</v>
      </c>
      <c r="G39" s="1"/>
      <c r="H39" s="1">
        <v>495</v>
      </c>
      <c r="I39" s="1"/>
      <c r="J39" s="64">
        <f>((H39*0.5)+SUM(B6:B8))*0.15+(SUM(B12:B16))</f>
        <v>98.4835</v>
      </c>
      <c r="K39" s="65">
        <f>(H39*0.08333+SUM(D24:D28))*0.25+SUM(D29:D31)</f>
        <v>32.4258732142857</v>
      </c>
      <c r="L39" s="65"/>
    </row>
    <row r="40" spans="6:12">
      <c r="F40" s="58" t="str">
        <f>'Scent Inventory'!E40</f>
        <v>Pillar of Gusaco</v>
      </c>
      <c r="G40" s="1">
        <v>520</v>
      </c>
      <c r="H40" s="1"/>
      <c r="I40" s="1"/>
      <c r="J40" s="64">
        <f>((G40*0.6)+SUM(B6:B8))*0.15+(SUM(B12:B16))</f>
        <v>108.1585</v>
      </c>
      <c r="K40" s="65">
        <f>(G40*0.1+SUM(D24:D28))*0.25+SUM(D29:D31)</f>
        <v>35.1137857142857</v>
      </c>
      <c r="L40" s="65"/>
    </row>
    <row r="41" spans="6:12">
      <c r="F41" s="58" t="str">
        <f>'Scent Inventory'!E41</f>
        <v>Royal Musketeer</v>
      </c>
      <c r="G41" s="1"/>
      <c r="H41" s="1">
        <v>550</v>
      </c>
      <c r="I41" s="1"/>
      <c r="J41" s="64">
        <f>((H41*0.5)+SUM(B6:B8))*0.15+(SUM(B12:B16))</f>
        <v>102.6085</v>
      </c>
      <c r="K41" s="65">
        <f>(H41*0.08333+SUM(D24:D28))*0.25+SUM(D29:D31)</f>
        <v>33.5716607142857</v>
      </c>
      <c r="L41" s="65"/>
    </row>
    <row r="42" spans="6:12">
      <c r="F42" s="58" t="str">
        <f>'Scent Inventory'!E42</f>
        <v>Royal Zingiber</v>
      </c>
      <c r="G42" s="1"/>
      <c r="H42" s="1">
        <v>590</v>
      </c>
      <c r="I42" s="1"/>
      <c r="J42" s="64">
        <f>((H42*0.5)+SUM(B6:B8))*0.15+(SUM(B12:B16))</f>
        <v>105.6085</v>
      </c>
      <c r="K42" s="65"/>
      <c r="L42" s="65"/>
    </row>
    <row r="43" spans="6:12">
      <c r="F43" s="58" t="str">
        <f>'Scent Inventory'!E43</f>
        <v>Saccharine Dew</v>
      </c>
      <c r="G43" s="1">
        <v>460</v>
      </c>
      <c r="H43" s="1"/>
      <c r="I43" s="1"/>
      <c r="J43" s="64">
        <f>((G43*0.6)+SUM(B6:B8))*0.15+(SUM(B12:B16))</f>
        <v>102.7585</v>
      </c>
      <c r="K43" s="65">
        <f>(G43*0.1+SUM(D24:D28))*0.25+SUM(D29:D31)</f>
        <v>33.6137857142857</v>
      </c>
      <c r="L43" s="65"/>
    </row>
    <row r="44" spans="6:12">
      <c r="F44" s="58" t="str">
        <f>'Scent Inventory'!E44</f>
        <v>Savocao Manna</v>
      </c>
      <c r="G44" s="60">
        <v>460</v>
      </c>
      <c r="H44" s="1"/>
      <c r="I44" s="1"/>
      <c r="J44" s="64">
        <f>((G44*0.6)+SUM(B6:B8))*0.15+(SUM(B12:B16))</f>
        <v>102.7585</v>
      </c>
      <c r="K44" s="65">
        <f>(G44*0.1+SUM(D24:D28))*0.25+SUM(D29:D31)</f>
        <v>33.6137857142857</v>
      </c>
      <c r="L44" s="65"/>
    </row>
    <row r="45" spans="6:12">
      <c r="F45" s="58" t="str">
        <f>'Scent Inventory'!E45</f>
        <v>Sentir La Crème</v>
      </c>
      <c r="G45" s="1">
        <v>520</v>
      </c>
      <c r="H45" s="1"/>
      <c r="I45" s="1"/>
      <c r="J45" s="64">
        <f>((G45*0.6)+SUM(B6:B8))*0.15+(SUM(B12:B16))</f>
        <v>108.1585</v>
      </c>
      <c r="K45" s="65">
        <f>(G45*0.1+SUM(D24:D28))*0.25+SUM(D29:D31)</f>
        <v>35.1137857142857</v>
      </c>
      <c r="L45" s="65">
        <f>((G45*0.1)+SUM(B20:B22))*0.5+SUM(B26:B30)</f>
        <v>100.81</v>
      </c>
    </row>
    <row r="46" spans="6:12">
      <c r="F46" s="58" t="str">
        <f>'Scent Inventory'!E46</f>
        <v>Shadow Orchids</v>
      </c>
      <c r="G46" s="1">
        <v>460</v>
      </c>
      <c r="H46" s="1"/>
      <c r="I46" s="1"/>
      <c r="J46" s="64">
        <f>((G46*0.6)+SUM(B6:B8))*0.15+(SUM(B12:B16))</f>
        <v>102.7585</v>
      </c>
      <c r="K46" s="65">
        <f>(G46*0.1+SUM(D24:D28))*0.25+SUM(D29:D31)</f>
        <v>33.6137857142857</v>
      </c>
      <c r="L46" s="65"/>
    </row>
    <row r="47" spans="6:12">
      <c r="F47" s="58" t="str">
        <f>'Scent Inventory'!E47</f>
        <v>Snow Crystal Gust</v>
      </c>
      <c r="G47" s="1">
        <v>520</v>
      </c>
      <c r="H47" s="1"/>
      <c r="I47" s="1"/>
      <c r="J47" s="64">
        <f>((G47*0.6)+SUM(B6:B8))*0.15+(SUM(B12:B16))</f>
        <v>108.1585</v>
      </c>
      <c r="K47" s="65">
        <f>(G47*0.1+SUM(D24:D28))*0.25+SUM(D29:D31)</f>
        <v>35.1137857142857</v>
      </c>
      <c r="L47" s="65"/>
    </row>
    <row r="48" spans="6:12">
      <c r="F48" s="58" t="str">
        <f>'Scent Inventory'!E48</f>
        <v>Solanzoin</v>
      </c>
      <c r="G48" s="1">
        <v>460</v>
      </c>
      <c r="H48" s="1"/>
      <c r="I48" s="1"/>
      <c r="J48" s="64">
        <f>((G48*0.6)+SUM(B6:B8))*0.15+(SUM(B12:B16))</f>
        <v>102.7585</v>
      </c>
      <c r="K48" s="65">
        <f>(G48*0.1+SUM(D24:D28))*0.25+SUM(D29:D31)</f>
        <v>33.6137857142857</v>
      </c>
      <c r="L48" s="65">
        <f>((G48*0.1)+SUM(B20:B22))*0.5+SUM(B26:B30)</f>
        <v>97.81</v>
      </c>
    </row>
    <row r="49" spans="6:12">
      <c r="F49" s="58" t="str">
        <f>'Scent Inventory'!E49</f>
        <v>Staracton</v>
      </c>
      <c r="G49" s="1"/>
      <c r="H49" s="1">
        <v>520</v>
      </c>
      <c r="I49" s="1"/>
      <c r="J49" s="64">
        <f>((H49*0.5)+SUM(B6:B8))*0.15+(SUM(B12:B16))</f>
        <v>100.3585</v>
      </c>
      <c r="K49" s="65"/>
      <c r="L49" s="65"/>
    </row>
    <row r="50" spans="6:12">
      <c r="F50" s="58" t="str">
        <f>'Scent Inventory'!E50</f>
        <v>Sunrise Relic</v>
      </c>
      <c r="G50" s="1"/>
      <c r="H50" s="1">
        <v>590</v>
      </c>
      <c r="I50" s="1"/>
      <c r="J50" s="64">
        <f>((H50*0.5)+SUM(B6:B8))*0.15+(SUM(B12:B16))</f>
        <v>105.6085</v>
      </c>
      <c r="K50" s="65"/>
      <c r="L50" s="65"/>
    </row>
    <row r="51" spans="6:12">
      <c r="F51" s="58" t="str">
        <f>'Scent Inventory'!E51</f>
        <v>Sunset Relic</v>
      </c>
      <c r="G51" s="1"/>
      <c r="H51" s="61">
        <v>525</v>
      </c>
      <c r="I51" s="1"/>
      <c r="J51" s="64">
        <f>((H51*0.5)+SUM(B6:B8))*0.15+(SUM(B12:B16))</f>
        <v>100.7335</v>
      </c>
      <c r="K51" s="65"/>
      <c r="L51" s="65"/>
    </row>
    <row r="52" spans="6:12">
      <c r="F52" s="58" t="str">
        <f>'Scent Inventory'!E52</f>
        <v>Surf &amp; Dive</v>
      </c>
      <c r="G52" s="1">
        <v>590</v>
      </c>
      <c r="H52" s="1"/>
      <c r="I52" s="1"/>
      <c r="J52" s="64">
        <f>((G52*0.6)+SUM(B6:B8))*0.15+(SUM(B12:B16))</f>
        <v>114.4585</v>
      </c>
      <c r="K52" s="65">
        <f>(G52*0.1+SUM(D24:D28))*0.25+SUM(D29:D31)</f>
        <v>36.8637857142857</v>
      </c>
      <c r="L52" s="65"/>
    </row>
    <row r="53" spans="6:12">
      <c r="F53" s="58" t="str">
        <f>'Scent Inventory'!E53</f>
        <v>Sylvan Free Rein</v>
      </c>
      <c r="G53" s="1">
        <v>460</v>
      </c>
      <c r="H53" s="1"/>
      <c r="I53" s="50"/>
      <c r="J53" s="64">
        <f>((G53*0.6)+SUM(B6:B8))*0.15+(SUM(B12:B16))</f>
        <v>102.7585</v>
      </c>
      <c r="K53" s="65">
        <f>(G53*0.1+SUM(D24:D28))*0.25+SUM(D29:D31)</f>
        <v>33.6137857142857</v>
      </c>
      <c r="L53" s="65">
        <f>((I53*0.08)+SUM(B20:B22))*0.5+SUM(B26:B30)</f>
        <v>74.81</v>
      </c>
    </row>
    <row r="54" spans="6:12">
      <c r="F54" s="58" t="str">
        <f>'Scent Inventory'!E54</f>
        <v>Tealotoz Coast</v>
      </c>
      <c r="G54" s="1">
        <v>520</v>
      </c>
      <c r="H54" s="1"/>
      <c r="I54" s="1"/>
      <c r="J54" s="64">
        <f>((G54*0.6)+SUM(B6:B8))*0.15+(SUM(B12:B16))</f>
        <v>108.1585</v>
      </c>
      <c r="K54" s="65">
        <f>(G54*0.1+SUM(D24:D28))*0.25+SUM(D29:D31)</f>
        <v>35.1137857142857</v>
      </c>
      <c r="L54" s="65">
        <f>((H54*0.0833333)+SUM(B20:B22))*0.5+SUM(B26:B30)</f>
        <v>74.81</v>
      </c>
    </row>
    <row r="55" spans="6:12">
      <c r="F55" s="58" t="str">
        <f>'Scent Inventory'!E55</f>
        <v>The Beloved</v>
      </c>
      <c r="G55" s="1"/>
      <c r="H55" s="1"/>
      <c r="I55" s="1">
        <v>813</v>
      </c>
      <c r="J55" s="64">
        <f>((I55*0.48)+SUM(B6:B8))*0.15+(SUM(B12:B16))</f>
        <v>119.8945</v>
      </c>
      <c r="K55" s="65">
        <f>(I55*0.08+SUM(D24:D28))*0.25+SUM(D29:D31)</f>
        <v>38.3737857142857</v>
      </c>
      <c r="L55" s="65">
        <f>((I55*0.08)+SUM(B20:B22))*0.5+SUM(B26:B30)</f>
        <v>107.33</v>
      </c>
    </row>
    <row r="56" spans="6:12">
      <c r="F56" s="58" t="str">
        <f>'Scent Inventory'!E56</f>
        <v>The Contained</v>
      </c>
      <c r="G56" s="1">
        <v>590</v>
      </c>
      <c r="H56" s="1"/>
      <c r="I56" s="1"/>
      <c r="J56" s="64">
        <f>((G56*0.6)+SUM(B6:B8))*0.15+(SUM(B12:B16))</f>
        <v>114.4585</v>
      </c>
      <c r="K56" s="65">
        <f>(G56*0.1+SUM(D24:D28))*0.25+SUM(D29:D31)</f>
        <v>36.8637857142857</v>
      </c>
      <c r="L56" s="65"/>
    </row>
    <row r="57" spans="6:12">
      <c r="F57" s="58" t="str">
        <f>'Scent Inventory'!E57</f>
        <v>The Unchained</v>
      </c>
      <c r="G57" s="1">
        <v>590</v>
      </c>
      <c r="H57" s="1"/>
      <c r="I57" s="1"/>
      <c r="J57" s="64">
        <f>((G57*0.6)+SUM(B6:B8))*0.15+(SUM(B12:B16))</f>
        <v>114.4585</v>
      </c>
      <c r="K57" s="65">
        <f>(G57*0.1+SUM(D24:D28))*0.25+SUM(D29:D31)</f>
        <v>36.8637857142857</v>
      </c>
      <c r="L57" s="65">
        <f>((G57*0.1)+SUM(B20:B22))*0.5+SUM(B26:B30)</f>
        <v>104.31</v>
      </c>
    </row>
    <row r="58" spans="6:12">
      <c r="F58" s="58" t="str">
        <f>'Scent Inventory'!E58</f>
        <v>Thornberry</v>
      </c>
      <c r="G58" s="1"/>
      <c r="H58" s="1">
        <v>520</v>
      </c>
      <c r="I58" s="1"/>
      <c r="J58" s="64">
        <f>((H58*0.5)+SUM(B6:B8))*0.15+(SUM(B12:B16))</f>
        <v>100.3585</v>
      </c>
      <c r="K58" s="65"/>
      <c r="L58" s="65"/>
    </row>
    <row r="59" spans="6:12">
      <c r="F59" s="58" t="str">
        <f>'Scent Inventory'!E59</f>
        <v>Treats &amp; Twigs</v>
      </c>
      <c r="G59" s="1"/>
      <c r="H59" s="1"/>
      <c r="I59" s="1">
        <v>1333</v>
      </c>
      <c r="J59" s="64">
        <f>((I59*0.48)+SUM(B6:B8))*0.15+(SUM(B12:B16))</f>
        <v>157.3345</v>
      </c>
      <c r="K59" s="65">
        <f>(I59*0.08+SUM(D24:D28))*0.25+SUM(D29:D31)</f>
        <v>48.7737857142857</v>
      </c>
      <c r="L59" s="65"/>
    </row>
    <row r="60" spans="6:12">
      <c r="F60" s="58" t="str">
        <f>'Scent Inventory'!E60</f>
        <v>Trent Forest Fumes</v>
      </c>
      <c r="G60" s="1"/>
      <c r="H60" s="1"/>
      <c r="I60" s="1">
        <v>1231</v>
      </c>
      <c r="J60" s="64">
        <f>((I60*0.48)+SUM(B6:B8))*0.15+(SUM(B12:B16))</f>
        <v>149.9905</v>
      </c>
      <c r="K60" s="65">
        <f>(I60*0.08+SUM(D24:D28))*0.25+SUM(D29:D31)</f>
        <v>46.7337857142857</v>
      </c>
      <c r="L60" s="65"/>
    </row>
    <row r="61" spans="6:12">
      <c r="F61" s="58" t="str">
        <f>'Scent Inventory'!E61</f>
        <v>Tulipoise</v>
      </c>
      <c r="G61" s="1"/>
      <c r="H61" s="1"/>
      <c r="I61" s="50">
        <v>438</v>
      </c>
      <c r="J61" s="64">
        <f>((I61*0.48)+SUM(B6:B8))*0.15+(SUM(B12:B16))</f>
        <v>92.8945</v>
      </c>
      <c r="K61" s="65">
        <f>(I61*0.08+SUM(D24:D28))*0.25+SUM(D29:D31)</f>
        <v>30.8737857142857</v>
      </c>
      <c r="L61" s="65">
        <f>((I61*0.08)+SUM(B20:B22))*0.5+SUM(B26:B30)</f>
        <v>92.33</v>
      </c>
    </row>
    <row r="62" spans="6:12">
      <c r="F62" s="58" t="str">
        <f>'Scent Inventory'!E62</f>
        <v>Tundrabare</v>
      </c>
      <c r="G62" s="1"/>
      <c r="H62" s="1"/>
      <c r="I62" s="1">
        <v>1203</v>
      </c>
      <c r="J62" s="64">
        <f>((I62*0.48)+SUM(B6:B8))*0.15+(SUM(B12:B16))</f>
        <v>147.9745</v>
      </c>
      <c r="K62" s="65">
        <f>(I62*0.08+SUM(D24:D28))*0.25+SUM(D29:D31)</f>
        <v>46.1737857142857</v>
      </c>
      <c r="L62" s="65">
        <f>((I62*0.08)+SUM(B20:B22))*0.5+SUM(B26:B30)</f>
        <v>122.93</v>
      </c>
    </row>
    <row r="63" spans="6:12">
      <c r="F63" s="58" t="str">
        <f>'Scent Inventory'!E63</f>
        <v>Umbra Swathe</v>
      </c>
      <c r="G63" s="1">
        <v>590</v>
      </c>
      <c r="H63" s="1"/>
      <c r="I63" s="1"/>
      <c r="J63" s="64">
        <f>((G63*0.6)+SUM(B6:B8))*0.15+(SUM(B12:B16))</f>
        <v>114.4585</v>
      </c>
      <c r="K63" s="65">
        <f>(G63*0.1+SUM(D24:D28))*0.25+SUM(D29:D31)</f>
        <v>36.8637857142857</v>
      </c>
      <c r="L63" s="65">
        <f>((H63*0.0833333)+SUM(B20:B22))*0.5+SUM(B26:B30)</f>
        <v>74.81</v>
      </c>
    </row>
    <row r="64" spans="6:12">
      <c r="F64" s="58" t="str">
        <f>'Scent Inventory'!E64</f>
        <v>Velvet Bouquet</v>
      </c>
      <c r="G64" s="1"/>
      <c r="H64" s="1">
        <v>465</v>
      </c>
      <c r="I64" s="1"/>
      <c r="J64" s="64">
        <f>(H64*0.5+SUM(B6:B8))*0.15+(SUM(B12:B16))</f>
        <v>96.2335</v>
      </c>
      <c r="K64" s="65">
        <f>(H64*0.08333+SUM(D24:D28))*0.25+SUM(D29:D31)</f>
        <v>31.8008982142857</v>
      </c>
      <c r="L64" s="65">
        <f>((H64*0.0833333)+SUM(B20:B22))*0.5+SUM(B26:B30)</f>
        <v>94.18499225</v>
      </c>
    </row>
    <row r="65" spans="6:12">
      <c r="F65" s="58" t="str">
        <f>'Scent Inventory'!E65</f>
        <v>War of Resins</v>
      </c>
      <c r="G65" s="1">
        <v>520</v>
      </c>
      <c r="H65" s="1"/>
      <c r="I65" s="1"/>
      <c r="J65" s="64">
        <f>((G65*0.6)+SUM(B6:B8))*0.15+(SUM(B12:B16))</f>
        <v>108.1585</v>
      </c>
      <c r="K65" s="65">
        <f>(G65*0.1+SUM(D24:D28))*0.25+SUM(D29:D31)</f>
        <v>35.1137857142857</v>
      </c>
      <c r="L65" s="65"/>
    </row>
    <row r="66" spans="6:12">
      <c r="F66" s="58" t="str">
        <f>'Scent Inventory'!E66</f>
        <v>Weekly Yawn</v>
      </c>
      <c r="G66" s="1">
        <v>780</v>
      </c>
      <c r="H66" s="1"/>
      <c r="I66" s="1"/>
      <c r="J66" s="64">
        <f>((G66*0.6)+SUM(B6:B8))*0.15+(SUM(B12:B16))</f>
        <v>131.5585</v>
      </c>
      <c r="K66" s="65">
        <f>(G66*0.1+SUM(D24:D28))*0.25+SUM(D29:D31)</f>
        <v>41.6137857142857</v>
      </c>
      <c r="L66" s="65">
        <f>((G66*0.1)+SUM(B20:B22))*0.5+SUM(B26:B30)</f>
        <v>113.81</v>
      </c>
    </row>
    <row r="67" spans="6:12">
      <c r="F67" s="58" t="str">
        <f>'Scent Inventory'!E67</f>
        <v>Welkin Pearl</v>
      </c>
      <c r="G67" s="1"/>
      <c r="H67" s="1"/>
      <c r="I67" s="50">
        <v>367</v>
      </c>
      <c r="J67" s="64">
        <f>((I67*0.48)+SUM(B6:B8))*0.15+(SUM(B12:B16))</f>
        <v>87.7825</v>
      </c>
      <c r="K67" s="65">
        <f>(I67*0.08+SUM(D24:D28))*0.25+SUM(D29:D31)</f>
        <v>29.4537857142857</v>
      </c>
      <c r="L67" s="65">
        <f>((I67*0.08)+SUM(B20:B22))*0.5+SUM(B26:B30)</f>
        <v>89.49</v>
      </c>
    </row>
    <row r="68" spans="6:12">
      <c r="F68" s="58" t="str">
        <f>'Scent Inventory'!E68</f>
        <v>Windsparks</v>
      </c>
      <c r="G68" s="1"/>
      <c r="H68" s="1">
        <v>595</v>
      </c>
      <c r="I68" s="1"/>
      <c r="J68" s="64">
        <f>((H68*0.5)+SUM(B6:B8))*0.15+(SUM(B12:B16))</f>
        <v>105.9835</v>
      </c>
      <c r="K68" s="65">
        <f>(H68*0.08333+SUM(D24:D28))*0.25+SUM(D29:D31)</f>
        <v>34.5091232142857</v>
      </c>
      <c r="L68" s="65" t="e">
        <f>((#REF!*0.16667)+SUM(B20:B22))*0.5+SUM(B26:B30)</f>
        <v>#REF!</v>
      </c>
    </row>
    <row r="69" spans="6:12">
      <c r="F69" s="58" t="str">
        <f>'Scent Inventory'!E69</f>
        <v>Winterglare</v>
      </c>
      <c r="H69" s="1"/>
      <c r="I69" s="1">
        <v>886</v>
      </c>
      <c r="J69" s="64">
        <f>((I69*0.48)+SUM(B6:B8))*0.15+(SUM(B12:B16))</f>
        <v>125.1505</v>
      </c>
      <c r="K69" s="65">
        <f>(I69*0.08+SUM(D24:D28))*0.25+SUM(D29:D31)</f>
        <v>39.8337857142857</v>
      </c>
      <c r="L69" s="65">
        <f>((I69*0.08)+SUM(B20:B22))*0.5+SUM(B26:B30)</f>
        <v>110.25</v>
      </c>
    </row>
    <row r="70" spans="6:12">
      <c r="F70" s="58" t="str">
        <f>'Scent Inventory'!E70</f>
        <v>Zenith Essence</v>
      </c>
      <c r="G70" s="1"/>
      <c r="H70" s="1">
        <v>595</v>
      </c>
      <c r="I70" s="1"/>
      <c r="J70" s="64">
        <f>((H70*0.5)+SUM(B6:B8))*0.15+(SUM(B12:B16))</f>
        <v>105.9835</v>
      </c>
      <c r="K70" s="65">
        <f>(H70*0.08333+SUM(D24:D28))*0.25+SUM(D29:D31)</f>
        <v>34.5091232142857</v>
      </c>
      <c r="L70" s="65" t="e">
        <f>((#REF!*0.16667)+SUM(B20:B22))*0.5+SUM(B26:B30)</f>
        <v>#REF!</v>
      </c>
    </row>
    <row r="71" spans="6:6">
      <c r="F71" s="58"/>
    </row>
  </sheetData>
  <mergeCells count="9">
    <mergeCell ref="A4:B4"/>
    <mergeCell ref="A10:B10"/>
    <mergeCell ref="C10:D10"/>
    <mergeCell ref="A18:B18"/>
    <mergeCell ref="C18:D18"/>
    <mergeCell ref="C22:D22"/>
    <mergeCell ref="A24:B24"/>
    <mergeCell ref="A32:B32"/>
    <mergeCell ref="B2:B3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3"/>
  <sheetViews>
    <sheetView workbookViewId="0">
      <selection activeCell="B26" sqref="B26"/>
    </sheetView>
  </sheetViews>
  <sheetFormatPr defaultColWidth="8.84375" defaultRowHeight="16.8" outlineLevelCol="4"/>
  <cols>
    <col min="1" max="1" width="6.6328125" style="1" customWidth="1"/>
    <col min="2" max="2" width="26.84375" style="2" customWidth="1"/>
    <col min="3" max="3" width="19.5234375" style="2" customWidth="1"/>
    <col min="4" max="4" width="6.4765625" style="2" customWidth="1"/>
    <col min="5" max="5" width="19.5234375" style="3" customWidth="1"/>
  </cols>
  <sheetData>
    <row r="1" spans="1:5">
      <c r="A1" s="4" t="s">
        <v>282</v>
      </c>
      <c r="B1" s="4" t="s">
        <v>283</v>
      </c>
      <c r="C1" s="4" t="s">
        <v>284</v>
      </c>
      <c r="D1" s="4" t="s">
        <v>285</v>
      </c>
      <c r="E1" s="6" t="s">
        <v>286</v>
      </c>
    </row>
    <row r="2" spans="1:5">
      <c r="A2" s="1">
        <v>1</v>
      </c>
      <c r="B2" s="2" t="s">
        <v>287</v>
      </c>
      <c r="C2" s="2">
        <v>6000</v>
      </c>
      <c r="D2" s="2" t="s">
        <v>288</v>
      </c>
      <c r="E2" s="3">
        <v>1050</v>
      </c>
    </row>
    <row r="3" spans="1:5">
      <c r="A3" s="1">
        <v>1</v>
      </c>
      <c r="B3" s="2" t="s">
        <v>289</v>
      </c>
      <c r="C3" s="2">
        <v>1000</v>
      </c>
      <c r="D3" s="2" t="s">
        <v>288</v>
      </c>
      <c r="E3" s="3">
        <v>380</v>
      </c>
    </row>
    <row r="4" spans="1:5">
      <c r="A4" s="1">
        <v>1</v>
      </c>
      <c r="B4" s="2" t="s">
        <v>290</v>
      </c>
      <c r="C4" s="2">
        <v>500</v>
      </c>
      <c r="D4" s="2" t="s">
        <v>288</v>
      </c>
      <c r="E4" s="3">
        <v>247</v>
      </c>
    </row>
    <row r="5" spans="1:5">
      <c r="A5" s="1">
        <v>1</v>
      </c>
      <c r="B5" s="2" t="s">
        <v>291</v>
      </c>
      <c r="C5" s="2">
        <v>120</v>
      </c>
      <c r="D5" s="2" t="s">
        <v>288</v>
      </c>
      <c r="E5" s="3">
        <v>645</v>
      </c>
    </row>
    <row r="6" spans="1:5">
      <c r="A6" s="1">
        <v>1</v>
      </c>
      <c r="B6" s="2" t="s">
        <v>292</v>
      </c>
      <c r="C6" s="2">
        <v>120</v>
      </c>
      <c r="D6" s="2" t="s">
        <v>288</v>
      </c>
      <c r="E6" s="3">
        <v>595</v>
      </c>
    </row>
    <row r="7" spans="1:5">
      <c r="A7" s="1">
        <v>1</v>
      </c>
      <c r="B7" s="2" t="s">
        <v>293</v>
      </c>
      <c r="C7" s="2">
        <v>120</v>
      </c>
      <c r="D7" s="2" t="s">
        <v>288</v>
      </c>
      <c r="E7" s="3">
        <v>595</v>
      </c>
    </row>
    <row r="8" spans="1:5">
      <c r="A8" s="1">
        <v>1</v>
      </c>
      <c r="B8" s="2" t="s">
        <v>294</v>
      </c>
      <c r="C8" s="2">
        <v>120</v>
      </c>
      <c r="D8" s="2" t="s">
        <v>288</v>
      </c>
      <c r="E8" s="3">
        <v>575</v>
      </c>
    </row>
    <row r="9" spans="1:5">
      <c r="A9" s="1">
        <v>1</v>
      </c>
      <c r="B9" s="2" t="s">
        <v>295</v>
      </c>
      <c r="C9" s="2">
        <v>120</v>
      </c>
      <c r="D9" s="2" t="s">
        <v>288</v>
      </c>
      <c r="E9" s="3">
        <v>473</v>
      </c>
    </row>
    <row r="10" spans="1:5">
      <c r="A10" s="1">
        <v>1</v>
      </c>
      <c r="B10" s="5" t="s">
        <v>296</v>
      </c>
      <c r="C10" s="2">
        <v>100</v>
      </c>
      <c r="D10" s="2" t="s">
        <v>288</v>
      </c>
      <c r="E10" s="3">
        <v>720</v>
      </c>
    </row>
    <row r="11" spans="1:5">
      <c r="A11" s="1">
        <v>1</v>
      </c>
      <c r="B11" s="5" t="s">
        <v>297</v>
      </c>
      <c r="C11" s="2">
        <v>100</v>
      </c>
      <c r="D11" s="2" t="s">
        <v>288</v>
      </c>
      <c r="E11" s="3">
        <v>650</v>
      </c>
    </row>
    <row r="12" spans="1:5">
      <c r="A12" s="1">
        <v>1</v>
      </c>
      <c r="B12" s="5" t="s">
        <v>298</v>
      </c>
      <c r="C12" s="2">
        <v>100</v>
      </c>
      <c r="D12" s="2" t="s">
        <v>288</v>
      </c>
      <c r="E12" s="3">
        <v>590</v>
      </c>
    </row>
    <row r="13" spans="1:5">
      <c r="A13" s="1">
        <v>1</v>
      </c>
      <c r="B13" s="5" t="s">
        <v>299</v>
      </c>
      <c r="C13" s="2">
        <v>100</v>
      </c>
      <c r="D13" s="2" t="s">
        <v>288</v>
      </c>
      <c r="E13" s="3">
        <v>590</v>
      </c>
    </row>
    <row r="14" spans="1:5">
      <c r="A14" s="1">
        <v>1</v>
      </c>
      <c r="B14" s="5" t="s">
        <v>300</v>
      </c>
      <c r="C14" s="2">
        <v>100</v>
      </c>
      <c r="D14" s="2" t="s">
        <v>288</v>
      </c>
      <c r="E14" s="3">
        <v>520</v>
      </c>
    </row>
    <row r="15" spans="1:5">
      <c r="A15" s="1">
        <v>1</v>
      </c>
      <c r="B15" s="5" t="s">
        <v>301</v>
      </c>
      <c r="C15" s="2">
        <v>100</v>
      </c>
      <c r="D15" s="2" t="s">
        <v>288</v>
      </c>
      <c r="E15" s="3">
        <v>520</v>
      </c>
    </row>
    <row r="16" spans="1:5">
      <c r="A16" s="1">
        <v>1</v>
      </c>
      <c r="B16" s="5" t="s">
        <v>302</v>
      </c>
      <c r="C16" s="2">
        <v>100</v>
      </c>
      <c r="D16" s="2" t="s">
        <v>288</v>
      </c>
      <c r="E16" s="3">
        <v>520</v>
      </c>
    </row>
    <row r="17" spans="1:5">
      <c r="A17" s="1">
        <v>1</v>
      </c>
      <c r="B17" s="5" t="s">
        <v>303</v>
      </c>
      <c r="C17" s="2">
        <v>100</v>
      </c>
      <c r="D17" s="2" t="s">
        <v>288</v>
      </c>
      <c r="E17" s="3">
        <v>460</v>
      </c>
    </row>
    <row r="18" spans="1:5">
      <c r="A18" s="1">
        <v>1</v>
      </c>
      <c r="B18" s="2" t="s">
        <v>304</v>
      </c>
      <c r="C18" s="2">
        <v>8</v>
      </c>
      <c r="D18" s="2" t="s">
        <v>305</v>
      </c>
      <c r="E18" s="3">
        <v>1840</v>
      </c>
    </row>
    <row r="19" spans="1:5">
      <c r="A19" s="1">
        <v>1</v>
      </c>
      <c r="B19" s="2" t="s">
        <v>306</v>
      </c>
      <c r="C19" s="2">
        <v>78</v>
      </c>
      <c r="D19" s="2" t="s">
        <v>305</v>
      </c>
      <c r="E19" s="3">
        <v>1482</v>
      </c>
    </row>
    <row r="20" spans="1:5">
      <c r="A20" s="1">
        <v>1</v>
      </c>
      <c r="B20" s="2" t="s">
        <v>307</v>
      </c>
      <c r="C20" s="2">
        <v>200</v>
      </c>
      <c r="D20" s="2" t="s">
        <v>305</v>
      </c>
      <c r="E20" s="3">
        <v>158</v>
      </c>
    </row>
    <row r="21" spans="1:5">
      <c r="A21" s="1">
        <v>2</v>
      </c>
      <c r="B21" s="2" t="s">
        <v>304</v>
      </c>
      <c r="C21" s="2">
        <v>3</v>
      </c>
      <c r="D21" s="2" t="s">
        <v>305</v>
      </c>
      <c r="E21" s="3">
        <v>690</v>
      </c>
    </row>
    <row r="22" spans="1:5">
      <c r="A22" s="1">
        <v>2</v>
      </c>
      <c r="B22" s="2" t="s">
        <v>308</v>
      </c>
      <c r="C22" s="2">
        <v>5</v>
      </c>
      <c r="D22" s="2" t="s">
        <v>305</v>
      </c>
      <c r="E22" s="3">
        <v>250</v>
      </c>
    </row>
    <row r="23" spans="1:5">
      <c r="A23" s="1">
        <v>2</v>
      </c>
      <c r="B23" s="2" t="s">
        <v>309</v>
      </c>
      <c r="C23" s="2">
        <v>392</v>
      </c>
      <c r="D23" s="2" t="s">
        <v>305</v>
      </c>
      <c r="E23" s="3">
        <v>644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Scent Inventory</vt:lpstr>
      <vt:lpstr>Cost Calculator</vt:lpstr>
      <vt:lpstr>Batch Supplies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JAZ</dc:creator>
  <cp:lastModifiedBy>jhevy</cp:lastModifiedBy>
  <dcterms:created xsi:type="dcterms:W3CDTF">2024-04-05T22:19:00Z</dcterms:created>
  <dcterms:modified xsi:type="dcterms:W3CDTF">2024-10-18T22:11:47Z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2CA5477FAA1849629C7CC76FBB34EA36_11</vt:lpwstr>
  </property>
  <property fmtid="{D5CDD505-2E9C-101B-9397-08002B2CF9AE}" pid="3" name="KSOProductBuildVer">
    <vt:lpwstr>1033-6.10.1.8203</vt:lpwstr>
  </property>
</Properties>
</file>