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ao1" sheetId="1" r:id="rId3"/>
    <sheet state="visible" name="Questao2" sheetId="2" r:id="rId4"/>
    <sheet state="visible" name="Questao3" sheetId="3" r:id="rId5"/>
    <sheet state="visible" name="Questao4" sheetId="4" r:id="rId6"/>
    <sheet state="visible" name="Questao5" sheetId="5" r:id="rId7"/>
    <sheet state="visible" name="Questao6" sheetId="6" r:id="rId8"/>
    <sheet state="visible" name="Questao7" sheetId="7" r:id="rId9"/>
    <sheet state="visible" name="Questao8" sheetId="8" r:id="rId10"/>
    <sheet state="visible" name="Pivot Table 2" sheetId="9" r:id="rId11"/>
  </sheets>
  <definedNames>
    <definedName name="codigo">Questao7!$C$2</definedName>
  </definedNames>
  <calcPr/>
  <pivotCaches>
    <pivotCache cacheId="0" r:id="rId12"/>
  </pivotCaches>
  <extLst>
    <ext uri="GoogleSheetsCustomDataVersion1">
      <go:sheetsCustomData xmlns:go="http://customooxmlschemas.google.com/" r:id="rId13" roundtripDataSignature="AMtx7mgsWJQohoylxQ5wc/MnGiWL3y/drA=="/>
    </ext>
  </extLst>
</workbook>
</file>

<file path=xl/sharedStrings.xml><?xml version="1.0" encoding="utf-8"?>
<sst xmlns="http://schemas.openxmlformats.org/spreadsheetml/2006/main" count="477" uniqueCount="194">
  <si>
    <t>Contribuição voluntária para Festa Junina</t>
  </si>
  <si>
    <t>PRODUTO</t>
  </si>
  <si>
    <t>Controle de Despesas</t>
  </si>
  <si>
    <t>Nome</t>
  </si>
  <si>
    <t>QUANTIDADE</t>
  </si>
  <si>
    <t>VALOR UNITARIO</t>
  </si>
  <si>
    <t>VALOR BRUTO</t>
  </si>
  <si>
    <t>Despesa</t>
  </si>
  <si>
    <t>TOTAL</t>
  </si>
  <si>
    <t>CONTAGEM</t>
  </si>
  <si>
    <t>VALOR</t>
  </si>
  <si>
    <t>Valor</t>
  </si>
  <si>
    <t>MAÇÃ</t>
  </si>
  <si>
    <t>Totais</t>
  </si>
  <si>
    <t>Valor Total dos Itens</t>
  </si>
  <si>
    <t>Água</t>
  </si>
  <si>
    <t>BANANA</t>
  </si>
  <si>
    <t>Contribuição</t>
  </si>
  <si>
    <t>Pedro</t>
  </si>
  <si>
    <t>Paulo</t>
  </si>
  <si>
    <t>Luz</t>
  </si>
  <si>
    <t>Ana</t>
  </si>
  <si>
    <t>Quantas pessoas contribuíram para o evento?</t>
  </si>
  <si>
    <t>Telefone</t>
  </si>
  <si>
    <t>Osmar</t>
  </si>
  <si>
    <t>Aluguel</t>
  </si>
  <si>
    <t>LARANJA</t>
  </si>
  <si>
    <t>Rita</t>
  </si>
  <si>
    <t>Maior Despesa</t>
  </si>
  <si>
    <t>Kátia</t>
  </si>
  <si>
    <t>Quantas pessoas NÃO contribuíram para o evento?</t>
  </si>
  <si>
    <t>PÊRA</t>
  </si>
  <si>
    <t>Menor Despesa</t>
  </si>
  <si>
    <t>Hugo</t>
  </si>
  <si>
    <t>Antônio</t>
  </si>
  <si>
    <t>Média das Despesas</t>
  </si>
  <si>
    <t>João</t>
  </si>
  <si>
    <t>Total de pessoas listadas</t>
  </si>
  <si>
    <t>Tadeu</t>
  </si>
  <si>
    <t>Soma das Despesas</t>
  </si>
  <si>
    <t>Sônia</t>
  </si>
  <si>
    <t>Maria</t>
  </si>
  <si>
    <t>Renata</t>
  </si>
  <si>
    <t>Fernanda</t>
  </si>
  <si>
    <t>Vale 1 pto</t>
  </si>
  <si>
    <t>Vendedor</t>
  </si>
  <si>
    <t>Produto</t>
  </si>
  <si>
    <t>Estado</t>
  </si>
  <si>
    <t>Qtde</t>
  </si>
  <si>
    <t>Total</t>
  </si>
  <si>
    <t>Total QTDE</t>
  </si>
  <si>
    <t>Soma Total</t>
  </si>
  <si>
    <t>Nº de Pedidos</t>
  </si>
  <si>
    <t>André</t>
  </si>
  <si>
    <t>Abacate</t>
  </si>
  <si>
    <t>SP</t>
  </si>
  <si>
    <t>Posição</t>
  </si>
  <si>
    <t>CONTROLE DE NOTAS E PRESENÇA</t>
  </si>
  <si>
    <t>Time</t>
  </si>
  <si>
    <t>Pontos</t>
  </si>
  <si>
    <t>Jogos</t>
  </si>
  <si>
    <t>Vitórias</t>
  </si>
  <si>
    <t>Empates</t>
  </si>
  <si>
    <t>Derrotas</t>
  </si>
  <si>
    <t>Gols Pro</t>
  </si>
  <si>
    <t>Gols Contra</t>
  </si>
  <si>
    <t>Saldo Gols</t>
  </si>
  <si>
    <t>Aproveitamento</t>
  </si>
  <si>
    <t>Situação</t>
  </si>
  <si>
    <t>Flamengo</t>
  </si>
  <si>
    <t>Matéria</t>
  </si>
  <si>
    <t>Nota</t>
  </si>
  <si>
    <t>Presença</t>
  </si>
  <si>
    <t>Resultado</t>
  </si>
  <si>
    <t>Portugues</t>
  </si>
  <si>
    <t>Adriana</t>
  </si>
  <si>
    <t>uva</t>
  </si>
  <si>
    <t>RJ</t>
  </si>
  <si>
    <t>Atlético-MG</t>
  </si>
  <si>
    <t>Matemática</t>
  </si>
  <si>
    <t>SC</t>
  </si>
  <si>
    <t>São Paulo</t>
  </si>
  <si>
    <t>História</t>
  </si>
  <si>
    <t>Eduardo</t>
  </si>
  <si>
    <t>Geografia</t>
  </si>
  <si>
    <t>Inglês</t>
  </si>
  <si>
    <t>Internacional</t>
  </si>
  <si>
    <t>Grêmio</t>
  </si>
  <si>
    <t>Palmeiras</t>
  </si>
  <si>
    <t>Luciana</t>
  </si>
  <si>
    <t>Se a NOTA for MAIOR OU IGUAL A 7;  e a PRESENÇA for MAIOR OU IGUAL A 60%; 
o aluno está "Aprovado" caso contrário, o aluno está "Reprovado". Cor da fonte Vermelha para Reprovado e Azul para Aprovado.</t>
  </si>
  <si>
    <t>Sport</t>
  </si>
  <si>
    <t>Cruzeiro</t>
  </si>
  <si>
    <t>Botafogo</t>
  </si>
  <si>
    <t>RS</t>
  </si>
  <si>
    <t>Corinthians</t>
  </si>
  <si>
    <t>maçã</t>
  </si>
  <si>
    <t>Vasco</t>
  </si>
  <si>
    <t>mamão</t>
  </si>
  <si>
    <t>Fluminense</t>
  </si>
  <si>
    <t>América-MG</t>
  </si>
  <si>
    <t>Chapecoense</t>
  </si>
  <si>
    <t>Santos</t>
  </si>
  <si>
    <t>Vitória</t>
  </si>
  <si>
    <t>Bahia</t>
  </si>
  <si>
    <t>pera</t>
  </si>
  <si>
    <t>Paraná</t>
  </si>
  <si>
    <t>Atlético-PR</t>
  </si>
  <si>
    <t>Ceará</t>
  </si>
  <si>
    <t>Pontos → Vitorias * 3 + empates * 1 + derrotas * 0</t>
  </si>
  <si>
    <t>Saldo Gols → Gols Pro – Gols Contra</t>
  </si>
  <si>
    <t>Aproveitamento → pontos/(jogos*3)</t>
  </si>
  <si>
    <t>Situação → se posição = 1 Lider, senão, se posição &lt; 6 libertadores, senão, se posição &lt;17, série A, senão rebaixado</t>
  </si>
  <si>
    <t>Criar Gráfico de Barras com os times e pontos (usar primeira coluna e primeira linha como rótulos</t>
  </si>
  <si>
    <t>Vale 2 ptos</t>
  </si>
  <si>
    <t>melão</t>
  </si>
  <si>
    <t>Código</t>
  </si>
  <si>
    <t>Data</t>
  </si>
  <si>
    <t>Nome Completo</t>
  </si>
  <si>
    <t>Endereço</t>
  </si>
  <si>
    <t>Bairro</t>
  </si>
  <si>
    <t>Cidade</t>
  </si>
  <si>
    <t>UF</t>
  </si>
  <si>
    <t>País</t>
  </si>
  <si>
    <t>Valor da Compra</t>
  </si>
  <si>
    <t>Maria Pereira do Nascimento</t>
  </si>
  <si>
    <t>Rua Jair Salvarani, 256</t>
  </si>
  <si>
    <t>Jd. Armenia</t>
  </si>
  <si>
    <t>Brasil</t>
  </si>
  <si>
    <t>PI</t>
  </si>
  <si>
    <t>Sergio Sampaio</t>
  </si>
  <si>
    <t>Alameda das Laranjeiras, 768</t>
  </si>
  <si>
    <t>Socorro</t>
  </si>
  <si>
    <t>Eduardo Amaral Rodrigues</t>
  </si>
  <si>
    <t>Rua Frei Antonio dos Santos, 351</t>
  </si>
  <si>
    <t>Interlagos</t>
  </si>
  <si>
    <t>Melissa Bonelli Santana</t>
  </si>
  <si>
    <t>Av. Narciso Yague Guimarães, 888</t>
  </si>
  <si>
    <t>Moema</t>
  </si>
  <si>
    <t>Carlos Silva</t>
  </si>
  <si>
    <t>Rua Luís Cerqueira Filho, 544</t>
  </si>
  <si>
    <t>Perdizes</t>
  </si>
  <si>
    <t>CE</t>
  </si>
  <si>
    <t>Antonia Senna</t>
  </si>
  <si>
    <t>Av. Ricardo Vilela, 1984</t>
  </si>
  <si>
    <t>Jd. Vera Cruz</t>
  </si>
  <si>
    <t>Marcio Ferreira Cardoso</t>
  </si>
  <si>
    <t>Rua São Luís, 62</t>
  </si>
  <si>
    <t>Vl. Madalena</t>
  </si>
  <si>
    <t>Antonia de Souza</t>
  </si>
  <si>
    <t>Rua Francisco Xavier, 2687</t>
  </si>
  <si>
    <t>Santana</t>
  </si>
  <si>
    <t>Tatiana Vergueiro Oliveira</t>
  </si>
  <si>
    <t>Av. Clemente Batista, 1333</t>
  </si>
  <si>
    <t>Número de pedidos com quantidade acima de 10</t>
  </si>
  <si>
    <t>Tatuapé</t>
  </si>
  <si>
    <t>Melissa Nogueira de Mello</t>
  </si>
  <si>
    <t>Av. Noronha Fernandes, 554</t>
  </si>
  <si>
    <t>Vl. Maria</t>
  </si>
  <si>
    <t>QTDE</t>
  </si>
  <si>
    <t>Carlos dos Reis</t>
  </si>
  <si>
    <t>Rua Padre João Calixto, 716</t>
  </si>
  <si>
    <t>&gt;10</t>
  </si>
  <si>
    <t xml:space="preserve">Alfredo Rossi </t>
  </si>
  <si>
    <t>Rua Santa Rita, 829</t>
  </si>
  <si>
    <t>Belem</t>
  </si>
  <si>
    <t>Leopoldo Augusto Sampaio</t>
  </si>
  <si>
    <t>Av. Frederico Estraube, 928</t>
  </si>
  <si>
    <t>Vl. Oliveira</t>
  </si>
  <si>
    <t>Mara Palhares</t>
  </si>
  <si>
    <t>Av. Catumbi, 687</t>
  </si>
  <si>
    <t>Belenzinho</t>
  </si>
  <si>
    <t>Sandra Cristina de Arantes</t>
  </si>
  <si>
    <t>Alameda Santana, 2341</t>
  </si>
  <si>
    <t>Liberdade</t>
  </si>
  <si>
    <t>Antonia Maria Simões</t>
  </si>
  <si>
    <t>Rua Maristela Carvalho, 23</t>
  </si>
  <si>
    <t>Vl. Carrão</t>
  </si>
  <si>
    <t>Thaysa Martins</t>
  </si>
  <si>
    <t>Av. Francisco Dutra, 555</t>
  </si>
  <si>
    <t>Valor Procurado :</t>
  </si>
  <si>
    <t>Nome Completo:</t>
  </si>
  <si>
    <t>Utilizar funcão que busque os dados dos clientes (tabela acima) baseado no código digitado na Celula D22.</t>
  </si>
  <si>
    <t>Endereço:</t>
  </si>
  <si>
    <t>Bairro:</t>
  </si>
  <si>
    <t>Cidade:</t>
  </si>
  <si>
    <t>UF:</t>
  </si>
  <si>
    <t>País:</t>
  </si>
  <si>
    <t>Telefone:</t>
  </si>
  <si>
    <t>Valor da Compra:</t>
  </si>
  <si>
    <t>Criar a seguinte tabela dinâmica em uma nova ABA</t>
  </si>
  <si>
    <t>SUM of Qtde</t>
  </si>
  <si>
    <t>SUM of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</si>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</sst>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 R$ &quot;#,##0.00\ ;&quot; R$ (&quot;#,##0.00\);&quot; R$ -&quot;00\ ;\ @\ "/>
    <numFmt numFmtId="165" formatCode="[$R$]\ #,##0.00\ ;\-[$R$]\ #,##0.00\ ;[$R$]&quot; -&quot;00\ ;\ @\ "/>
    <numFmt numFmtId="166" formatCode="0.0"/>
    <numFmt numFmtId="167" formatCode="MM/DD/YYYY"/>
    <numFmt numFmtId="168" formatCode="[$R$]\ #,##0.00\ ;[$R$]&quot; (&quot;#,##0.00\);[$R$]&quot; -&quot;00\ ;\ @\ "/>
  </numFmts>
  <fonts count="14">
    <font>
      <sz val="11.0"/>
      <color rgb="FF000000"/>
      <name val="Calibri"/>
    </font>
    <font>
      <b/>
      <sz val="11.0"/>
      <color rgb="FF000000"/>
      <name val="Arial"/>
    </font>
    <font/>
    <font>
      <b/>
      <sz val="11.0"/>
      <color rgb="FF000000"/>
      <name val="Calibri"/>
    </font>
    <font>
      <b/>
      <sz val="10.0"/>
      <color rgb="FF000000"/>
      <name val="Arial"/>
    </font>
    <font>
      <b/>
      <sz val="11.0"/>
      <color rgb="FFCE181E"/>
      <name val="Calibri"/>
    </font>
    <font>
      <b/>
      <sz val="11.0"/>
      <color rgb="FFFFFFFF"/>
      <name val="Helvetica Neue"/>
    </font>
    <font>
      <sz val="11.0"/>
      <color rgb="FF000000"/>
      <name val="Helvetica Neue"/>
    </font>
    <font>
      <sz val="11.0"/>
      <color rgb="FF000000"/>
      <name val="Inconsolata"/>
    </font>
    <font>
      <b/>
      <sz val="11.0"/>
      <name val="Calibri"/>
    </font>
    <font>
      <sz val="10.0"/>
      <color rgb="FF000000"/>
      <name val="Arial"/>
    </font>
    <font>
      <b/>
      <sz val="16.0"/>
      <color rgb="FF0000FF"/>
      <name val="Calibri"/>
    </font>
    <font>
      <sz val="16.0"/>
      <color rgb="FF000000"/>
      <name val="Calibri"/>
    </font>
    <font>
      <b/>
      <sz val="16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CE4E5"/>
        <bgColor rgb="FFBCE4E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8080"/>
        <bgColor rgb="FF008080"/>
      </patternFill>
    </fill>
    <fill>
      <patternFill patternType="solid">
        <fgColor rgb="FF93C47D"/>
        <bgColor rgb="FF93C47D"/>
      </patternFill>
    </fill>
    <fill>
      <patternFill patternType="solid">
        <fgColor rgb="FFFFF685"/>
        <bgColor rgb="FFFFF685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134F5C"/>
        <bgColor rgb="FF134F5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1" fillId="3" fontId="3" numFmtId="0" xfId="0" applyAlignment="1" applyBorder="1" applyFill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3" fillId="0" fontId="2" numFmtId="0" xfId="0" applyBorder="1" applyFont="1"/>
    <xf borderId="4" fillId="4" fontId="4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center" shrinkToFit="0" vertical="bottom" wrapText="0"/>
    </xf>
    <xf borderId="4" fillId="3" fontId="3" numFmtId="0" xfId="0" applyAlignment="1" applyBorder="1" applyFont="1">
      <alignment horizontal="left" shrinkToFit="0" vertical="bottom" wrapText="0"/>
    </xf>
    <xf borderId="4" fillId="4" fontId="4" numFmtId="164" xfId="0" applyAlignment="1" applyBorder="1" applyFont="1" applyNumberFormat="1">
      <alignment horizontal="center" shrinkToFit="0" vertical="center" wrapText="1"/>
    </xf>
    <xf borderId="4" fillId="3" fontId="3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horizontal="center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4" fillId="0" fontId="0" numFmtId="164" xfId="0" applyAlignment="1" applyBorder="1" applyFont="1" applyNumberFormat="1">
      <alignment horizontal="center" shrinkToFit="0" vertical="bottom" wrapText="0"/>
    </xf>
    <xf borderId="4" fillId="0" fontId="0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center" shrinkToFit="0" vertical="bottom" wrapText="0"/>
    </xf>
    <xf borderId="4" fillId="0" fontId="0" numFmtId="165" xfId="0" applyAlignment="1" applyBorder="1" applyFont="1" applyNumberForma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horizontal="center" readingOrder="0" shrinkToFit="0" vertical="bottom" wrapText="0"/>
    </xf>
    <xf borderId="4" fillId="0" fontId="0" numFmtId="165" xfId="0" applyAlignment="1" applyBorder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4" fillId="0" fontId="0" numFmtId="164" xfId="0" applyAlignment="1" applyBorder="1" applyFont="1" applyNumberFormat="1">
      <alignment horizontal="center" readingOrder="0" shrinkToFit="0" vertical="bottom" wrapText="0"/>
    </xf>
    <xf borderId="5" fillId="0" fontId="4" numFmtId="0" xfId="0" applyAlignment="1" applyBorder="1" applyFont="1">
      <alignment horizontal="center" shrinkToFit="0" vertical="bottom" wrapText="0"/>
    </xf>
    <xf borderId="4" fillId="0" fontId="0" numFmtId="0" xfId="0" applyAlignment="1" applyBorder="1" applyFont="1">
      <alignment horizontal="right" shrinkToFit="0" vertical="bottom" wrapText="0"/>
    </xf>
    <xf borderId="5" fillId="0" fontId="4" numFmtId="3" xfId="0" applyAlignment="1" applyBorder="1" applyFont="1" applyNumberFormat="1">
      <alignment horizontal="center" shrinkToFit="0" vertical="bottom" wrapText="0"/>
    </xf>
    <xf borderId="0" fillId="0" fontId="0" numFmtId="164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4" fillId="5" fontId="6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shrinkToFit="0" vertical="bottom" wrapText="0"/>
    </xf>
    <xf borderId="4" fillId="0" fontId="7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4" fillId="0" fontId="7" numFmtId="165" xfId="0" applyAlignment="1" applyBorder="1" applyFont="1" applyNumberFormat="1">
      <alignment shrinkToFit="0" vertical="bottom" wrapText="0"/>
    </xf>
    <xf borderId="4" fillId="6" fontId="3" numFmtId="0" xfId="0" applyAlignment="1" applyBorder="1" applyFill="1" applyFont="1">
      <alignment horizontal="center" shrinkToFit="0" vertical="bottom" wrapText="0"/>
    </xf>
    <xf borderId="1" fillId="7" fontId="3" numFmtId="0" xfId="0" applyAlignment="1" applyBorder="1" applyFill="1" applyFont="1">
      <alignment horizontal="center"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4" fillId="7" fontId="3" numFmtId="0" xfId="0" applyAlignment="1" applyBorder="1" applyFont="1">
      <alignment shrinkToFit="0" vertical="bottom" wrapText="0"/>
    </xf>
    <xf borderId="4" fillId="0" fontId="0" numFmtId="166" xfId="0" applyAlignment="1" applyBorder="1" applyFont="1" applyNumberFormat="1">
      <alignment shrinkToFit="0" vertical="bottom" wrapText="0"/>
    </xf>
    <xf borderId="4" fillId="0" fontId="0" numFmtId="9" xfId="0" applyAlignment="1" applyBorder="1" applyFont="1" applyNumberFormat="1">
      <alignment shrinkToFit="0" vertical="bottom" wrapText="0"/>
    </xf>
    <xf borderId="4" fillId="7" fontId="3" numFmtId="0" xfId="0" applyAlignment="1" applyBorder="1" applyFont="1">
      <alignment horizontal="center" shrinkToFit="0" vertical="center" wrapText="0"/>
    </xf>
    <xf borderId="1" fillId="7" fontId="0" numFmtId="0" xfId="0" applyAlignment="1" applyBorder="1" applyFont="1">
      <alignment horizontal="center" shrinkToFit="0" vertical="bottom" wrapText="1"/>
    </xf>
    <xf borderId="4" fillId="8" fontId="8" numFmtId="0" xfId="0" applyBorder="1" applyFill="1" applyFont="1"/>
    <xf borderId="6" fillId="8" fontId="9" numFmtId="0" xfId="0" applyAlignment="1" applyBorder="1" applyFont="1">
      <alignment horizontal="left" shrinkToFit="0" vertical="center" wrapText="0"/>
    </xf>
    <xf borderId="7" fillId="0" fontId="2" numFmtId="0" xfId="0" applyBorder="1" applyFont="1"/>
    <xf borderId="4" fillId="9" fontId="4" numFmtId="0" xfId="0" applyAlignment="1" applyBorder="1" applyFill="1" applyFont="1">
      <alignment shrinkToFit="0" vertical="bottom" wrapText="0"/>
    </xf>
    <xf borderId="4" fillId="10" fontId="10" numFmtId="0" xfId="0" applyAlignment="1" applyBorder="1" applyFill="1" applyFont="1">
      <alignment shrinkToFit="0" vertical="bottom" wrapText="0"/>
    </xf>
    <xf borderId="4" fillId="10" fontId="10" numFmtId="167" xfId="0" applyAlignment="1" applyBorder="1" applyFont="1" applyNumberFormat="1">
      <alignment shrinkToFit="0" vertical="bottom" wrapText="0"/>
    </xf>
    <xf borderId="4" fillId="10" fontId="10" numFmtId="168" xfId="0" applyAlignment="1" applyBorder="1" applyFont="1" applyNumberFormat="1">
      <alignment shrinkToFit="0" vertical="bottom" wrapText="0"/>
    </xf>
    <xf borderId="4" fillId="0" fontId="10" numFmtId="0" xfId="0" applyAlignment="1" applyBorder="1" applyFont="1">
      <alignment shrinkToFit="0" vertical="bottom" wrapText="0"/>
    </xf>
    <xf borderId="4" fillId="0" fontId="10" numFmtId="167" xfId="0" applyAlignment="1" applyBorder="1" applyFont="1" applyNumberFormat="1">
      <alignment shrinkToFit="0" vertical="bottom" wrapText="0"/>
    </xf>
    <xf borderId="4" fillId="0" fontId="10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5" fillId="4" fontId="12" numFmtId="1" xfId="0" applyAlignment="1" applyBorder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167" xfId="0" applyAlignment="1" applyFont="1" applyNumberFormat="1">
      <alignment horizontal="center" shrinkToFit="0" vertical="bottom" wrapText="0"/>
    </xf>
    <xf borderId="4" fillId="0" fontId="13" numFmtId="0" xfId="0" applyAlignment="1" applyBorder="1" applyFont="1">
      <alignment horizontal="left" shrinkToFit="0" vertical="bottom" wrapText="0"/>
    </xf>
    <xf borderId="4" fillId="0" fontId="12" numFmtId="0" xfId="0" applyAlignment="1" applyBorder="1" applyFont="1">
      <alignment horizontal="center" shrinkToFit="0" vertical="bottom" wrapText="0"/>
    </xf>
    <xf borderId="4" fillId="0" fontId="12" numFmtId="168" xfId="0" applyAlignment="1" applyBorder="1" applyFont="1" applyNumberFormat="1">
      <alignment horizontal="center" shrinkToFit="0" vertical="bottom" wrapText="0"/>
    </xf>
    <xf borderId="4" fillId="11" fontId="6" numFmtId="0" xfId="0" applyAlignment="1" applyBorder="1" applyFill="1" applyFont="1">
      <alignment horizontal="center" shrinkToFit="0" vertical="center" wrapText="0"/>
    </xf>
    <xf borderId="0" fillId="0" fontId="2" numFmtId="0" xfId="0" applyFont="1"/>
    <xf borderId="0" fillId="0" fontId="2" numFmtId="165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5</xdr:row>
      <xdr:rowOff>0</xdr:rowOff>
    </xdr:from>
    <xdr:ext cx="3695700" cy="19431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0" sheet="Questao8"/>
  </cacheSource>
  <cacheFields>
    <cacheField name="Vendedor" numFmtId="0">
      <sharedItems>
        <s v="André"/>
        <s v="Adriana"/>
        <s v="Eduardo"/>
        <s v="Luciana"/>
      </sharedItems>
    </cacheField>
    <cacheField name="Produto" numFmtId="0">
      <sharedItems>
        <s v="Abacate"/>
        <s v="uva"/>
        <s v="maçã"/>
        <s v="mamão"/>
        <s v="pera"/>
        <s v="melão"/>
      </sharedItems>
    </cacheField>
    <cacheField name="Estado" numFmtId="0">
      <sharedItems>
        <s v="SP"/>
        <s v="RJ"/>
        <s v="SC"/>
        <s v="RS"/>
      </sharedItems>
    </cacheField>
    <cacheField name="Qtde" numFmtId="0">
      <sharedItems containsSemiMixedTypes="0" containsString="0" containsNumber="1" containsInteger="1">
        <n v="6.0"/>
        <n v="14.0"/>
        <n v="9.0"/>
        <n v="15.0"/>
        <n v="18.0"/>
        <n v="42.0"/>
        <n v="13.0"/>
        <n v="8.0"/>
        <n v="16.0"/>
        <n v="90.0"/>
        <n v="20.0"/>
        <n v="60.0"/>
        <n v="3.0"/>
        <n v="4.0"/>
        <n v="19.0"/>
        <n v="45.0"/>
        <n v="12.0"/>
        <n v="5.0"/>
      </sharedItems>
    </cacheField>
    <cacheField name="Valor" numFmtId="165">
      <sharedItems containsSemiMixedTypes="0" containsString="0" containsNumber="1" containsInteger="1">
        <n v="14.0"/>
        <n v="18.0"/>
        <n v="15.0"/>
        <n v="13.0"/>
        <n v="16.0"/>
        <n v="12.0"/>
        <n v="11.0"/>
        <n v="9.0"/>
        <n v="26.0"/>
        <n v="19.0"/>
        <n v="17.0"/>
      </sharedItems>
    </cacheField>
    <cacheField name="Total" numFmtId="165">
      <sharedItems containsSemiMixedTypes="0" containsString="0" containsNumber="1" containsInteger="1">
        <n v="84.0"/>
        <n v="196.0"/>
        <n v="162.0"/>
        <n v="270.0"/>
        <n v="324.0"/>
        <n v="630.0"/>
        <n v="234.0"/>
        <n v="208.0"/>
        <n v="96.0"/>
        <n v="256.0"/>
        <n v="143.0"/>
        <n v="224.0"/>
        <n v="72.0"/>
        <n v="1080.0"/>
        <n v="280.0"/>
        <n v="720.0"/>
        <n v="42.0"/>
        <n v="108.0"/>
        <n v="76.0"/>
        <n v="209.0"/>
        <n v="220.0"/>
        <n v="765.0"/>
        <n v="225.0"/>
        <n v="180.0"/>
        <n v="65.0"/>
        <n v="7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8" firstHeaderRow="0" firstDataRow="2" firstDataCol="0"/>
  <pivotFields>
    <pivotField name="Vendedor" compact="0" outline="0" multipleItemSelectionAllowed="1" showAll="0">
      <items>
        <item x="0"/>
        <item x="1"/>
        <item x="2"/>
        <item x="3"/>
        <item t="default"/>
      </items>
    </pivotField>
    <pivotField name="Produto" axis="axisRow" compact="0" outline="0" multipleItemSelectionAllowed="1" showAll="0" sortType="ascending">
      <items>
        <item x="0"/>
        <item x="2"/>
        <item x="3"/>
        <item x="5"/>
        <item x="4"/>
        <item x="1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t="default"/>
      </items>
    </pivotField>
    <pivotField name="Qt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alo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1"/>
  </rowFields>
  <colFields>
    <field x="-2"/>
  </colFields>
  <dataFields>
    <dataField name="SUM of Qtde" fld="3" baseField="0"/>
    <dataField name="SUM of Total" fld="5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14"/>
    <col customWidth="1" min="3" max="3" width="10.86"/>
    <col customWidth="1" min="4" max="4" width="19.43"/>
    <col customWidth="1" min="5" max="5" width="23.14"/>
    <col customWidth="1" min="6" max="6" width="10.86"/>
    <col customWidth="1" min="7" max="25" width="8.71"/>
  </cols>
  <sheetData>
    <row r="1" ht="13.5" customHeight="1">
      <c r="A1" s="3" t="s">
        <v>2</v>
      </c>
      <c r="B1" s="5"/>
      <c r="C1" s="5"/>
      <c r="D1" s="5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3.5" customHeight="1">
      <c r="A2" s="7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3.5" customHeight="1">
      <c r="A3" s="9" t="s">
        <v>7</v>
      </c>
      <c r="B3" s="11" t="s">
        <v>11</v>
      </c>
      <c r="C3" s="4"/>
      <c r="D3" s="9" t="s">
        <v>13</v>
      </c>
      <c r="E3" s="13" t="s">
        <v>14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3.5" customHeight="1">
      <c r="A4" s="15" t="s">
        <v>15</v>
      </c>
      <c r="B4" s="17">
        <v>45.0</v>
      </c>
      <c r="C4" s="4"/>
      <c r="D4" s="15" t="s">
        <v>15</v>
      </c>
      <c r="E4" s="17">
        <f>SUM(B4,B11,B13,B18)</f>
        <v>168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3.5" customHeight="1">
      <c r="A5" s="15" t="s">
        <v>20</v>
      </c>
      <c r="B5" s="17">
        <v>74.0</v>
      </c>
      <c r="C5" s="4"/>
      <c r="D5" s="15" t="s">
        <v>20</v>
      </c>
      <c r="E5" s="17">
        <f>SUM(B5,B10,B16,B19)</f>
        <v>227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3.5" customHeight="1">
      <c r="A6" s="15" t="s">
        <v>23</v>
      </c>
      <c r="B6" s="17">
        <v>48.0</v>
      </c>
      <c r="C6" s="4"/>
      <c r="D6" s="15" t="s">
        <v>23</v>
      </c>
      <c r="E6" s="17">
        <f>SUM(B6,B9,B14,B15)</f>
        <v>193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3.5" customHeight="1">
      <c r="A7" s="15" t="s">
        <v>25</v>
      </c>
      <c r="B7" s="17">
        <v>95.0</v>
      </c>
      <c r="C7" s="4"/>
      <c r="D7" s="15" t="s">
        <v>25</v>
      </c>
      <c r="E7" s="17">
        <f>SUM(B7,B8,B12,B17)</f>
        <v>380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3.5" customHeight="1">
      <c r="A8" s="15" t="s">
        <v>25</v>
      </c>
      <c r="B8" s="17">
        <v>95.0</v>
      </c>
      <c r="C8" s="4"/>
      <c r="D8" s="9"/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3.5" customHeight="1">
      <c r="A9" s="15" t="s">
        <v>23</v>
      </c>
      <c r="B9" s="17">
        <v>35.0</v>
      </c>
      <c r="C9" s="4"/>
      <c r="D9" s="15" t="s">
        <v>28</v>
      </c>
      <c r="E9" s="18">
        <f>LARGE(E4:E7,1)</f>
        <v>380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3.5" customHeight="1">
      <c r="A10" s="15" t="s">
        <v>20</v>
      </c>
      <c r="B10" s="17">
        <v>64.0</v>
      </c>
      <c r="C10" s="4"/>
      <c r="D10" s="15" t="s">
        <v>32</v>
      </c>
      <c r="E10" s="18">
        <f>SMALL(E4:E7,1)</f>
        <v>168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3.5" customHeight="1">
      <c r="A11" s="15" t="s">
        <v>15</v>
      </c>
      <c r="B11" s="17">
        <v>53.0</v>
      </c>
      <c r="C11" s="4"/>
      <c r="D11" s="15" t="s">
        <v>35</v>
      </c>
      <c r="E11" s="17">
        <f>MEDIAN(E4:E7)</f>
        <v>210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3.5" customHeight="1">
      <c r="A12" s="15" t="s">
        <v>25</v>
      </c>
      <c r="B12" s="17">
        <v>95.0</v>
      </c>
      <c r="C12" s="4"/>
      <c r="D12" s="15" t="s">
        <v>39</v>
      </c>
      <c r="E12" s="17">
        <f>SUM(E4:E7)</f>
        <v>968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3.5" customHeight="1">
      <c r="A13" s="15" t="s">
        <v>15</v>
      </c>
      <c r="B13" s="17">
        <v>35.0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3.5" customHeight="1">
      <c r="A14" s="15" t="s">
        <v>23</v>
      </c>
      <c r="B14" s="17">
        <v>46.0</v>
      </c>
      <c r="C14" s="4"/>
      <c r="D14" s="2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3.5" customHeight="1">
      <c r="A15" s="15" t="s">
        <v>23</v>
      </c>
      <c r="B15" s="17">
        <v>64.0</v>
      </c>
      <c r="C15" s="4"/>
      <c r="D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3.5" customHeight="1">
      <c r="A16" s="15" t="s">
        <v>20</v>
      </c>
      <c r="B16" s="17">
        <v>42.0</v>
      </c>
      <c r="C16" s="4"/>
      <c r="D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3.5" customHeight="1">
      <c r="A17" s="15" t="s">
        <v>25</v>
      </c>
      <c r="B17" s="17">
        <v>95.0</v>
      </c>
      <c r="C17" s="4"/>
      <c r="D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3.5" customHeight="1">
      <c r="A18" s="15" t="s">
        <v>15</v>
      </c>
      <c r="B18" s="17">
        <v>35.0</v>
      </c>
      <c r="C18" s="4"/>
      <c r="D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3.5" customHeight="1">
      <c r="A19" s="15" t="s">
        <v>20</v>
      </c>
      <c r="B19" s="17">
        <v>47.0</v>
      </c>
      <c r="C19" s="4"/>
      <c r="D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3.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3.5" customHeight="1">
      <c r="A21" s="28" t="s">
        <v>44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3.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3.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3.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3.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3.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3.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3.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3.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3.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3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3.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3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3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3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3.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3.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3.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3.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3.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3.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3.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3.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3.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3.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3.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3.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3.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3.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3.5" customHeight="1">
      <c r="A51" s="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3.5" customHeight="1">
      <c r="A52" s="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3.5" customHeight="1">
      <c r="A53" s="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3.5" customHeight="1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3.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3.5" customHeight="1">
      <c r="A56" s="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3.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3.5" customHeight="1">
      <c r="A58" s="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3.5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3.5" customHeight="1">
      <c r="A60" s="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3.5" customHeight="1">
      <c r="A61" s="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3.5" customHeight="1">
      <c r="A62" s="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3.5" customHeight="1">
      <c r="A63" s="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3.5" customHeight="1">
      <c r="A64" s="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3.5" customHeight="1">
      <c r="A65" s="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3.5" customHeight="1">
      <c r="A66" s="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3.5" customHeight="1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3.5" customHeight="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3.5" customHeight="1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3.5" customHeight="1">
      <c r="A70" s="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3.5" customHeight="1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3.5" customHeight="1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3.5" customHeight="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3.5" customHeight="1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3.5" customHeight="1">
      <c r="A75" s="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3.5" customHeight="1">
      <c r="A76" s="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3.5" customHeight="1">
      <c r="A77" s="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3.5" customHeight="1">
      <c r="A78" s="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3.5" customHeight="1">
      <c r="A79" s="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3.5" customHeight="1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3.5" customHeight="1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3.5" customHeight="1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3.5" customHeight="1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3.5" customHeight="1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3.5" customHeight="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3.5" customHeight="1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3.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3.5" customHeight="1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3.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3.5" customHeight="1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3.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3.5" customHeight="1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3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3.5" customHeight="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3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3.5" customHeight="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3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3.5" customHeight="1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3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3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3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3.5" customHeight="1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3.5" customHeight="1">
      <c r="A103" s="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3.5" customHeight="1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3.5" customHeight="1">
      <c r="A105" s="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3.5" customHeight="1">
      <c r="A106" s="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3.5" customHeight="1">
      <c r="A107" s="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3.5" customHeight="1">
      <c r="A108" s="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3.5" customHeight="1">
      <c r="A109" s="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3.5" customHeight="1">
      <c r="A110" s="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3.5" customHeight="1">
      <c r="A111" s="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3.5" customHeight="1">
      <c r="A112" s="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.5" customHeight="1">
      <c r="A113" s="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3.5" customHeight="1">
      <c r="A114" s="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3.5" customHeight="1">
      <c r="A115" s="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3.5" customHeight="1">
      <c r="A116" s="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3.5" customHeight="1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3.5" customHeight="1">
      <c r="A118" s="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3.5" customHeight="1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3.5" customHeight="1">
      <c r="A120" s="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3.5" customHeight="1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3.5" customHeight="1">
      <c r="A122" s="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3.5" customHeight="1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3.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3.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3.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3.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3.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3.5" customHeight="1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3.5" customHeight="1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3.5" customHeight="1">
      <c r="A131" s="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3.5" customHeight="1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3.5" customHeight="1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3.5" customHeight="1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3.5" customHeight="1">
      <c r="A135" s="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3.5" customHeight="1">
      <c r="A136" s="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3.5" customHeight="1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3.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3.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3.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3.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3.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3.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3.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3.5" customHeight="1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3.5" customHeight="1">
      <c r="A146" s="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3.5" customHeight="1">
      <c r="A147" s="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3.5" customHeight="1">
      <c r="A148" s="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3.5" customHeight="1">
      <c r="A149" s="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3.5" customHeight="1">
      <c r="A150" s="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3.5" customHeight="1">
      <c r="A151" s="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3.5" customHeight="1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3.5" customHeight="1">
      <c r="A153" s="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3.5" customHeight="1">
      <c r="A154" s="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3.5" customHeight="1">
      <c r="A155" s="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3.5" customHeight="1">
      <c r="A156" s="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3.5" customHeight="1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3.5" customHeight="1">
      <c r="A158" s="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3.5" customHeight="1">
      <c r="A159" s="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3.5" customHeight="1">
      <c r="A160" s="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3.5" customHeight="1">
      <c r="A161" s="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3.5" customHeight="1">
      <c r="A162" s="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3.5" customHeight="1">
      <c r="A163" s="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3.5" customHeight="1">
      <c r="A164" s="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3.5" customHeight="1">
      <c r="A165" s="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3.5" customHeight="1">
      <c r="A166" s="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3.5" customHeight="1">
      <c r="A167" s="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3.5" customHeight="1">
      <c r="A168" s="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3.5" customHeight="1">
      <c r="A169" s="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3.5" customHeight="1">
      <c r="A170" s="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3.5" customHeight="1">
      <c r="A171" s="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3.5" customHeight="1">
      <c r="A172" s="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3.5" customHeight="1">
      <c r="A173" s="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3.5" customHeight="1">
      <c r="A174" s="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3.5" customHeight="1">
      <c r="A175" s="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3.5" customHeight="1">
      <c r="A176" s="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3.5" customHeight="1">
      <c r="A177" s="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3.5" customHeight="1">
      <c r="A178" s="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3.5" customHeight="1">
      <c r="A179" s="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3.5" customHeight="1">
      <c r="A180" s="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3.5" customHeight="1">
      <c r="A181" s="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3.5" customHeight="1">
      <c r="A182" s="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3.5" customHeight="1">
      <c r="A183" s="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3.5" customHeight="1">
      <c r="A184" s="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3.5" customHeight="1">
      <c r="A185" s="7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3.5" customHeight="1">
      <c r="A186" s="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3.5" customHeight="1">
      <c r="A187" s="7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3.5" customHeight="1">
      <c r="A188" s="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3.5" customHeight="1">
      <c r="A189" s="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3.5" customHeight="1">
      <c r="A190" s="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3.5" customHeight="1">
      <c r="A191" s="7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3.5" customHeight="1">
      <c r="A192" s="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3.5" customHeight="1">
      <c r="A193" s="7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3.5" customHeight="1">
      <c r="A194" s="7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3.5" customHeight="1">
      <c r="A195" s="7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3.5" customHeight="1">
      <c r="A196" s="7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3.5" customHeight="1">
      <c r="A197" s="7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3.5" customHeight="1">
      <c r="A198" s="7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3.5" customHeight="1">
      <c r="A199" s="7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3.5" customHeight="1">
      <c r="A200" s="7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3.5" customHeight="1">
      <c r="A201" s="7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3.5" customHeight="1">
      <c r="A202" s="7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3.5" customHeight="1">
      <c r="A203" s="7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3.5" customHeight="1">
      <c r="A204" s="7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3.5" customHeight="1">
      <c r="A205" s="7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3.5" customHeight="1">
      <c r="A206" s="7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3.5" customHeight="1">
      <c r="A207" s="7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3.5" customHeight="1">
      <c r="A208" s="7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3.5" customHeight="1">
      <c r="A209" s="7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3.5" customHeight="1">
      <c r="A210" s="7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3.5" customHeight="1">
      <c r="A211" s="7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3.5" customHeight="1">
      <c r="A212" s="7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3.5" customHeight="1">
      <c r="A213" s="7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3.5" customHeight="1">
      <c r="A214" s="7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3.5" customHeight="1">
      <c r="A215" s="7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3.5" customHeight="1">
      <c r="A216" s="7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3.5" customHeight="1">
      <c r="A217" s="7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3.5" customHeight="1">
      <c r="A218" s="7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3.5" customHeight="1">
      <c r="A219" s="7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3.5" customHeight="1">
      <c r="A220" s="7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3.5" customHeight="1">
      <c r="A221" s="7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E1"/>
    <mergeCell ref="D15:E15"/>
    <mergeCell ref="D16:E16"/>
    <mergeCell ref="D17:E17"/>
    <mergeCell ref="D18:E18"/>
    <mergeCell ref="D19:E19"/>
  </mergeCells>
  <printOptions/>
  <pageMargins bottom="0.315277777777778" footer="0.0" header="0.0" left="0.511805555555555" right="0.511805555555555" top="0.31527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3.57"/>
    <col customWidth="1" min="3" max="6" width="10.86"/>
    <col customWidth="1" min="7" max="25" width="8.71"/>
  </cols>
  <sheetData>
    <row r="1" ht="14.25" customHeight="1">
      <c r="A1" s="1" t="s">
        <v>0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>
      <c r="A3" s="16" t="s">
        <v>3</v>
      </c>
      <c r="B3" s="16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4.25" customHeight="1">
      <c r="A4" s="18" t="s">
        <v>18</v>
      </c>
      <c r="B4" s="17">
        <v>100.0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4.25" customHeight="1">
      <c r="A5" s="18" t="s">
        <v>19</v>
      </c>
      <c r="B5" s="20">
        <v>350.0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4.25" customHeight="1">
      <c r="A6" s="18" t="s">
        <v>21</v>
      </c>
      <c r="B6" s="17">
        <v>700.0</v>
      </c>
      <c r="C6" s="4"/>
      <c r="D6" s="4"/>
      <c r="E6" s="21" t="s">
        <v>22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4.25" customHeight="1">
      <c r="A7" s="18" t="s">
        <v>24</v>
      </c>
      <c r="B7" s="17">
        <v>800.0</v>
      </c>
      <c r="C7" s="4"/>
      <c r="D7" s="4"/>
      <c r="E7" s="23">
        <f>COUNTA(B4:B17)</f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4.25" customHeight="1">
      <c r="A8" s="18" t="s">
        <v>27</v>
      </c>
      <c r="B8" s="2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4.25" customHeight="1">
      <c r="A9" s="18" t="s">
        <v>29</v>
      </c>
      <c r="B9" s="24"/>
      <c r="C9" s="4"/>
      <c r="D9" s="4"/>
      <c r="E9" s="21" t="s">
        <v>30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4.25" customHeight="1">
      <c r="A10" s="18" t="s">
        <v>33</v>
      </c>
      <c r="B10" s="17">
        <v>450.0</v>
      </c>
      <c r="C10" s="4"/>
      <c r="D10" s="4"/>
      <c r="E10" s="23">
        <f>COUNTBLANK(B4:B17)</f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4.25" customHeight="1">
      <c r="A11" s="18" t="s">
        <v>34</v>
      </c>
      <c r="B11" s="2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4.25" customHeight="1">
      <c r="A12" s="18" t="s">
        <v>36</v>
      </c>
      <c r="B12" s="24"/>
      <c r="C12" s="4"/>
      <c r="D12" s="4"/>
      <c r="E12" s="21" t="s">
        <v>37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4.25" customHeight="1">
      <c r="A13" s="18" t="s">
        <v>38</v>
      </c>
      <c r="B13" s="17">
        <v>900.0</v>
      </c>
      <c r="C13" s="4"/>
      <c r="D13" s="4"/>
      <c r="E13" s="25">
        <f>COUNTA(A4:A17)</f>
        <v>14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4.25" customHeight="1">
      <c r="A14" s="18" t="s">
        <v>40</v>
      </c>
      <c r="B14" s="17">
        <v>850.0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4.25" customHeight="1">
      <c r="A15" s="18" t="s">
        <v>41</v>
      </c>
      <c r="B15" s="2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4.25" customHeight="1">
      <c r="A16" s="18" t="s">
        <v>42</v>
      </c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4.25" customHeight="1">
      <c r="A17" s="18" t="s">
        <v>43</v>
      </c>
      <c r="B17" s="17">
        <v>200.0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4.25" customHeight="1">
      <c r="A20" s="28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315277777777778" footer="0.0" header="0.0" left="0.511805555555555" right="0.511805555555555" top="0.31527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1.14"/>
    <col customWidth="1" min="3" max="3" width="23.71"/>
    <col customWidth="1" min="4" max="4" width="22.0"/>
    <col customWidth="1" min="5" max="5" width="10.86"/>
    <col customWidth="1" min="6" max="6" width="16.57"/>
    <col customWidth="1" min="7" max="7" width="17.0"/>
    <col customWidth="1" min="8" max="8" width="17.57"/>
    <col customWidth="1" min="9" max="9" width="19.57"/>
    <col customWidth="1" min="10" max="26" width="8.71"/>
  </cols>
  <sheetData>
    <row r="1" ht="16.5" customHeight="1">
      <c r="A1" s="6" t="s">
        <v>1</v>
      </c>
      <c r="B1" s="6" t="s">
        <v>4</v>
      </c>
      <c r="C1" s="6" t="s">
        <v>5</v>
      </c>
      <c r="D1" s="6" t="s">
        <v>6</v>
      </c>
      <c r="E1" s="8"/>
      <c r="F1" s="6" t="s">
        <v>8</v>
      </c>
      <c r="G1" s="6" t="s">
        <v>9</v>
      </c>
      <c r="H1" s="6" t="s">
        <v>4</v>
      </c>
      <c r="I1" s="10" t="s">
        <v>10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2" t="s">
        <v>12</v>
      </c>
      <c r="B2" s="12">
        <v>10.0</v>
      </c>
      <c r="C2" s="14">
        <v>15.0</v>
      </c>
      <c r="D2" s="14">
        <v>150.0</v>
      </c>
      <c r="E2" s="8"/>
      <c r="F2" s="12" t="s">
        <v>16</v>
      </c>
      <c r="G2" s="19">
        <f>COUNTIF($A$2:$A$9,"banana")</f>
        <v>1</v>
      </c>
      <c r="H2" s="19">
        <f>SUMIFS($B$2:$B$9,$A$2:$A$9,"BANANA")</f>
        <v>2</v>
      </c>
      <c r="I2" s="22">
        <f>SUMIF(C2:C9,"banana",H2)</f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2" t="s">
        <v>26</v>
      </c>
      <c r="B3" s="12">
        <v>15.0</v>
      </c>
      <c r="C3" s="14">
        <v>10.0</v>
      </c>
      <c r="D3" s="14">
        <v>150.0</v>
      </c>
      <c r="E3" s="8"/>
      <c r="F3" s="12" t="s">
        <v>26</v>
      </c>
      <c r="G3" s="19">
        <f>COUNTIF($A$2:$A$9,"LARANJA")</f>
        <v>2</v>
      </c>
      <c r="H3" s="19">
        <f>SUMIFS($B$2:$B$9,$A$2:$A$9,"LARANJA")</f>
        <v>95</v>
      </c>
      <c r="I3" s="1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31</v>
      </c>
      <c r="B4" s="12">
        <v>20.0</v>
      </c>
      <c r="C4" s="14">
        <v>30.0</v>
      </c>
      <c r="D4" s="14">
        <v>600.0</v>
      </c>
      <c r="E4" s="8"/>
      <c r="F4" s="12" t="s">
        <v>31</v>
      </c>
      <c r="G4" s="19">
        <f>COUNTIF($A$2:$A$9,"Pêra")</f>
        <v>2</v>
      </c>
      <c r="H4" s="19">
        <f>SUMIFS($B$2:$B$9,$A$2:$A$9,"pêra")</f>
        <v>120</v>
      </c>
      <c r="I4" s="1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2" t="s">
        <v>12</v>
      </c>
      <c r="B5" s="12">
        <v>80.0</v>
      </c>
      <c r="C5" s="14">
        <v>12.0</v>
      </c>
      <c r="D5" s="14">
        <v>960.0</v>
      </c>
      <c r="E5" s="8"/>
      <c r="F5" s="12" t="s">
        <v>12</v>
      </c>
      <c r="G5" s="19">
        <f>COUNTIF($A$2:$A$9,"MAÇÃ")</f>
        <v>3</v>
      </c>
      <c r="H5" s="19">
        <f>SUMIFS($B$2:$B$9,$A$2:$A$9,"Maçã")</f>
        <v>155</v>
      </c>
      <c r="I5" s="1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2" t="s">
        <v>16</v>
      </c>
      <c r="B6" s="12">
        <v>2.0</v>
      </c>
      <c r="C6" s="14">
        <v>15.0</v>
      </c>
      <c r="D6" s="14">
        <v>30.0</v>
      </c>
      <c r="E6" s="8"/>
      <c r="F6" s="8"/>
      <c r="G6" s="8"/>
      <c r="H6" s="8"/>
      <c r="I6" s="2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2" t="s">
        <v>26</v>
      </c>
      <c r="B7" s="12">
        <v>80.0</v>
      </c>
      <c r="C7" s="14">
        <v>10.0</v>
      </c>
      <c r="D7" s="14">
        <v>800.0</v>
      </c>
      <c r="E7" s="8"/>
      <c r="F7" s="8"/>
      <c r="G7" s="8"/>
      <c r="H7" s="8"/>
      <c r="I7" s="2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2" t="s">
        <v>31</v>
      </c>
      <c r="B8" s="12">
        <v>100.0</v>
      </c>
      <c r="C8" s="14">
        <v>30.0</v>
      </c>
      <c r="D8" s="14">
        <v>3000.0</v>
      </c>
      <c r="E8" s="8"/>
      <c r="F8" s="8"/>
      <c r="G8" s="8"/>
      <c r="H8" s="8"/>
      <c r="I8" s="2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2" t="s">
        <v>12</v>
      </c>
      <c r="B9" s="12">
        <v>65.0</v>
      </c>
      <c r="C9" s="14">
        <v>12.0</v>
      </c>
      <c r="D9" s="14">
        <v>780.0</v>
      </c>
      <c r="E9" s="8"/>
      <c r="F9" s="8"/>
      <c r="G9" s="8"/>
      <c r="H9" s="8"/>
      <c r="I9" s="2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8" t="s">
        <v>44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15277777777778" footer="0.0" header="0.0" left="0.511805555555555" right="0.511805555555555" top="0.31527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0.0"/>
    <col customWidth="1" min="3" max="4" width="10.86"/>
    <col customWidth="1" min="5" max="5" width="19.14"/>
    <col customWidth="1" min="6" max="6" width="19.29"/>
    <col customWidth="1" min="7" max="7" width="10.86"/>
    <col customWidth="1" min="8" max="8" width="30.71"/>
    <col customWidth="1" min="9" max="9" width="18.57"/>
    <col customWidth="1" min="10" max="10" width="15.0"/>
    <col customWidth="1" min="11" max="11" width="18.57"/>
    <col customWidth="1" min="12" max="26" width="8.71"/>
  </cols>
  <sheetData>
    <row r="1" ht="14.25" customHeight="1">
      <c r="A1" s="29" t="s">
        <v>45</v>
      </c>
      <c r="B1" s="29" t="s">
        <v>46</v>
      </c>
      <c r="C1" s="29" t="s">
        <v>47</v>
      </c>
      <c r="D1" s="29" t="s">
        <v>48</v>
      </c>
      <c r="E1" s="29" t="s">
        <v>11</v>
      </c>
      <c r="F1" s="29" t="s">
        <v>49</v>
      </c>
      <c r="G1" s="30"/>
      <c r="H1" s="29" t="s">
        <v>45</v>
      </c>
      <c r="I1" s="29" t="s">
        <v>50</v>
      </c>
      <c r="J1" s="29" t="s">
        <v>51</v>
      </c>
      <c r="K1" s="29" t="s">
        <v>52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31" t="s">
        <v>53</v>
      </c>
      <c r="B2" s="31" t="s">
        <v>54</v>
      </c>
      <c r="C2" s="32" t="s">
        <v>55</v>
      </c>
      <c r="D2" s="32">
        <v>6.0</v>
      </c>
      <c r="E2" s="33">
        <v>14.0</v>
      </c>
      <c r="F2" s="33">
        <f t="shared" ref="F2:F30" si="1">D2*E2</f>
        <v>84</v>
      </c>
      <c r="G2" s="30"/>
      <c r="H2" s="31" t="s">
        <v>53</v>
      </c>
      <c r="I2" s="36">
        <f>SUMIF($A$2:$A$30,"andré",$D$2:$D$30)</f>
        <v>110</v>
      </c>
      <c r="J2" s="36">
        <f>SUMIF($A$2:$A$30,"andré",$F$2:$F$30)</f>
        <v>1624</v>
      </c>
      <c r="K2" s="36">
        <f>COUNTIF($A$2:$A$30,"andré")</f>
        <v>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1" t="s">
        <v>75</v>
      </c>
      <c r="B3" s="31" t="s">
        <v>76</v>
      </c>
      <c r="C3" s="32" t="s">
        <v>77</v>
      </c>
      <c r="D3" s="32">
        <v>14.0</v>
      </c>
      <c r="E3" s="33">
        <v>14.0</v>
      </c>
      <c r="F3" s="33">
        <f t="shared" si="1"/>
        <v>196</v>
      </c>
      <c r="G3" s="30"/>
      <c r="H3" s="31" t="s">
        <v>75</v>
      </c>
      <c r="I3" s="36">
        <f>SUMIF($A$2:$A$30,"adriana",$D$2:$D$30)</f>
        <v>178</v>
      </c>
      <c r="J3" s="36">
        <f>SUMIF($A$2:$A$30,"adriana",$F$2:$F$30)</f>
        <v>2339</v>
      </c>
      <c r="K3" s="36">
        <f>COUNTIF($A$2:$A$30,"adriana")</f>
        <v>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31" t="s">
        <v>53</v>
      </c>
      <c r="B4" s="31" t="s">
        <v>54</v>
      </c>
      <c r="C4" s="32" t="s">
        <v>80</v>
      </c>
      <c r="D4" s="32">
        <v>9.0</v>
      </c>
      <c r="E4" s="33">
        <v>18.0</v>
      </c>
      <c r="F4" s="33">
        <f t="shared" si="1"/>
        <v>162</v>
      </c>
      <c r="G4" s="30"/>
      <c r="H4" s="31" t="s">
        <v>83</v>
      </c>
      <c r="I4" s="36">
        <f>SUMIF($A$2:$A$30,"eduardo",$D$2:$D$30)</f>
        <v>128</v>
      </c>
      <c r="J4" s="36">
        <f>SUMIF($A$2:$A$30,"eduardo",$F$2:$F$30)</f>
        <v>1983</v>
      </c>
      <c r="K4" s="36">
        <f>COUNTIF($A$2:$A$30,"eduardo")</f>
        <v>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31" t="s">
        <v>53</v>
      </c>
      <c r="B5" s="31" t="s">
        <v>54</v>
      </c>
      <c r="C5" s="32" t="s">
        <v>80</v>
      </c>
      <c r="D5" s="32">
        <v>15.0</v>
      </c>
      <c r="E5" s="33">
        <v>18.0</v>
      </c>
      <c r="F5" s="33">
        <f t="shared" si="1"/>
        <v>270</v>
      </c>
      <c r="G5" s="30"/>
      <c r="H5" s="31" t="s">
        <v>89</v>
      </c>
      <c r="I5" s="36">
        <f>SUMIF($A$2:$A$30,"luciana",$D$2:$D$30)</f>
        <v>119</v>
      </c>
      <c r="J5" s="36">
        <f>SUMIF($A$2:$A$30,"luciana",$F$2:$F$30)</f>
        <v>1572</v>
      </c>
      <c r="K5" s="36">
        <f>COUNTIF($A$2:$A$30,"luciana")</f>
        <v>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31" t="s">
        <v>83</v>
      </c>
      <c r="B6" s="31" t="s">
        <v>76</v>
      </c>
      <c r="C6" s="32" t="s">
        <v>94</v>
      </c>
      <c r="D6" s="32">
        <v>18.0</v>
      </c>
      <c r="E6" s="33">
        <v>18.0</v>
      </c>
      <c r="F6" s="33">
        <f t="shared" si="1"/>
        <v>324</v>
      </c>
      <c r="G6" s="30"/>
      <c r="H6" s="30"/>
      <c r="I6" s="30"/>
      <c r="J6" s="30"/>
      <c r="K6" s="3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1" t="s">
        <v>89</v>
      </c>
      <c r="B7" s="31" t="s">
        <v>96</v>
      </c>
      <c r="C7" s="32" t="s">
        <v>55</v>
      </c>
      <c r="D7" s="32">
        <v>42.0</v>
      </c>
      <c r="E7" s="33">
        <v>15.0</v>
      </c>
      <c r="F7" s="33">
        <f t="shared" si="1"/>
        <v>630</v>
      </c>
      <c r="G7" s="30"/>
      <c r="H7" s="29" t="s">
        <v>46</v>
      </c>
      <c r="I7" s="29" t="s">
        <v>50</v>
      </c>
      <c r="J7" s="29" t="s">
        <v>51</v>
      </c>
      <c r="K7" s="29" t="s">
        <v>52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1" t="s">
        <v>89</v>
      </c>
      <c r="B8" s="31" t="s">
        <v>98</v>
      </c>
      <c r="C8" s="32" t="s">
        <v>80</v>
      </c>
      <c r="D8" s="32">
        <v>18.0</v>
      </c>
      <c r="E8" s="33">
        <v>13.0</v>
      </c>
      <c r="F8" s="33">
        <f t="shared" si="1"/>
        <v>234</v>
      </c>
      <c r="G8" s="30"/>
      <c r="H8" s="31" t="s">
        <v>54</v>
      </c>
      <c r="I8" s="42">
        <f>SUMIF($B$2:$B$30,"abacate",$D$2:$D$30)</f>
        <v>58</v>
      </c>
      <c r="J8" s="42">
        <f>SUMIF($B$2:$B$30,"abacate",$F$2:$F$30)</f>
        <v>863</v>
      </c>
      <c r="K8" s="31">
        <f>COUNTIF($B$2:$B$30,"abacate")</f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1" t="s">
        <v>89</v>
      </c>
      <c r="B9" s="31" t="s">
        <v>105</v>
      </c>
      <c r="C9" s="32" t="s">
        <v>77</v>
      </c>
      <c r="D9" s="32">
        <v>13.0</v>
      </c>
      <c r="E9" s="33">
        <v>16.0</v>
      </c>
      <c r="F9" s="33">
        <f t="shared" si="1"/>
        <v>208</v>
      </c>
      <c r="G9" s="30"/>
      <c r="H9" s="31" t="s">
        <v>76</v>
      </c>
      <c r="I9" s="42">
        <f>SUMIF($B$2:$B$30,"uva",$D$2:$D$30)</f>
        <v>232</v>
      </c>
      <c r="J9" s="42">
        <f>SUMIF($B$2:$B$30,"uva",$F$2:$F$30)</f>
        <v>2982</v>
      </c>
      <c r="K9" s="31">
        <f>COUNTIF($B$2:$B$30,"uva")</f>
        <v>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31" t="s">
        <v>75</v>
      </c>
      <c r="B10" s="31" t="s">
        <v>76</v>
      </c>
      <c r="C10" s="32" t="s">
        <v>77</v>
      </c>
      <c r="D10" s="32">
        <v>8.0</v>
      </c>
      <c r="E10" s="33">
        <v>12.0</v>
      </c>
      <c r="F10" s="33">
        <f t="shared" si="1"/>
        <v>96</v>
      </c>
      <c r="G10" s="30"/>
      <c r="H10" s="31" t="s">
        <v>96</v>
      </c>
      <c r="I10" s="42">
        <f>SUMIF($B$2:$B$30,"maçã",$D$2:$D$30)</f>
        <v>62</v>
      </c>
      <c r="J10" s="42">
        <f>SUMIF($B$2:$B$30,"maçã",$F$2:$F$30)</f>
        <v>910</v>
      </c>
      <c r="K10" s="31">
        <f>COUNTIF($B$2:$B$30,"maçã")</f>
        <v>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1" t="s">
        <v>83</v>
      </c>
      <c r="B11" s="31" t="s">
        <v>98</v>
      </c>
      <c r="C11" s="32" t="s">
        <v>94</v>
      </c>
      <c r="D11" s="32">
        <v>16.0</v>
      </c>
      <c r="E11" s="33">
        <v>16.0</v>
      </c>
      <c r="F11" s="33">
        <f t="shared" si="1"/>
        <v>256</v>
      </c>
      <c r="G11" s="30"/>
      <c r="H11" s="31" t="s">
        <v>98</v>
      </c>
      <c r="I11" s="42">
        <f>SUMIF($B$2:$B$30,"mamão",$D$2:$D$30)</f>
        <v>71</v>
      </c>
      <c r="J11" s="42">
        <f>SUMIF($B$2:$B$30,"mamão",$F$2:$F$30)</f>
        <v>1026</v>
      </c>
      <c r="K11" s="31">
        <f>COUNTIF($B$2:$B$30,"mamão")</f>
        <v>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1" t="s">
        <v>89</v>
      </c>
      <c r="B12" s="31" t="s">
        <v>105</v>
      </c>
      <c r="C12" s="32" t="s">
        <v>55</v>
      </c>
      <c r="D12" s="32">
        <v>13.0</v>
      </c>
      <c r="E12" s="33">
        <v>11.0</v>
      </c>
      <c r="F12" s="33">
        <f t="shared" si="1"/>
        <v>143</v>
      </c>
      <c r="G12" s="30"/>
      <c r="H12" s="31" t="s">
        <v>105</v>
      </c>
      <c r="I12" s="42">
        <f>SUMIF($B$2:$B$30,"pera",$D$2:$D$30)</f>
        <v>43</v>
      </c>
      <c r="J12" s="42">
        <f>SUMIF($B$2:$B$30,"pera",$F$2:$F$30)</f>
        <v>606</v>
      </c>
      <c r="K12" s="31">
        <f>COUNTIF($B$2:$B$30,"pera")</f>
        <v>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1" t="s">
        <v>75</v>
      </c>
      <c r="B13" s="31" t="s">
        <v>76</v>
      </c>
      <c r="C13" s="32" t="s">
        <v>77</v>
      </c>
      <c r="D13" s="32">
        <v>16.0</v>
      </c>
      <c r="E13" s="33">
        <v>14.0</v>
      </c>
      <c r="F13" s="33">
        <f t="shared" si="1"/>
        <v>224</v>
      </c>
      <c r="G13" s="30"/>
      <c r="H13" s="31" t="s">
        <v>115</v>
      </c>
      <c r="I13" s="42">
        <f>SUMIF($B$2:$B$30,"melão",$D$2:$D$30)</f>
        <v>69</v>
      </c>
      <c r="J13" s="42">
        <f>SUMIF($B$2:$B$30,"melão",$F$2:$F$30)</f>
        <v>1131</v>
      </c>
      <c r="K13" s="31">
        <f>COUNTIF($B$2:$B$30,"melão")</f>
        <v>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1" t="s">
        <v>89</v>
      </c>
      <c r="B14" s="31" t="s">
        <v>76</v>
      </c>
      <c r="C14" s="32" t="s">
        <v>77</v>
      </c>
      <c r="D14" s="32">
        <v>8.0</v>
      </c>
      <c r="E14" s="33">
        <v>9.0</v>
      </c>
      <c r="F14" s="33">
        <f t="shared" si="1"/>
        <v>72</v>
      </c>
      <c r="G14" s="30"/>
      <c r="H14" s="30"/>
      <c r="I14" s="30"/>
      <c r="J14" s="30"/>
      <c r="K14" s="3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1" t="s">
        <v>75</v>
      </c>
      <c r="B15" s="31" t="s">
        <v>76</v>
      </c>
      <c r="C15" s="32" t="s">
        <v>55</v>
      </c>
      <c r="D15" s="32">
        <v>90.0</v>
      </c>
      <c r="E15" s="33">
        <v>12.0</v>
      </c>
      <c r="F15" s="33">
        <f t="shared" si="1"/>
        <v>1080</v>
      </c>
      <c r="G15" s="30"/>
      <c r="H15" s="29" t="s">
        <v>47</v>
      </c>
      <c r="I15" s="29" t="s">
        <v>50</v>
      </c>
      <c r="J15" s="29" t="s">
        <v>51</v>
      </c>
      <c r="K15" s="29" t="s">
        <v>52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1" t="s">
        <v>75</v>
      </c>
      <c r="B16" s="31" t="s">
        <v>96</v>
      </c>
      <c r="C16" s="32" t="s">
        <v>77</v>
      </c>
      <c r="D16" s="32">
        <v>20.0</v>
      </c>
      <c r="E16" s="33">
        <v>14.0</v>
      </c>
      <c r="F16" s="33">
        <f t="shared" si="1"/>
        <v>280</v>
      </c>
      <c r="G16" s="30"/>
      <c r="H16" s="32" t="s">
        <v>55</v>
      </c>
      <c r="I16" s="31">
        <f>SUMIF($C$2:$C$30,"SP",$D$2:$D$30)</f>
        <v>253</v>
      </c>
      <c r="J16" s="31">
        <f>SUMIF(C2:C30,"SP",$F$2:$F$30)</f>
        <v>3527</v>
      </c>
      <c r="K16" s="31">
        <f>COUNTIF($C$2:$C$30,"SP")</f>
        <v>10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1" t="s">
        <v>75</v>
      </c>
      <c r="B17" s="31" t="s">
        <v>76</v>
      </c>
      <c r="C17" s="32" t="s">
        <v>55</v>
      </c>
      <c r="D17" s="32">
        <v>18.0</v>
      </c>
      <c r="E17" s="33">
        <v>15.0</v>
      </c>
      <c r="F17" s="33">
        <f t="shared" si="1"/>
        <v>270</v>
      </c>
      <c r="G17" s="30"/>
      <c r="H17" s="32" t="s">
        <v>77</v>
      </c>
      <c r="I17" s="31">
        <f>SUMIF($C$2:$C$30,"RJ",$D$2:$D$30)</f>
        <v>98</v>
      </c>
      <c r="J17" s="31">
        <f>SUMIF(C3:C31,"RJ",$F$2:$F$30)</f>
        <v>2049</v>
      </c>
      <c r="K17" s="31">
        <f>COUNTIF($C$2:$C$30,"RJ")</f>
        <v>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1" t="s">
        <v>83</v>
      </c>
      <c r="B18" s="31" t="s">
        <v>54</v>
      </c>
      <c r="C18" s="32" t="s">
        <v>80</v>
      </c>
      <c r="D18" s="32">
        <v>6.0</v>
      </c>
      <c r="E18" s="33">
        <v>16.0</v>
      </c>
      <c r="F18" s="33">
        <f t="shared" si="1"/>
        <v>96</v>
      </c>
      <c r="G18" s="30"/>
      <c r="H18" s="32" t="s">
        <v>80</v>
      </c>
      <c r="I18" s="31">
        <f>SUMIF($C$2:$C$30,"SC",$D$2:$D$30)</f>
        <v>120</v>
      </c>
      <c r="J18" s="31">
        <f>SUMIF(C4:C32,"SC",$F$2:$F$30)</f>
        <v>2082</v>
      </c>
      <c r="K18" s="31">
        <f>COUNTIF($C$2:$C$30,"SC")</f>
        <v>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1" t="s">
        <v>53</v>
      </c>
      <c r="B19" s="31" t="s">
        <v>76</v>
      </c>
      <c r="C19" s="32" t="s">
        <v>80</v>
      </c>
      <c r="D19" s="32">
        <v>60.0</v>
      </c>
      <c r="E19" s="33">
        <v>12.0</v>
      </c>
      <c r="F19" s="33">
        <f t="shared" si="1"/>
        <v>720</v>
      </c>
      <c r="G19" s="30"/>
      <c r="H19" s="32" t="s">
        <v>94</v>
      </c>
      <c r="I19" s="31">
        <f>SUMIF($C$2:$C$30,"RS",$D$2:$D$30)</f>
        <v>64</v>
      </c>
      <c r="J19" s="31">
        <f>SUMIF(C5:C33,"RS",$F$2:$F$30)</f>
        <v>1528</v>
      </c>
      <c r="K19" s="31">
        <f>COUNTIF($C$2:$C$30,"RS")</f>
        <v>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1" t="s">
        <v>75</v>
      </c>
      <c r="B20" s="31" t="s">
        <v>54</v>
      </c>
      <c r="C20" s="32" t="s">
        <v>55</v>
      </c>
      <c r="D20" s="32">
        <v>3.0</v>
      </c>
      <c r="E20" s="33">
        <v>14.0</v>
      </c>
      <c r="F20" s="33">
        <f t="shared" si="1"/>
        <v>42</v>
      </c>
      <c r="G20" s="30"/>
      <c r="H20" s="32" t="s">
        <v>129</v>
      </c>
      <c r="I20" s="31">
        <f>SUMIF($C$2:$C$30,"PI",$D$2:$D$30)</f>
        <v>0</v>
      </c>
      <c r="J20" s="31">
        <f>SUMIF(C6:C34,"PI",$F$2:$F$30)</f>
        <v>0</v>
      </c>
      <c r="K20" s="31">
        <f>COUNTIF($C$2:$C$30,"PI")</f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1" t="s">
        <v>53</v>
      </c>
      <c r="B21" s="31" t="s">
        <v>98</v>
      </c>
      <c r="C21" s="32" t="s">
        <v>80</v>
      </c>
      <c r="D21" s="32">
        <v>8.0</v>
      </c>
      <c r="E21" s="33">
        <v>26.0</v>
      </c>
      <c r="F21" s="33">
        <f t="shared" si="1"/>
        <v>208</v>
      </c>
      <c r="G21" s="30"/>
      <c r="H21" s="32" t="s">
        <v>142</v>
      </c>
      <c r="I21" s="31">
        <f>SUMIF($C$2:$C$30,"CE",$D$2:$D$30)</f>
        <v>0</v>
      </c>
      <c r="J21" s="31">
        <f>SUMIF(C7:C35,"CE",$F$2:$F$30)</f>
        <v>0</v>
      </c>
      <c r="K21" s="31">
        <f>COUNTIF($C$2:$C$30,"CE")</f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1" t="s">
        <v>83</v>
      </c>
      <c r="B22" s="31" t="s">
        <v>98</v>
      </c>
      <c r="C22" s="32" t="s">
        <v>55</v>
      </c>
      <c r="D22" s="32">
        <v>9.0</v>
      </c>
      <c r="E22" s="33">
        <v>12.0</v>
      </c>
      <c r="F22" s="33">
        <f t="shared" si="1"/>
        <v>108</v>
      </c>
      <c r="G22" s="30"/>
      <c r="H22" s="30"/>
      <c r="I22" s="30"/>
      <c r="J22" s="30"/>
      <c r="K22" s="3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1" t="s">
        <v>75</v>
      </c>
      <c r="B23" s="31" t="s">
        <v>115</v>
      </c>
      <c r="C23" s="32" t="s">
        <v>80</v>
      </c>
      <c r="D23" s="32">
        <v>4.0</v>
      </c>
      <c r="E23" s="33">
        <v>19.0</v>
      </c>
      <c r="F23" s="33">
        <f t="shared" si="1"/>
        <v>76</v>
      </c>
      <c r="G23" s="30"/>
      <c r="H23" s="30" t="s">
        <v>154</v>
      </c>
      <c r="I23" s="30"/>
      <c r="J23" s="30"/>
      <c r="K23" s="3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1" t="s">
        <v>83</v>
      </c>
      <c r="B24" s="31" t="s">
        <v>54</v>
      </c>
      <c r="C24" s="32" t="s">
        <v>77</v>
      </c>
      <c r="D24" s="32">
        <v>19.0</v>
      </c>
      <c r="E24" s="33">
        <v>11.0</v>
      </c>
      <c r="F24" s="33">
        <f t="shared" si="1"/>
        <v>209</v>
      </c>
      <c r="G24" s="30"/>
      <c r="H24" s="29" t="s">
        <v>159</v>
      </c>
      <c r="I24" s="29" t="s">
        <v>52</v>
      </c>
      <c r="J24" s="30"/>
      <c r="K24" s="3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1" t="s">
        <v>89</v>
      </c>
      <c r="B25" s="31" t="s">
        <v>98</v>
      </c>
      <c r="C25" s="32" t="s">
        <v>94</v>
      </c>
      <c r="D25" s="32">
        <v>20.0</v>
      </c>
      <c r="E25" s="33">
        <v>11.0</v>
      </c>
      <c r="F25" s="33">
        <f t="shared" si="1"/>
        <v>220</v>
      </c>
      <c r="G25" s="30"/>
      <c r="H25" s="31" t="s">
        <v>162</v>
      </c>
      <c r="I25" s="31">
        <f>COUNTIF(D2:D30,"&gt;10")</f>
        <v>18</v>
      </c>
      <c r="J25" s="30"/>
      <c r="K25" s="3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1" t="s">
        <v>83</v>
      </c>
      <c r="B26" s="31" t="s">
        <v>115</v>
      </c>
      <c r="C26" s="32" t="s">
        <v>55</v>
      </c>
      <c r="D26" s="32">
        <v>45.0</v>
      </c>
      <c r="E26" s="33">
        <v>17.0</v>
      </c>
      <c r="F26" s="33">
        <f t="shared" si="1"/>
        <v>765</v>
      </c>
      <c r="G26" s="30"/>
      <c r="H26" s="30"/>
      <c r="I26" s="30"/>
      <c r="J26" s="30"/>
      <c r="K26" s="3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31" t="s">
        <v>83</v>
      </c>
      <c r="B27" s="31" t="s">
        <v>115</v>
      </c>
      <c r="C27" s="32" t="s">
        <v>55</v>
      </c>
      <c r="D27" s="32">
        <v>15.0</v>
      </c>
      <c r="E27" s="33">
        <v>15.0</v>
      </c>
      <c r="F27" s="33">
        <f t="shared" si="1"/>
        <v>225</v>
      </c>
      <c r="G27" s="30"/>
      <c r="H27" s="30"/>
      <c r="I27" s="30"/>
      <c r="J27" s="30"/>
      <c r="K27" s="3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1" t="s">
        <v>53</v>
      </c>
      <c r="B28" s="31" t="s">
        <v>105</v>
      </c>
      <c r="C28" s="32" t="s">
        <v>55</v>
      </c>
      <c r="D28" s="32">
        <v>12.0</v>
      </c>
      <c r="E28" s="33">
        <v>15.0</v>
      </c>
      <c r="F28" s="33">
        <f t="shared" si="1"/>
        <v>180</v>
      </c>
      <c r="G28" s="30"/>
      <c r="H28" s="30"/>
      <c r="I28" s="30"/>
      <c r="J28" s="30"/>
      <c r="K28" s="30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1" t="s">
        <v>89</v>
      </c>
      <c r="B29" s="31" t="s">
        <v>115</v>
      </c>
      <c r="C29" s="32" t="s">
        <v>94</v>
      </c>
      <c r="D29" s="32">
        <v>5.0</v>
      </c>
      <c r="E29" s="33">
        <v>13.0</v>
      </c>
      <c r="F29" s="33">
        <f t="shared" si="1"/>
        <v>65</v>
      </c>
      <c r="G29" s="30"/>
      <c r="H29" s="30"/>
      <c r="I29" s="30"/>
      <c r="J29" s="30"/>
      <c r="K29" s="30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1" t="s">
        <v>75</v>
      </c>
      <c r="B30" s="31" t="s">
        <v>105</v>
      </c>
      <c r="C30" s="32" t="s">
        <v>94</v>
      </c>
      <c r="D30" s="32">
        <v>5.0</v>
      </c>
      <c r="E30" s="33">
        <v>15.0</v>
      </c>
      <c r="F30" s="33">
        <f t="shared" si="1"/>
        <v>75</v>
      </c>
      <c r="G30" s="30"/>
      <c r="H30" s="30"/>
      <c r="I30" s="30"/>
      <c r="J30" s="30"/>
      <c r="K30" s="3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28" t="s">
        <v>44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15277777777778" footer="0.0" header="0.0" left="0.511805555555555" right="0.511805555555555" top="0.31527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3.14"/>
    <col customWidth="1" min="3" max="3" width="13.43"/>
    <col customWidth="1" min="4" max="4" width="19.86"/>
    <col customWidth="1" min="5" max="6" width="10.86"/>
    <col customWidth="1" min="7" max="24" width="8.71"/>
  </cols>
  <sheetData>
    <row r="1" ht="14.25" customHeight="1">
      <c r="A1" s="35" t="s">
        <v>57</v>
      </c>
      <c r="B1" s="5"/>
      <c r="C1" s="5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4.25" customHeight="1">
      <c r="A3" s="37" t="s">
        <v>70</v>
      </c>
      <c r="B3" s="37" t="s">
        <v>71</v>
      </c>
      <c r="C3" s="37" t="s">
        <v>72</v>
      </c>
      <c r="D3" s="37" t="s">
        <v>73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4.25" customHeight="1">
      <c r="A4" s="18" t="s">
        <v>74</v>
      </c>
      <c r="B4" s="38">
        <v>8.0</v>
      </c>
      <c r="C4" s="39">
        <v>0.65</v>
      </c>
      <c r="D4" s="18" t="str">
        <f t="shared" ref="D4:D8" si="1">IF($B$4:$B$8,"aprovado","&gt;6"=IF($C$4:$C$8&gt;60))</f>
        <v>aprovado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4.25" customHeight="1">
      <c r="A5" s="18" t="s">
        <v>79</v>
      </c>
      <c r="B5" s="38">
        <v>7.0</v>
      </c>
      <c r="C5" s="39">
        <v>0.4</v>
      </c>
      <c r="D5" s="18" t="str">
        <f t="shared" si="1"/>
        <v>aprovado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4.25" customHeight="1">
      <c r="A6" s="18" t="s">
        <v>82</v>
      </c>
      <c r="B6" s="38">
        <v>8.0</v>
      </c>
      <c r="C6" s="39">
        <v>0.4</v>
      </c>
      <c r="D6" s="18" t="str">
        <f t="shared" si="1"/>
        <v>aprovado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4.25" customHeight="1">
      <c r="A7" s="18" t="s">
        <v>84</v>
      </c>
      <c r="B7" s="38">
        <v>10.0</v>
      </c>
      <c r="C7" s="39">
        <v>0.9</v>
      </c>
      <c r="D7" s="18" t="str">
        <f t="shared" si="1"/>
        <v>aprovado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4.25" customHeight="1">
      <c r="A8" s="18" t="s">
        <v>85</v>
      </c>
      <c r="B8" s="38">
        <v>8.0</v>
      </c>
      <c r="C8" s="39">
        <v>0.5</v>
      </c>
      <c r="D8" s="18" t="str">
        <f t="shared" si="1"/>
        <v>aprovado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69.0" customHeight="1">
      <c r="A12" s="40" t="s">
        <v>73</v>
      </c>
      <c r="B12" s="41" t="s">
        <v>90</v>
      </c>
      <c r="C12" s="5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4.25" customHeight="1">
      <c r="A15" s="28" t="s">
        <v>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B12:D12"/>
  </mergeCells>
  <printOptions/>
  <pageMargins bottom="0.315277777777778" footer="0.0" header="0.0" left="0.511805555555555" right="0.511805555555555" top="0.31527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43"/>
    <col customWidth="1" min="3" max="8" width="8.71"/>
    <col customWidth="1" min="9" max="9" width="11.0"/>
    <col customWidth="1" min="10" max="10" width="10.0"/>
    <col customWidth="1" min="11" max="11" width="15.14"/>
    <col customWidth="1" min="12" max="12" width="11.71"/>
  </cols>
  <sheetData>
    <row r="1" ht="12.75" customHeight="1">
      <c r="A1" s="34" t="s">
        <v>56</v>
      </c>
      <c r="B1" s="34" t="s">
        <v>58</v>
      </c>
      <c r="C1" s="34" t="s">
        <v>59</v>
      </c>
      <c r="D1" s="34" t="s">
        <v>60</v>
      </c>
      <c r="E1" s="34" t="s">
        <v>61</v>
      </c>
      <c r="F1" s="34" t="s">
        <v>62</v>
      </c>
      <c r="G1" s="34" t="s">
        <v>63</v>
      </c>
      <c r="H1" s="34" t="s">
        <v>64</v>
      </c>
      <c r="I1" s="34" t="s">
        <v>65</v>
      </c>
      <c r="J1" s="34" t="s">
        <v>66</v>
      </c>
      <c r="K1" s="34" t="s">
        <v>67</v>
      </c>
      <c r="L1" s="34" t="s">
        <v>68</v>
      </c>
    </row>
    <row r="2" ht="12.75" customHeight="1">
      <c r="A2" s="12">
        <v>1.0</v>
      </c>
      <c r="B2" s="15" t="s">
        <v>69</v>
      </c>
      <c r="C2" s="12">
        <f t="shared" ref="C2:C21" si="1">E2*3+F2*1+G2*0</f>
        <v>27</v>
      </c>
      <c r="D2" s="12">
        <v>12.0</v>
      </c>
      <c r="E2" s="12">
        <v>8.0</v>
      </c>
      <c r="F2" s="12">
        <v>3.0</v>
      </c>
      <c r="G2" s="12">
        <v>1.0</v>
      </c>
      <c r="H2" s="12">
        <v>21.0</v>
      </c>
      <c r="I2" s="12">
        <v>7.0</v>
      </c>
      <c r="J2" s="19">
        <f t="shared" ref="J2:J21" si="2">H2-I2</f>
        <v>14</v>
      </c>
      <c r="K2" s="12">
        <f t="shared" ref="K2:K21" si="3">C2:C21/D1:D21*3</f>
        <v>6.75</v>
      </c>
      <c r="L2" s="18" t="str">
        <f>IF($A$2:$A$21=1,"lider","libertadores"=IF($A$2:$A$21&lt;6,"libertadores","rebaixados"))</f>
        <v>lider</v>
      </c>
    </row>
    <row r="3" ht="12.75" customHeight="1">
      <c r="A3" s="12">
        <v>2.0</v>
      </c>
      <c r="B3" s="15" t="s">
        <v>78</v>
      </c>
      <c r="C3" s="12">
        <f t="shared" si="1"/>
        <v>23</v>
      </c>
      <c r="D3" s="12">
        <v>12.0</v>
      </c>
      <c r="E3" s="12">
        <v>7.0</v>
      </c>
      <c r="F3" s="12">
        <v>2.0</v>
      </c>
      <c r="G3" s="12">
        <v>3.0</v>
      </c>
      <c r="H3" s="12">
        <v>24.0</v>
      </c>
      <c r="I3" s="12">
        <v>17.0</v>
      </c>
      <c r="J3" s="19">
        <f t="shared" si="2"/>
        <v>7</v>
      </c>
      <c r="K3" s="12">
        <f t="shared" si="3"/>
        <v>5.75</v>
      </c>
      <c r="L3" s="18" t="str">
        <f>SE($A$2:$A$21=1;"lider";=SE($A$2:$A$21&lt;6;"libertadores";"rebaixados"))</f>
        <v>#ERROR!</v>
      </c>
    </row>
    <row r="4" ht="12.75" customHeight="1">
      <c r="A4" s="12">
        <v>3.0</v>
      </c>
      <c r="B4" s="15" t="s">
        <v>81</v>
      </c>
      <c r="C4" s="12">
        <f t="shared" si="1"/>
        <v>23</v>
      </c>
      <c r="D4" s="12">
        <v>12.0</v>
      </c>
      <c r="E4" s="12">
        <v>6.0</v>
      </c>
      <c r="F4" s="12">
        <v>5.0</v>
      </c>
      <c r="G4" s="12">
        <v>1.0</v>
      </c>
      <c r="H4" s="12">
        <v>18.0</v>
      </c>
      <c r="I4" s="12">
        <v>11.0</v>
      </c>
      <c r="J4" s="19">
        <f t="shared" si="2"/>
        <v>7</v>
      </c>
      <c r="K4" s="12">
        <f t="shared" si="3"/>
        <v>5.75</v>
      </c>
      <c r="L4" s="18" t="b">
        <f t="shared" ref="L4:L21" si="4">IF($A$2:$A$21=1,"lider","libertadores"=IF($A$2:$A$21&lt;6,"libertadores","rebaixados"))</f>
        <v>1</v>
      </c>
    </row>
    <row r="5" ht="12.75" customHeight="1">
      <c r="A5" s="12">
        <v>4.0</v>
      </c>
      <c r="B5" s="15" t="s">
        <v>86</v>
      </c>
      <c r="C5" s="12">
        <f t="shared" si="1"/>
        <v>22</v>
      </c>
      <c r="D5" s="12">
        <v>12.0</v>
      </c>
      <c r="E5" s="12">
        <v>6.0</v>
      </c>
      <c r="F5" s="12">
        <v>4.0</v>
      </c>
      <c r="G5" s="12">
        <v>2.0</v>
      </c>
      <c r="H5" s="12">
        <v>15.0</v>
      </c>
      <c r="I5" s="12">
        <v>8.0</v>
      </c>
      <c r="J5" s="19">
        <f t="shared" si="2"/>
        <v>7</v>
      </c>
      <c r="K5" s="12">
        <f t="shared" si="3"/>
        <v>5.5</v>
      </c>
      <c r="L5" s="18" t="b">
        <f t="shared" si="4"/>
        <v>1</v>
      </c>
    </row>
    <row r="6" ht="12.75" customHeight="1">
      <c r="A6" s="12">
        <v>5.0</v>
      </c>
      <c r="B6" s="15" t="s">
        <v>87</v>
      </c>
      <c r="C6" s="12">
        <f t="shared" si="1"/>
        <v>20</v>
      </c>
      <c r="D6" s="12">
        <v>12.0</v>
      </c>
      <c r="E6" s="12">
        <v>5.0</v>
      </c>
      <c r="F6" s="12">
        <v>5.0</v>
      </c>
      <c r="G6" s="12">
        <v>2.0</v>
      </c>
      <c r="H6" s="12">
        <v>11.0</v>
      </c>
      <c r="I6" s="12">
        <v>5.0</v>
      </c>
      <c r="J6" s="19">
        <f t="shared" si="2"/>
        <v>6</v>
      </c>
      <c r="K6" s="12">
        <f t="shared" si="3"/>
        <v>5</v>
      </c>
      <c r="L6" s="18" t="b">
        <f t="shared" si="4"/>
        <v>1</v>
      </c>
    </row>
    <row r="7" ht="12.75" customHeight="1">
      <c r="A7" s="12">
        <v>6.0</v>
      </c>
      <c r="B7" s="15" t="s">
        <v>88</v>
      </c>
      <c r="C7" s="12">
        <f t="shared" si="1"/>
        <v>19</v>
      </c>
      <c r="D7" s="12">
        <v>12.0</v>
      </c>
      <c r="E7" s="12">
        <v>5.0</v>
      </c>
      <c r="F7" s="12">
        <v>4.0</v>
      </c>
      <c r="G7" s="12">
        <v>3.0</v>
      </c>
      <c r="H7" s="12">
        <v>18.0</v>
      </c>
      <c r="I7" s="12">
        <v>11.0</v>
      </c>
      <c r="J7" s="19">
        <f t="shared" si="2"/>
        <v>7</v>
      </c>
      <c r="K7" s="12">
        <f t="shared" si="3"/>
        <v>4.75</v>
      </c>
      <c r="L7" s="18" t="b">
        <f t="shared" si="4"/>
        <v>0</v>
      </c>
    </row>
    <row r="8" ht="12.75" customHeight="1">
      <c r="A8" s="12">
        <v>7.0</v>
      </c>
      <c r="B8" s="15" t="s">
        <v>91</v>
      </c>
      <c r="C8" s="12">
        <f t="shared" si="1"/>
        <v>19</v>
      </c>
      <c r="D8" s="12">
        <v>12.0</v>
      </c>
      <c r="E8" s="12">
        <v>5.0</v>
      </c>
      <c r="F8" s="12">
        <v>4.0</v>
      </c>
      <c r="G8" s="12">
        <v>3.0</v>
      </c>
      <c r="H8" s="12">
        <v>15.0</v>
      </c>
      <c r="I8" s="12">
        <v>15.0</v>
      </c>
      <c r="J8" s="19">
        <f t="shared" si="2"/>
        <v>0</v>
      </c>
      <c r="K8" s="12">
        <f t="shared" si="3"/>
        <v>4.75</v>
      </c>
      <c r="L8" s="18" t="b">
        <f t="shared" si="4"/>
        <v>0</v>
      </c>
    </row>
    <row r="9" ht="12.75" customHeight="1">
      <c r="A9" s="12">
        <v>8.0</v>
      </c>
      <c r="B9" s="15" t="s">
        <v>92</v>
      </c>
      <c r="C9" s="12">
        <f t="shared" si="1"/>
        <v>18</v>
      </c>
      <c r="D9" s="12">
        <v>12.0</v>
      </c>
      <c r="E9" s="12">
        <v>5.0</v>
      </c>
      <c r="F9" s="12">
        <v>3.0</v>
      </c>
      <c r="G9" s="12">
        <v>4.0</v>
      </c>
      <c r="H9" s="12">
        <v>8.0</v>
      </c>
      <c r="I9" s="12">
        <v>7.0</v>
      </c>
      <c r="J9" s="19">
        <f t="shared" si="2"/>
        <v>1</v>
      </c>
      <c r="K9" s="12">
        <f t="shared" si="3"/>
        <v>4.5</v>
      </c>
      <c r="L9" s="18" t="b">
        <f t="shared" si="4"/>
        <v>0</v>
      </c>
    </row>
    <row r="10" ht="12.75" customHeight="1">
      <c r="A10" s="12">
        <v>9.0</v>
      </c>
      <c r="B10" s="15" t="s">
        <v>93</v>
      </c>
      <c r="C10" s="12">
        <f t="shared" si="1"/>
        <v>17</v>
      </c>
      <c r="D10" s="12">
        <v>12.0</v>
      </c>
      <c r="E10" s="12">
        <v>4.0</v>
      </c>
      <c r="F10" s="12">
        <v>5.0</v>
      </c>
      <c r="G10" s="12">
        <v>3.0</v>
      </c>
      <c r="H10" s="12">
        <v>16.0</v>
      </c>
      <c r="I10" s="12">
        <v>14.0</v>
      </c>
      <c r="J10" s="19">
        <f t="shared" si="2"/>
        <v>2</v>
      </c>
      <c r="K10" s="12">
        <f t="shared" si="3"/>
        <v>4.25</v>
      </c>
      <c r="L10" s="18" t="b">
        <f t="shared" si="4"/>
        <v>0</v>
      </c>
    </row>
    <row r="11" ht="12.75" customHeight="1">
      <c r="A11" s="12">
        <v>10.0</v>
      </c>
      <c r="B11" s="15" t="s">
        <v>95</v>
      </c>
      <c r="C11" s="12">
        <f t="shared" si="1"/>
        <v>16</v>
      </c>
      <c r="D11" s="12">
        <v>12.0</v>
      </c>
      <c r="E11" s="12">
        <v>4.0</v>
      </c>
      <c r="F11" s="12">
        <v>4.0</v>
      </c>
      <c r="G11" s="12">
        <v>4.0</v>
      </c>
      <c r="H11" s="12">
        <v>12.0</v>
      </c>
      <c r="I11" s="12">
        <v>9.0</v>
      </c>
      <c r="J11" s="19">
        <f t="shared" si="2"/>
        <v>3</v>
      </c>
      <c r="K11" s="12">
        <f t="shared" si="3"/>
        <v>4</v>
      </c>
      <c r="L11" s="18" t="b">
        <f t="shared" si="4"/>
        <v>0</v>
      </c>
    </row>
    <row r="12" ht="12.75" customHeight="1">
      <c r="A12" s="12">
        <v>11.0</v>
      </c>
      <c r="B12" s="15" t="s">
        <v>97</v>
      </c>
      <c r="C12" s="12">
        <f t="shared" si="1"/>
        <v>15</v>
      </c>
      <c r="D12" s="12">
        <v>11.0</v>
      </c>
      <c r="E12" s="12">
        <v>4.0</v>
      </c>
      <c r="F12" s="12">
        <v>3.0</v>
      </c>
      <c r="G12" s="12">
        <v>4.0</v>
      </c>
      <c r="H12" s="12">
        <v>17.0</v>
      </c>
      <c r="I12" s="12">
        <v>18.0</v>
      </c>
      <c r="J12" s="19">
        <f t="shared" si="2"/>
        <v>-1</v>
      </c>
      <c r="K12" s="12">
        <f t="shared" si="3"/>
        <v>4.090909091</v>
      </c>
      <c r="L12" s="18" t="b">
        <f t="shared" si="4"/>
        <v>0</v>
      </c>
    </row>
    <row r="13" ht="12.75" customHeight="1">
      <c r="A13" s="12">
        <v>12.0</v>
      </c>
      <c r="B13" s="15" t="s">
        <v>99</v>
      </c>
      <c r="C13" s="12">
        <f t="shared" si="1"/>
        <v>14</v>
      </c>
      <c r="D13" s="12">
        <v>12.0</v>
      </c>
      <c r="E13" s="12">
        <v>4.0</v>
      </c>
      <c r="F13" s="12">
        <v>2.0</v>
      </c>
      <c r="G13" s="12">
        <v>6.0</v>
      </c>
      <c r="H13" s="12">
        <v>14.0</v>
      </c>
      <c r="I13" s="12">
        <v>17.0</v>
      </c>
      <c r="J13" s="19">
        <f t="shared" si="2"/>
        <v>-3</v>
      </c>
      <c r="K13" s="12">
        <f t="shared" si="3"/>
        <v>3.5</v>
      </c>
      <c r="L13" s="18" t="b">
        <f t="shared" si="4"/>
        <v>0</v>
      </c>
    </row>
    <row r="14" ht="12.75" customHeight="1">
      <c r="A14" s="12">
        <v>13.0</v>
      </c>
      <c r="B14" s="15" t="s">
        <v>100</v>
      </c>
      <c r="C14" s="12">
        <f t="shared" si="1"/>
        <v>14</v>
      </c>
      <c r="D14" s="12">
        <v>12.0</v>
      </c>
      <c r="E14" s="12">
        <v>4.0</v>
      </c>
      <c r="F14" s="12">
        <v>2.0</v>
      </c>
      <c r="G14" s="12">
        <v>6.0</v>
      </c>
      <c r="H14" s="12">
        <v>14.0</v>
      </c>
      <c r="I14" s="12">
        <v>18.0</v>
      </c>
      <c r="J14" s="19">
        <f t="shared" si="2"/>
        <v>-4</v>
      </c>
      <c r="K14" s="12">
        <f t="shared" si="3"/>
        <v>3.5</v>
      </c>
      <c r="L14" s="18" t="b">
        <f t="shared" si="4"/>
        <v>0</v>
      </c>
    </row>
    <row r="15" ht="12.75" customHeight="1">
      <c r="A15" s="12">
        <v>14.0</v>
      </c>
      <c r="B15" s="15" t="s">
        <v>101</v>
      </c>
      <c r="C15" s="12">
        <f t="shared" si="1"/>
        <v>14</v>
      </c>
      <c r="D15" s="12">
        <v>12.0</v>
      </c>
      <c r="E15" s="12">
        <v>3.0</v>
      </c>
      <c r="F15" s="12">
        <v>5.0</v>
      </c>
      <c r="G15" s="12">
        <v>4.0</v>
      </c>
      <c r="H15" s="12">
        <v>14.0</v>
      </c>
      <c r="I15" s="12">
        <v>19.0</v>
      </c>
      <c r="J15" s="19">
        <f t="shared" si="2"/>
        <v>-5</v>
      </c>
      <c r="K15" s="12">
        <f t="shared" si="3"/>
        <v>3.5</v>
      </c>
      <c r="L15" s="18" t="b">
        <f t="shared" si="4"/>
        <v>0</v>
      </c>
    </row>
    <row r="16" ht="12.75" customHeight="1">
      <c r="A16" s="12">
        <v>15.0</v>
      </c>
      <c r="B16" s="15" t="s">
        <v>102</v>
      </c>
      <c r="C16" s="12">
        <f t="shared" si="1"/>
        <v>13</v>
      </c>
      <c r="D16" s="12">
        <v>11.0</v>
      </c>
      <c r="E16" s="12">
        <v>4.0</v>
      </c>
      <c r="F16" s="12">
        <v>1.0</v>
      </c>
      <c r="G16" s="12">
        <v>6.0</v>
      </c>
      <c r="H16" s="12">
        <v>14.0</v>
      </c>
      <c r="I16" s="12">
        <v>16.0</v>
      </c>
      <c r="J16" s="19">
        <f t="shared" si="2"/>
        <v>-2</v>
      </c>
      <c r="K16" s="12">
        <f t="shared" si="3"/>
        <v>3.545454545</v>
      </c>
      <c r="L16" s="18" t="b">
        <f t="shared" si="4"/>
        <v>0</v>
      </c>
    </row>
    <row r="17" ht="12.75" customHeight="1">
      <c r="A17" s="12">
        <v>16.0</v>
      </c>
      <c r="B17" s="15" t="s">
        <v>103</v>
      </c>
      <c r="C17" s="12">
        <f t="shared" si="1"/>
        <v>12</v>
      </c>
      <c r="D17" s="12">
        <v>12.0</v>
      </c>
      <c r="E17" s="12">
        <v>3.0</v>
      </c>
      <c r="F17" s="12">
        <v>3.0</v>
      </c>
      <c r="G17" s="12">
        <v>6.0</v>
      </c>
      <c r="H17" s="12">
        <v>16.0</v>
      </c>
      <c r="I17" s="12">
        <v>23.0</v>
      </c>
      <c r="J17" s="19">
        <f t="shared" si="2"/>
        <v>-7</v>
      </c>
      <c r="K17" s="12">
        <f t="shared" si="3"/>
        <v>3</v>
      </c>
      <c r="L17" s="18" t="b">
        <f t="shared" si="4"/>
        <v>0</v>
      </c>
    </row>
    <row r="18" ht="12.75" customHeight="1">
      <c r="A18" s="12">
        <v>17.0</v>
      </c>
      <c r="B18" s="15" t="s">
        <v>104</v>
      </c>
      <c r="C18" s="12">
        <f t="shared" si="1"/>
        <v>12</v>
      </c>
      <c r="D18" s="12">
        <v>12.0</v>
      </c>
      <c r="E18" s="12">
        <v>3.0</v>
      </c>
      <c r="F18" s="12">
        <v>3.0</v>
      </c>
      <c r="G18" s="12">
        <v>6.0</v>
      </c>
      <c r="H18" s="12">
        <v>10.0</v>
      </c>
      <c r="I18" s="12">
        <v>17.0</v>
      </c>
      <c r="J18" s="19">
        <f t="shared" si="2"/>
        <v>-7</v>
      </c>
      <c r="K18" s="12">
        <f t="shared" si="3"/>
        <v>3</v>
      </c>
      <c r="L18" s="18" t="b">
        <f t="shared" si="4"/>
        <v>0</v>
      </c>
    </row>
    <row r="19" ht="12.75" customHeight="1">
      <c r="A19" s="12">
        <v>18.0</v>
      </c>
      <c r="B19" s="15" t="s">
        <v>106</v>
      </c>
      <c r="C19" s="12">
        <f t="shared" si="1"/>
        <v>10</v>
      </c>
      <c r="D19" s="12">
        <v>12.0</v>
      </c>
      <c r="E19" s="12">
        <v>2.0</v>
      </c>
      <c r="F19" s="12">
        <v>4.0</v>
      </c>
      <c r="G19" s="12">
        <v>6.0</v>
      </c>
      <c r="H19" s="12">
        <v>7.0</v>
      </c>
      <c r="I19" s="12">
        <v>16.0</v>
      </c>
      <c r="J19" s="19">
        <f t="shared" si="2"/>
        <v>-9</v>
      </c>
      <c r="K19" s="12">
        <f t="shared" si="3"/>
        <v>2.5</v>
      </c>
      <c r="L19" s="18" t="b">
        <f t="shared" si="4"/>
        <v>0</v>
      </c>
    </row>
    <row r="20" ht="12.75" customHeight="1">
      <c r="A20" s="12">
        <v>19.0</v>
      </c>
      <c r="B20" s="15" t="s">
        <v>107</v>
      </c>
      <c r="C20" s="12">
        <f t="shared" si="1"/>
        <v>9</v>
      </c>
      <c r="D20" s="12">
        <v>12.0</v>
      </c>
      <c r="E20" s="12">
        <v>2.0</v>
      </c>
      <c r="F20" s="12">
        <v>3.0</v>
      </c>
      <c r="G20" s="12">
        <v>7.0</v>
      </c>
      <c r="H20" s="12">
        <v>10.0</v>
      </c>
      <c r="I20" s="12">
        <v>15.0</v>
      </c>
      <c r="J20" s="19">
        <f t="shared" si="2"/>
        <v>-5</v>
      </c>
      <c r="K20" s="12">
        <f t="shared" si="3"/>
        <v>2.25</v>
      </c>
      <c r="L20" s="18" t="b">
        <f t="shared" si="4"/>
        <v>0</v>
      </c>
    </row>
    <row r="21" ht="12.75" customHeight="1">
      <c r="A21" s="12">
        <v>20.0</v>
      </c>
      <c r="B21" s="15" t="s">
        <v>108</v>
      </c>
      <c r="C21" s="12">
        <f t="shared" si="1"/>
        <v>5</v>
      </c>
      <c r="D21" s="12">
        <v>12.0</v>
      </c>
      <c r="E21" s="12">
        <v>0.0</v>
      </c>
      <c r="F21" s="12">
        <v>5.0</v>
      </c>
      <c r="G21" s="12">
        <v>7.0</v>
      </c>
      <c r="H21" s="12">
        <v>7.0</v>
      </c>
      <c r="I21" s="12">
        <v>18.0</v>
      </c>
      <c r="J21" s="19">
        <f t="shared" si="2"/>
        <v>-11</v>
      </c>
      <c r="K21" s="12">
        <f t="shared" si="3"/>
        <v>1.25</v>
      </c>
      <c r="L21" s="18" t="b">
        <f t="shared" si="4"/>
        <v>0</v>
      </c>
    </row>
    <row r="22" ht="12.75" customHeight="1"/>
    <row r="23" ht="12.75" customHeight="1">
      <c r="A23" s="43" t="s">
        <v>109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 ht="12.75" customHeight="1">
      <c r="A24" s="43" t="s">
        <v>110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ht="12.75" customHeight="1">
      <c r="A25" s="43" t="s">
        <v>111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ht="12.75" customHeight="1">
      <c r="A26" s="43" t="s">
        <v>112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ht="12.75" customHeight="1">
      <c r="A27" s="43" t="s">
        <v>113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ht="12.75" customHeight="1"/>
    <row r="29" ht="12.75" customHeight="1"/>
    <row r="30" ht="12.75" customHeight="1">
      <c r="A30" s="28" t="s">
        <v>114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3:L23"/>
    <mergeCell ref="A24:L24"/>
    <mergeCell ref="A25:L25"/>
    <mergeCell ref="A26:L26"/>
    <mergeCell ref="A27:L27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2.29"/>
    <col customWidth="1" min="3" max="3" width="30.43"/>
    <col customWidth="1" min="4" max="4" width="40.86"/>
    <col customWidth="1" min="5" max="5" width="18.86"/>
    <col customWidth="1" min="6" max="6" width="13.71"/>
    <col customWidth="1" min="7" max="7" width="10.86"/>
    <col customWidth="1" min="8" max="8" width="15.0"/>
    <col customWidth="1" min="9" max="9" width="13.43"/>
    <col customWidth="1" min="10" max="10" width="19.14"/>
    <col customWidth="1" min="11" max="26" width="8.71"/>
  </cols>
  <sheetData>
    <row r="1" ht="14.25" customHeight="1">
      <c r="A1" s="45" t="s">
        <v>116</v>
      </c>
      <c r="B1" s="45" t="s">
        <v>117</v>
      </c>
      <c r="C1" s="45" t="s">
        <v>118</v>
      </c>
      <c r="D1" s="45" t="s">
        <v>119</v>
      </c>
      <c r="E1" s="45" t="s">
        <v>120</v>
      </c>
      <c r="F1" s="45" t="s">
        <v>121</v>
      </c>
      <c r="G1" s="45" t="s">
        <v>122</v>
      </c>
      <c r="H1" s="45" t="s">
        <v>123</v>
      </c>
      <c r="I1" s="45" t="s">
        <v>23</v>
      </c>
      <c r="J1" s="45" t="s">
        <v>124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6">
        <v>1.0</v>
      </c>
      <c r="B2" s="47">
        <v>41122.0</v>
      </c>
      <c r="C2" s="46" t="s">
        <v>125</v>
      </c>
      <c r="D2" s="46" t="s">
        <v>126</v>
      </c>
      <c r="E2" s="46" t="s">
        <v>127</v>
      </c>
      <c r="F2" s="46" t="s">
        <v>81</v>
      </c>
      <c r="G2" s="46" t="s">
        <v>55</v>
      </c>
      <c r="H2" s="46" t="s">
        <v>128</v>
      </c>
      <c r="I2" s="46">
        <v>1.169845263E9</v>
      </c>
      <c r="J2" s="48">
        <v>150.0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9">
        <v>2.0</v>
      </c>
      <c r="B3" s="50">
        <v>41122.0</v>
      </c>
      <c r="C3" s="49" t="s">
        <v>130</v>
      </c>
      <c r="D3" s="49" t="s">
        <v>131</v>
      </c>
      <c r="E3" s="49" t="s">
        <v>132</v>
      </c>
      <c r="F3" s="49" t="s">
        <v>81</v>
      </c>
      <c r="G3" s="49" t="s">
        <v>55</v>
      </c>
      <c r="H3" s="49" t="s">
        <v>128</v>
      </c>
      <c r="I3" s="49">
        <v>1.152848967E9</v>
      </c>
      <c r="J3" s="51">
        <v>2634.25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6">
        <v>3.0</v>
      </c>
      <c r="B4" s="47">
        <v>41126.0</v>
      </c>
      <c r="C4" s="46" t="s">
        <v>133</v>
      </c>
      <c r="D4" s="46" t="s">
        <v>134</v>
      </c>
      <c r="E4" s="46" t="s">
        <v>135</v>
      </c>
      <c r="F4" s="46" t="s">
        <v>81</v>
      </c>
      <c r="G4" s="46" t="s">
        <v>55</v>
      </c>
      <c r="H4" s="46" t="s">
        <v>128</v>
      </c>
      <c r="I4" s="46">
        <v>1.125493816E9</v>
      </c>
      <c r="J4" s="48">
        <v>1608.0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9">
        <v>4.0</v>
      </c>
      <c r="B5" s="50">
        <v>41133.0</v>
      </c>
      <c r="C5" s="49" t="s">
        <v>136</v>
      </c>
      <c r="D5" s="49" t="s">
        <v>137</v>
      </c>
      <c r="E5" s="49" t="s">
        <v>138</v>
      </c>
      <c r="F5" s="49" t="s">
        <v>81</v>
      </c>
      <c r="G5" s="49" t="s">
        <v>55</v>
      </c>
      <c r="H5" s="49" t="s">
        <v>128</v>
      </c>
      <c r="I5" s="49">
        <v>1.182468531E9</v>
      </c>
      <c r="J5" s="51">
        <v>73.32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6">
        <v>5.0</v>
      </c>
      <c r="B6" s="47">
        <v>41133.0</v>
      </c>
      <c r="C6" s="46" t="s">
        <v>139</v>
      </c>
      <c r="D6" s="46" t="s">
        <v>140</v>
      </c>
      <c r="E6" s="46" t="s">
        <v>141</v>
      </c>
      <c r="F6" s="46" t="s">
        <v>81</v>
      </c>
      <c r="G6" s="46" t="s">
        <v>55</v>
      </c>
      <c r="H6" s="46" t="s">
        <v>128</v>
      </c>
      <c r="I6" s="46">
        <v>1.164288213E9</v>
      </c>
      <c r="J6" s="48">
        <v>777.0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9">
        <v>6.0</v>
      </c>
      <c r="B7" s="50">
        <v>41133.0</v>
      </c>
      <c r="C7" s="49" t="s">
        <v>143</v>
      </c>
      <c r="D7" s="49" t="s">
        <v>144</v>
      </c>
      <c r="E7" s="49" t="s">
        <v>145</v>
      </c>
      <c r="F7" s="49" t="s">
        <v>81</v>
      </c>
      <c r="G7" s="49" t="s">
        <v>55</v>
      </c>
      <c r="H7" s="49" t="s">
        <v>128</v>
      </c>
      <c r="I7" s="49">
        <v>1.154263232E9</v>
      </c>
      <c r="J7" s="51">
        <v>180.0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6">
        <v>7.0</v>
      </c>
      <c r="B8" s="47">
        <v>41142.0</v>
      </c>
      <c r="C8" s="46" t="s">
        <v>146</v>
      </c>
      <c r="D8" s="46" t="s">
        <v>147</v>
      </c>
      <c r="E8" s="46" t="s">
        <v>148</v>
      </c>
      <c r="F8" s="46" t="s">
        <v>81</v>
      </c>
      <c r="G8" s="46" t="s">
        <v>55</v>
      </c>
      <c r="H8" s="46" t="s">
        <v>128</v>
      </c>
      <c r="I8" s="46">
        <v>1.125523654E9</v>
      </c>
      <c r="J8" s="48">
        <v>264.2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9">
        <v>8.0</v>
      </c>
      <c r="B9" s="50">
        <v>41155.0</v>
      </c>
      <c r="C9" s="49" t="s">
        <v>149</v>
      </c>
      <c r="D9" s="49" t="s">
        <v>150</v>
      </c>
      <c r="E9" s="49" t="s">
        <v>151</v>
      </c>
      <c r="F9" s="49" t="s">
        <v>81</v>
      </c>
      <c r="G9" s="49" t="s">
        <v>55</v>
      </c>
      <c r="H9" s="49" t="s">
        <v>128</v>
      </c>
      <c r="I9" s="49">
        <v>1.139667847E9</v>
      </c>
      <c r="J9" s="51">
        <v>3824.0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6">
        <v>9.0</v>
      </c>
      <c r="B10" s="47">
        <v>41159.0</v>
      </c>
      <c r="C10" s="46" t="s">
        <v>152</v>
      </c>
      <c r="D10" s="46" t="s">
        <v>153</v>
      </c>
      <c r="E10" s="46" t="s">
        <v>155</v>
      </c>
      <c r="F10" s="46" t="s">
        <v>81</v>
      </c>
      <c r="G10" s="46" t="s">
        <v>55</v>
      </c>
      <c r="H10" s="46" t="s">
        <v>128</v>
      </c>
      <c r="I10" s="46">
        <v>1.185648585E9</v>
      </c>
      <c r="J10" s="48">
        <v>867.0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9">
        <v>10.0</v>
      </c>
      <c r="B11" s="50">
        <v>41166.0</v>
      </c>
      <c r="C11" s="49" t="s">
        <v>156</v>
      </c>
      <c r="D11" s="49" t="s">
        <v>157</v>
      </c>
      <c r="E11" s="49" t="s">
        <v>158</v>
      </c>
      <c r="F11" s="49" t="s">
        <v>81</v>
      </c>
      <c r="G11" s="49" t="s">
        <v>55</v>
      </c>
      <c r="H11" s="49" t="s">
        <v>128</v>
      </c>
      <c r="I11" s="49">
        <v>1.123667784E9</v>
      </c>
      <c r="J11" s="51">
        <v>1200.0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6">
        <v>11.0</v>
      </c>
      <c r="B12" s="47">
        <v>41166.0</v>
      </c>
      <c r="C12" s="46" t="s">
        <v>160</v>
      </c>
      <c r="D12" s="46" t="s">
        <v>161</v>
      </c>
      <c r="E12" s="46" t="s">
        <v>132</v>
      </c>
      <c r="F12" s="46" t="s">
        <v>81</v>
      </c>
      <c r="G12" s="46" t="s">
        <v>55</v>
      </c>
      <c r="H12" s="46" t="s">
        <v>128</v>
      </c>
      <c r="I12" s="46">
        <v>1.125229597E9</v>
      </c>
      <c r="J12" s="48">
        <v>325.0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9">
        <v>12.0</v>
      </c>
      <c r="B13" s="50">
        <v>41180.0</v>
      </c>
      <c r="C13" s="49" t="s">
        <v>163</v>
      </c>
      <c r="D13" s="49" t="s">
        <v>164</v>
      </c>
      <c r="E13" s="49" t="s">
        <v>165</v>
      </c>
      <c r="F13" s="49" t="s">
        <v>81</v>
      </c>
      <c r="G13" s="49" t="s">
        <v>55</v>
      </c>
      <c r="H13" s="49" t="s">
        <v>128</v>
      </c>
      <c r="I13" s="49">
        <v>1.185981681E9</v>
      </c>
      <c r="J13" s="51">
        <v>4850.0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6">
        <v>13.0</v>
      </c>
      <c r="B14" s="47">
        <v>41180.0</v>
      </c>
      <c r="C14" s="46" t="s">
        <v>166</v>
      </c>
      <c r="D14" s="46" t="s">
        <v>167</v>
      </c>
      <c r="E14" s="46" t="s">
        <v>168</v>
      </c>
      <c r="F14" s="46" t="s">
        <v>81</v>
      </c>
      <c r="G14" s="46" t="s">
        <v>55</v>
      </c>
      <c r="H14" s="46" t="s">
        <v>128</v>
      </c>
      <c r="I14" s="46">
        <v>1.171667087E9</v>
      </c>
      <c r="J14" s="48">
        <v>954.0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9">
        <v>14.0</v>
      </c>
      <c r="B15" s="50">
        <v>41183.0</v>
      </c>
      <c r="C15" s="49" t="s">
        <v>169</v>
      </c>
      <c r="D15" s="49" t="s">
        <v>170</v>
      </c>
      <c r="E15" s="49" t="s">
        <v>171</v>
      </c>
      <c r="F15" s="49" t="s">
        <v>81</v>
      </c>
      <c r="G15" s="49" t="s">
        <v>55</v>
      </c>
      <c r="H15" s="49" t="s">
        <v>128</v>
      </c>
      <c r="I15" s="49">
        <v>1.165599867E9</v>
      </c>
      <c r="J15" s="51">
        <v>1600.84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6">
        <v>15.0</v>
      </c>
      <c r="B16" s="47">
        <v>41188.0</v>
      </c>
      <c r="C16" s="46" t="s">
        <v>172</v>
      </c>
      <c r="D16" s="46" t="s">
        <v>173</v>
      </c>
      <c r="E16" s="46" t="s">
        <v>174</v>
      </c>
      <c r="F16" s="46" t="s">
        <v>81</v>
      </c>
      <c r="G16" s="46" t="s">
        <v>55</v>
      </c>
      <c r="H16" s="46" t="s">
        <v>128</v>
      </c>
      <c r="I16" s="46">
        <v>1.163785521E9</v>
      </c>
      <c r="J16" s="48">
        <v>120.0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9">
        <v>16.0</v>
      </c>
      <c r="B17" s="50">
        <v>41188.0</v>
      </c>
      <c r="C17" s="49" t="s">
        <v>175</v>
      </c>
      <c r="D17" s="49" t="s">
        <v>176</v>
      </c>
      <c r="E17" s="49" t="s">
        <v>177</v>
      </c>
      <c r="F17" s="49" t="s">
        <v>81</v>
      </c>
      <c r="G17" s="49" t="s">
        <v>55</v>
      </c>
      <c r="H17" s="49" t="s">
        <v>128</v>
      </c>
      <c r="I17" s="49">
        <v>1.177842568E9</v>
      </c>
      <c r="J17" s="51">
        <v>489.0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6">
        <v>17.0</v>
      </c>
      <c r="B18" s="47">
        <v>41193.0</v>
      </c>
      <c r="C18" s="46" t="s">
        <v>178</v>
      </c>
      <c r="D18" s="46" t="s">
        <v>179</v>
      </c>
      <c r="E18" s="46" t="s">
        <v>145</v>
      </c>
      <c r="F18" s="46" t="s">
        <v>81</v>
      </c>
      <c r="G18" s="46" t="s">
        <v>55</v>
      </c>
      <c r="H18" s="46" t="s">
        <v>128</v>
      </c>
      <c r="I18" s="46">
        <v>1.182133122E9</v>
      </c>
      <c r="J18" s="48">
        <v>560.0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8" t="s">
        <v>114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52" t="s">
        <v>180</v>
      </c>
      <c r="D22" s="53">
        <v>17.0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54"/>
      <c r="D23" s="5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56" t="s">
        <v>181</v>
      </c>
      <c r="D24" s="57" t="str">
        <f>VLOOKUP($D$22,$A$2:$J$18,3)</f>
        <v>Thaysa Martins</v>
      </c>
      <c r="E24" s="4" t="s">
        <v>182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56" t="s">
        <v>183</v>
      </c>
      <c r="D25" s="57" t="str">
        <f>VLOOKUP($D$22,$A$2:$J$18,4)</f>
        <v>Av. Francisco Dutra, 555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56" t="s">
        <v>184</v>
      </c>
      <c r="D26" s="57" t="str">
        <f>VLOOKUP($D$22,$A$2:$J$18,5)</f>
        <v>Jd. Vera Cruz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56" t="s">
        <v>185</v>
      </c>
      <c r="D27" s="57" t="str">
        <f>VLOOKUP($D$22,$A$2:$J$18,6)</f>
        <v>São Paulo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56" t="s">
        <v>186</v>
      </c>
      <c r="D28" s="57" t="str">
        <f>VLOOKUP($D$22,$A$2:$J$18,7)</f>
        <v>SP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56" t="s">
        <v>187</v>
      </c>
      <c r="D29" s="57" t="str">
        <f>VLOOKUP($D$22,$A$2:$J$18,8)</f>
        <v>Brasil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56" t="s">
        <v>188</v>
      </c>
      <c r="D30" s="57">
        <f>VLOOKUP($D$22,$A$2:$J$18,9)</f>
        <v>1182133122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56" t="s">
        <v>189</v>
      </c>
      <c r="D31" s="58">
        <f>VLOOKUP($D$22,$A$2:$J$18,10)</f>
        <v>560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15277777777778" footer="0.0" header="0.0" left="0.511805555555555" right="0.511805555555555" top="0.31527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9" t="s">
        <v>45</v>
      </c>
      <c r="B1" s="59" t="s">
        <v>46</v>
      </c>
      <c r="C1" s="59" t="s">
        <v>47</v>
      </c>
      <c r="D1" s="59" t="s">
        <v>48</v>
      </c>
      <c r="E1" s="59" t="s">
        <v>11</v>
      </c>
      <c r="F1" s="59" t="s">
        <v>49</v>
      </c>
    </row>
    <row r="2">
      <c r="A2" s="31" t="s">
        <v>53</v>
      </c>
      <c r="B2" s="31" t="s">
        <v>54</v>
      </c>
      <c r="C2" s="32" t="s">
        <v>55</v>
      </c>
      <c r="D2" s="32">
        <v>6.0</v>
      </c>
      <c r="E2" s="33">
        <v>14.0</v>
      </c>
      <c r="F2" s="33">
        <f t="shared" ref="F2:F30" si="1">D2*E2</f>
        <v>84</v>
      </c>
    </row>
    <row r="3">
      <c r="A3" s="31" t="s">
        <v>75</v>
      </c>
      <c r="B3" s="31" t="s">
        <v>76</v>
      </c>
      <c r="C3" s="32" t="s">
        <v>77</v>
      </c>
      <c r="D3" s="32">
        <v>14.0</v>
      </c>
      <c r="E3" s="33">
        <v>14.0</v>
      </c>
      <c r="F3" s="33">
        <f t="shared" si="1"/>
        <v>196</v>
      </c>
    </row>
    <row r="4">
      <c r="A4" s="31" t="s">
        <v>53</v>
      </c>
      <c r="B4" s="31" t="s">
        <v>54</v>
      </c>
      <c r="C4" s="32" t="s">
        <v>80</v>
      </c>
      <c r="D4" s="32">
        <v>9.0</v>
      </c>
      <c r="E4" s="33">
        <v>18.0</v>
      </c>
      <c r="F4" s="33">
        <f t="shared" si="1"/>
        <v>162</v>
      </c>
      <c r="H4" s="60" t="s">
        <v>190</v>
      </c>
    </row>
    <row r="5">
      <c r="A5" s="31" t="s">
        <v>53</v>
      </c>
      <c r="B5" s="31" t="s">
        <v>54</v>
      </c>
      <c r="C5" s="32" t="s">
        <v>80</v>
      </c>
      <c r="D5" s="32">
        <v>15.0</v>
      </c>
      <c r="E5" s="33">
        <v>18.0</v>
      </c>
      <c r="F5" s="33">
        <f t="shared" si="1"/>
        <v>270</v>
      </c>
    </row>
    <row r="6">
      <c r="A6" s="31" t="s">
        <v>83</v>
      </c>
      <c r="B6" s="31" t="s">
        <v>76</v>
      </c>
      <c r="C6" s="32" t="s">
        <v>94</v>
      </c>
      <c r="D6" s="32">
        <v>18.0</v>
      </c>
      <c r="E6" s="33">
        <v>18.0</v>
      </c>
      <c r="F6" s="33">
        <f t="shared" si="1"/>
        <v>324</v>
      </c>
    </row>
    <row r="7">
      <c r="A7" s="31" t="s">
        <v>89</v>
      </c>
      <c r="B7" s="31" t="s">
        <v>96</v>
      </c>
      <c r="C7" s="32" t="s">
        <v>55</v>
      </c>
      <c r="D7" s="32">
        <v>42.0</v>
      </c>
      <c r="E7" s="33">
        <v>15.0</v>
      </c>
      <c r="F7" s="33">
        <f t="shared" si="1"/>
        <v>630</v>
      </c>
    </row>
    <row r="8">
      <c r="A8" s="31" t="s">
        <v>89</v>
      </c>
      <c r="B8" s="31" t="s">
        <v>98</v>
      </c>
      <c r="C8" s="32" t="s">
        <v>80</v>
      </c>
      <c r="D8" s="32">
        <v>18.0</v>
      </c>
      <c r="E8" s="33">
        <v>13.0</v>
      </c>
      <c r="F8" s="33">
        <f t="shared" si="1"/>
        <v>234</v>
      </c>
    </row>
    <row r="9">
      <c r="A9" s="31" t="s">
        <v>89</v>
      </c>
      <c r="B9" s="31" t="s">
        <v>105</v>
      </c>
      <c r="C9" s="32" t="s">
        <v>77</v>
      </c>
      <c r="D9" s="32">
        <v>13.0</v>
      </c>
      <c r="E9" s="33">
        <v>16.0</v>
      </c>
      <c r="F9" s="33">
        <f t="shared" si="1"/>
        <v>208</v>
      </c>
    </row>
    <row r="10">
      <c r="A10" s="31" t="s">
        <v>75</v>
      </c>
      <c r="B10" s="31" t="s">
        <v>76</v>
      </c>
      <c r="C10" s="32" t="s">
        <v>77</v>
      </c>
      <c r="D10" s="32">
        <v>8.0</v>
      </c>
      <c r="E10" s="33">
        <v>12.0</v>
      </c>
      <c r="F10" s="33">
        <f t="shared" si="1"/>
        <v>96</v>
      </c>
    </row>
    <row r="11">
      <c r="A11" s="31" t="s">
        <v>83</v>
      </c>
      <c r="B11" s="31" t="s">
        <v>98</v>
      </c>
      <c r="C11" s="32" t="s">
        <v>94</v>
      </c>
      <c r="D11" s="32">
        <v>16.0</v>
      </c>
      <c r="E11" s="33">
        <v>16.0</v>
      </c>
      <c r="F11" s="33">
        <f t="shared" si="1"/>
        <v>256</v>
      </c>
    </row>
    <row r="12">
      <c r="A12" s="31" t="s">
        <v>89</v>
      </c>
      <c r="B12" s="31" t="s">
        <v>105</v>
      </c>
      <c r="C12" s="32" t="s">
        <v>55</v>
      </c>
      <c r="D12" s="32">
        <v>13.0</v>
      </c>
      <c r="E12" s="33">
        <v>11.0</v>
      </c>
      <c r="F12" s="33">
        <f t="shared" si="1"/>
        <v>143</v>
      </c>
    </row>
    <row r="13">
      <c r="A13" s="31" t="s">
        <v>75</v>
      </c>
      <c r="B13" s="31" t="s">
        <v>76</v>
      </c>
      <c r="C13" s="32" t="s">
        <v>77</v>
      </c>
      <c r="D13" s="32">
        <v>16.0</v>
      </c>
      <c r="E13" s="33">
        <v>14.0</v>
      </c>
      <c r="F13" s="33">
        <f t="shared" si="1"/>
        <v>224</v>
      </c>
    </row>
    <row r="14">
      <c r="A14" s="31" t="s">
        <v>89</v>
      </c>
      <c r="B14" s="31" t="s">
        <v>76</v>
      </c>
      <c r="C14" s="32" t="s">
        <v>77</v>
      </c>
      <c r="D14" s="32">
        <v>8.0</v>
      </c>
      <c r="E14" s="33">
        <v>9.0</v>
      </c>
      <c r="F14" s="33">
        <f t="shared" si="1"/>
        <v>72</v>
      </c>
    </row>
    <row r="15">
      <c r="A15" s="31" t="s">
        <v>75</v>
      </c>
      <c r="B15" s="31" t="s">
        <v>76</v>
      </c>
      <c r="C15" s="32" t="s">
        <v>55</v>
      </c>
      <c r="D15" s="32">
        <v>90.0</v>
      </c>
      <c r="E15" s="33">
        <v>12.0</v>
      </c>
      <c r="F15" s="33">
        <f t="shared" si="1"/>
        <v>1080</v>
      </c>
    </row>
    <row r="16">
      <c r="A16" s="31" t="s">
        <v>75</v>
      </c>
      <c r="B16" s="31" t="s">
        <v>96</v>
      </c>
      <c r="C16" s="32" t="s">
        <v>77</v>
      </c>
      <c r="D16" s="32">
        <v>20.0</v>
      </c>
      <c r="E16" s="33">
        <v>14.0</v>
      </c>
      <c r="F16" s="33">
        <f t="shared" si="1"/>
        <v>280</v>
      </c>
    </row>
    <row r="17">
      <c r="A17" s="31" t="s">
        <v>75</v>
      </c>
      <c r="B17" s="31" t="s">
        <v>76</v>
      </c>
      <c r="C17" s="32" t="s">
        <v>55</v>
      </c>
      <c r="D17" s="32">
        <v>18.0</v>
      </c>
      <c r="E17" s="33">
        <v>15.0</v>
      </c>
      <c r="F17" s="33">
        <f t="shared" si="1"/>
        <v>270</v>
      </c>
    </row>
    <row r="18">
      <c r="A18" s="31" t="s">
        <v>83</v>
      </c>
      <c r="B18" s="31" t="s">
        <v>54</v>
      </c>
      <c r="C18" s="32" t="s">
        <v>80</v>
      </c>
      <c r="D18" s="32">
        <v>6.0</v>
      </c>
      <c r="E18" s="33">
        <v>16.0</v>
      </c>
      <c r="F18" s="33">
        <f t="shared" si="1"/>
        <v>96</v>
      </c>
      <c r="H18" s="28" t="s">
        <v>44</v>
      </c>
    </row>
    <row r="19">
      <c r="A19" s="31" t="s">
        <v>53</v>
      </c>
      <c r="B19" s="31" t="s">
        <v>76</v>
      </c>
      <c r="C19" s="32" t="s">
        <v>80</v>
      </c>
      <c r="D19" s="32">
        <v>60.0</v>
      </c>
      <c r="E19" s="33">
        <v>12.0</v>
      </c>
      <c r="F19" s="33">
        <f t="shared" si="1"/>
        <v>720</v>
      </c>
    </row>
    <row r="20">
      <c r="A20" s="31" t="s">
        <v>75</v>
      </c>
      <c r="B20" s="31" t="s">
        <v>54</v>
      </c>
      <c r="C20" s="32" t="s">
        <v>55</v>
      </c>
      <c r="D20" s="32">
        <v>3.0</v>
      </c>
      <c r="E20" s="33">
        <v>14.0</v>
      </c>
      <c r="F20" s="33">
        <f t="shared" si="1"/>
        <v>42</v>
      </c>
    </row>
    <row r="21" ht="15.75" customHeight="1">
      <c r="A21" s="31" t="s">
        <v>53</v>
      </c>
      <c r="B21" s="31" t="s">
        <v>98</v>
      </c>
      <c r="C21" s="32" t="s">
        <v>80</v>
      </c>
      <c r="D21" s="32">
        <v>8.0</v>
      </c>
      <c r="E21" s="33">
        <v>26.0</v>
      </c>
      <c r="F21" s="33">
        <f t="shared" si="1"/>
        <v>208</v>
      </c>
    </row>
    <row r="22" ht="15.75" customHeight="1">
      <c r="A22" s="31" t="s">
        <v>83</v>
      </c>
      <c r="B22" s="31" t="s">
        <v>98</v>
      </c>
      <c r="C22" s="32" t="s">
        <v>55</v>
      </c>
      <c r="D22" s="32">
        <v>9.0</v>
      </c>
      <c r="E22" s="33">
        <v>12.0</v>
      </c>
      <c r="F22" s="33">
        <f t="shared" si="1"/>
        <v>108</v>
      </c>
    </row>
    <row r="23" ht="15.75" customHeight="1">
      <c r="A23" s="31" t="s">
        <v>75</v>
      </c>
      <c r="B23" s="31" t="s">
        <v>115</v>
      </c>
      <c r="C23" s="32" t="s">
        <v>80</v>
      </c>
      <c r="D23" s="32">
        <v>4.0</v>
      </c>
      <c r="E23" s="33">
        <v>19.0</v>
      </c>
      <c r="F23" s="33">
        <f t="shared" si="1"/>
        <v>76</v>
      </c>
    </row>
    <row r="24" ht="15.75" customHeight="1">
      <c r="A24" s="31" t="s">
        <v>83</v>
      </c>
      <c r="B24" s="31" t="s">
        <v>54</v>
      </c>
      <c r="C24" s="32" t="s">
        <v>77</v>
      </c>
      <c r="D24" s="32">
        <v>19.0</v>
      </c>
      <c r="E24" s="33">
        <v>11.0</v>
      </c>
      <c r="F24" s="33">
        <f t="shared" si="1"/>
        <v>209</v>
      </c>
    </row>
    <row r="25" ht="15.75" customHeight="1">
      <c r="A25" s="31" t="s">
        <v>89</v>
      </c>
      <c r="B25" s="31" t="s">
        <v>98</v>
      </c>
      <c r="C25" s="32" t="s">
        <v>94</v>
      </c>
      <c r="D25" s="32">
        <v>20.0</v>
      </c>
      <c r="E25" s="33">
        <v>11.0</v>
      </c>
      <c r="F25" s="33">
        <f t="shared" si="1"/>
        <v>220</v>
      </c>
    </row>
    <row r="26" ht="15.75" customHeight="1">
      <c r="A26" s="31" t="s">
        <v>83</v>
      </c>
      <c r="B26" s="31" t="s">
        <v>115</v>
      </c>
      <c r="C26" s="32" t="s">
        <v>55</v>
      </c>
      <c r="D26" s="32">
        <v>45.0</v>
      </c>
      <c r="E26" s="33">
        <v>17.0</v>
      </c>
      <c r="F26" s="33">
        <f t="shared" si="1"/>
        <v>765</v>
      </c>
    </row>
    <row r="27" ht="15.75" customHeight="1">
      <c r="A27" s="31" t="s">
        <v>83</v>
      </c>
      <c r="B27" s="31" t="s">
        <v>115</v>
      </c>
      <c r="C27" s="32" t="s">
        <v>55</v>
      </c>
      <c r="D27" s="32">
        <v>15.0</v>
      </c>
      <c r="E27" s="33">
        <v>15.0</v>
      </c>
      <c r="F27" s="33">
        <f t="shared" si="1"/>
        <v>225</v>
      </c>
    </row>
    <row r="28" ht="15.75" customHeight="1">
      <c r="A28" s="31" t="s">
        <v>53</v>
      </c>
      <c r="B28" s="31" t="s">
        <v>105</v>
      </c>
      <c r="C28" s="32" t="s">
        <v>55</v>
      </c>
      <c r="D28" s="32">
        <v>12.0</v>
      </c>
      <c r="E28" s="33">
        <v>15.0</v>
      </c>
      <c r="F28" s="33">
        <f t="shared" si="1"/>
        <v>180</v>
      </c>
    </row>
    <row r="29" ht="15.75" customHeight="1">
      <c r="A29" s="31" t="s">
        <v>89</v>
      </c>
      <c r="B29" s="31" t="s">
        <v>115</v>
      </c>
      <c r="C29" s="32" t="s">
        <v>94</v>
      </c>
      <c r="D29" s="32">
        <v>5.0</v>
      </c>
      <c r="E29" s="33">
        <v>13.0</v>
      </c>
      <c r="F29" s="33">
        <f t="shared" si="1"/>
        <v>65</v>
      </c>
    </row>
    <row r="30" ht="15.75" customHeight="1">
      <c r="A30" s="31" t="s">
        <v>75</v>
      </c>
      <c r="B30" s="31" t="s">
        <v>105</v>
      </c>
      <c r="C30" s="32" t="s">
        <v>94</v>
      </c>
      <c r="D30" s="32">
        <v>5.0</v>
      </c>
      <c r="E30" s="33">
        <v>15.0</v>
      </c>
      <c r="F30" s="33">
        <f t="shared" si="1"/>
        <v>75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