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2.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drawings/drawing3.xml" ContentType="application/vnd.openxmlformats-officedocument.drawing+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charts/chart55.xml" ContentType="application/vnd.openxmlformats-officedocument.drawingml.chart+xml"/>
  <Override PartName="/xl/charts/style55.xml" ContentType="application/vnd.ms-office.chartstyle+xml"/>
  <Override PartName="/xl/charts/colors55.xml" ContentType="application/vnd.ms-office.chartcolorstyle+xml"/>
  <Override PartName="/xl/charts/chart56.xml" ContentType="application/vnd.openxmlformats-officedocument.drawingml.chart+xml"/>
  <Override PartName="/xl/charts/style56.xml" ContentType="application/vnd.ms-office.chartstyle+xml"/>
  <Override PartName="/xl/charts/colors56.xml" ContentType="application/vnd.ms-office.chartcolorstyle+xml"/>
  <Override PartName="/xl/charts/chart57.xml" ContentType="application/vnd.openxmlformats-officedocument.drawingml.chart+xml"/>
  <Override PartName="/xl/charts/style57.xml" ContentType="application/vnd.ms-office.chartstyle+xml"/>
  <Override PartName="/xl/charts/colors57.xml" ContentType="application/vnd.ms-office.chartcolorstyle+xml"/>
  <Override PartName="/xl/charts/chart58.xml" ContentType="application/vnd.openxmlformats-officedocument.drawingml.chart+xml"/>
  <Override PartName="/xl/charts/style58.xml" ContentType="application/vnd.ms-office.chartstyle+xml"/>
  <Override PartName="/xl/charts/colors58.xml" ContentType="application/vnd.ms-office.chartcolorstyle+xml"/>
  <Override PartName="/xl/drawings/drawing4.xml" ContentType="application/vnd.openxmlformats-officedocument.drawing+xml"/>
  <Override PartName="/xl/charts/chart59.xml" ContentType="application/vnd.openxmlformats-officedocument.drawingml.chart+xml"/>
  <Override PartName="/xl/charts/style59.xml" ContentType="application/vnd.ms-office.chartstyle+xml"/>
  <Override PartName="/xl/charts/colors59.xml" ContentType="application/vnd.ms-office.chartcolorstyle+xml"/>
  <Override PartName="/xl/charts/chart60.xml" ContentType="application/vnd.openxmlformats-officedocument.drawingml.chart+xml"/>
  <Override PartName="/xl/charts/style60.xml" ContentType="application/vnd.ms-office.chartstyle+xml"/>
  <Override PartName="/xl/charts/colors60.xml" ContentType="application/vnd.ms-office.chartcolorstyle+xml"/>
  <Override PartName="/xl/charts/chart61.xml" ContentType="application/vnd.openxmlformats-officedocument.drawingml.chart+xml"/>
  <Override PartName="/xl/charts/style61.xml" ContentType="application/vnd.ms-office.chartstyle+xml"/>
  <Override PartName="/xl/charts/colors6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D:\Downloads\"/>
    </mc:Choice>
  </mc:AlternateContent>
  <xr:revisionPtr revIDLastSave="0" documentId="13_ncr:1_{C11A5537-790D-4899-9264-BC5826E825B2}" xr6:coauthVersionLast="36" xr6:coauthVersionMax="36" xr10:uidLastSave="{00000000-0000-0000-0000-000000000000}"/>
  <bookViews>
    <workbookView xWindow="0" yWindow="0" windowWidth="23040" windowHeight="9060" tabRatio="946" activeTab="4" xr2:uid="{00000000-000D-0000-FFFF-FFFF00000000}"/>
  </bookViews>
  <sheets>
    <sheet name="Raw Data" sheetId="14" r:id="rId1"/>
    <sheet name="Annual_sorted" sheetId="27" r:id="rId2"/>
    <sheet name="Gini_2017" sheetId="38" r:id="rId3"/>
    <sheet name="Envy Freeness_2018" sheetId="37" r:id="rId4"/>
    <sheet name="Gini_2018" sheetId="22" r:id="rId5"/>
    <sheet name="Sheet4" sheetId="41" r:id="rId6"/>
    <sheet name="Gini_format" sheetId="39" r:id="rId7"/>
    <sheet name="Utilitarianism" sheetId="40" r:id="rId8"/>
  </sheets>
  <calcPr calcId="191029"/>
</workbook>
</file>

<file path=xl/calcChain.xml><?xml version="1.0" encoding="utf-8"?>
<calcChain xmlns="http://schemas.openxmlformats.org/spreadsheetml/2006/main">
  <c r="K80" i="14" l="1"/>
  <c r="D80" i="14"/>
  <c r="E80" i="14"/>
  <c r="F80" i="14"/>
  <c r="G80" i="14"/>
  <c r="H80" i="14"/>
  <c r="I80" i="14"/>
  <c r="J80" i="14"/>
  <c r="C80" i="14"/>
  <c r="R5" i="27" l="1"/>
  <c r="P8" i="14" l="1"/>
  <c r="C38" i="40"/>
  <c r="D38" i="40"/>
  <c r="E38" i="40"/>
  <c r="F38" i="40"/>
  <c r="G38" i="40"/>
  <c r="H38" i="40"/>
  <c r="I38" i="40"/>
  <c r="J38" i="40"/>
  <c r="K38" i="40"/>
  <c r="C39" i="40"/>
  <c r="D39" i="40"/>
  <c r="E39" i="40"/>
  <c r="F39" i="40"/>
  <c r="G39" i="40"/>
  <c r="H39" i="40"/>
  <c r="I39" i="40"/>
  <c r="J39" i="40"/>
  <c r="K39" i="40"/>
  <c r="C40" i="40"/>
  <c r="D40" i="40"/>
  <c r="E40" i="40"/>
  <c r="F40" i="40"/>
  <c r="G40" i="40"/>
  <c r="H40" i="40"/>
  <c r="I40" i="40"/>
  <c r="J40" i="40"/>
  <c r="K40" i="40"/>
  <c r="C41" i="40"/>
  <c r="D41" i="40"/>
  <c r="E41" i="40"/>
  <c r="F41" i="40"/>
  <c r="G41" i="40"/>
  <c r="H41" i="40"/>
  <c r="I41" i="40"/>
  <c r="J41" i="40"/>
  <c r="K41" i="40"/>
  <c r="C42" i="40"/>
  <c r="D42" i="40"/>
  <c r="E42" i="40"/>
  <c r="F42" i="40"/>
  <c r="G42" i="40"/>
  <c r="H42" i="40"/>
  <c r="I42" i="40"/>
  <c r="J42" i="40"/>
  <c r="K42" i="40"/>
  <c r="C43" i="40"/>
  <c r="D43" i="40"/>
  <c r="E43" i="40"/>
  <c r="F43" i="40"/>
  <c r="G43" i="40"/>
  <c r="H43" i="40"/>
  <c r="I43" i="40"/>
  <c r="J43" i="40"/>
  <c r="K43" i="40"/>
  <c r="C44" i="40"/>
  <c r="D44" i="40"/>
  <c r="E44" i="40"/>
  <c r="F44" i="40"/>
  <c r="G44" i="40"/>
  <c r="H44" i="40"/>
  <c r="I44" i="40"/>
  <c r="J44" i="40"/>
  <c r="K44" i="40"/>
  <c r="C45" i="40"/>
  <c r="D45" i="40"/>
  <c r="E45" i="40"/>
  <c r="F45" i="40"/>
  <c r="G45" i="40"/>
  <c r="H45" i="40"/>
  <c r="I45" i="40"/>
  <c r="J45" i="40"/>
  <c r="K45" i="40"/>
  <c r="C46" i="40"/>
  <c r="D46" i="40"/>
  <c r="E46" i="40"/>
  <c r="F46" i="40"/>
  <c r="G46" i="40"/>
  <c r="H46" i="40"/>
  <c r="I46" i="40"/>
  <c r="J46" i="40"/>
  <c r="K46" i="40"/>
  <c r="C47" i="40"/>
  <c r="D47" i="40"/>
  <c r="E47" i="40"/>
  <c r="F47" i="40"/>
  <c r="G47" i="40"/>
  <c r="H47" i="40"/>
  <c r="I47" i="40"/>
  <c r="J47" i="40"/>
  <c r="K47" i="40"/>
  <c r="D37" i="40"/>
  <c r="E37" i="40"/>
  <c r="F37" i="40"/>
  <c r="G37" i="40"/>
  <c r="H37" i="40"/>
  <c r="I37" i="40"/>
  <c r="J37" i="40"/>
  <c r="K37" i="40"/>
  <c r="C37" i="40"/>
  <c r="L32" i="40"/>
  <c r="E32" i="40"/>
  <c r="F32" i="40"/>
  <c r="G32" i="40"/>
  <c r="H32" i="40"/>
  <c r="I32" i="40"/>
  <c r="J32" i="40"/>
  <c r="K32" i="40"/>
  <c r="D32" i="40"/>
  <c r="N63" i="14"/>
  <c r="M52" i="14"/>
  <c r="L52" i="14" s="1"/>
  <c r="K52" i="14" s="1"/>
  <c r="J52" i="14" s="1"/>
  <c r="I52" i="14" s="1"/>
  <c r="H52" i="14" s="1"/>
  <c r="G52" i="14" s="1"/>
  <c r="F52" i="14" s="1"/>
  <c r="E52" i="14" s="1"/>
  <c r="D52" i="14" s="1"/>
  <c r="M53" i="14"/>
  <c r="L53" i="14" s="1"/>
  <c r="K53" i="14" s="1"/>
  <c r="J53" i="14" s="1"/>
  <c r="I53" i="14" s="1"/>
  <c r="H53" i="14" s="1"/>
  <c r="G53" i="14" s="1"/>
  <c r="F53" i="14" s="1"/>
  <c r="E53" i="14" s="1"/>
  <c r="D53" i="14" s="1"/>
  <c r="M54" i="14"/>
  <c r="L54" i="14" s="1"/>
  <c r="K54" i="14" s="1"/>
  <c r="J54" i="14" s="1"/>
  <c r="I54" i="14" s="1"/>
  <c r="H54" i="14" s="1"/>
  <c r="G54" i="14" s="1"/>
  <c r="F54" i="14" s="1"/>
  <c r="E54" i="14" s="1"/>
  <c r="D54" i="14" s="1"/>
  <c r="M55" i="14"/>
  <c r="L55" i="14" s="1"/>
  <c r="K55" i="14" s="1"/>
  <c r="J55" i="14" s="1"/>
  <c r="I55" i="14" s="1"/>
  <c r="H55" i="14" s="1"/>
  <c r="G55" i="14" s="1"/>
  <c r="F55" i="14" s="1"/>
  <c r="E55" i="14" s="1"/>
  <c r="D55" i="14" s="1"/>
  <c r="M56" i="14"/>
  <c r="L56" i="14" s="1"/>
  <c r="K56" i="14" s="1"/>
  <c r="J56" i="14" s="1"/>
  <c r="I56" i="14" s="1"/>
  <c r="H56" i="14" s="1"/>
  <c r="G56" i="14" s="1"/>
  <c r="F56" i="14" s="1"/>
  <c r="E56" i="14" s="1"/>
  <c r="D56" i="14" s="1"/>
  <c r="M57" i="14"/>
  <c r="L57" i="14" s="1"/>
  <c r="K57" i="14" s="1"/>
  <c r="J57" i="14" s="1"/>
  <c r="I57" i="14" s="1"/>
  <c r="H57" i="14" s="1"/>
  <c r="G57" i="14" s="1"/>
  <c r="F57" i="14" s="1"/>
  <c r="E57" i="14" s="1"/>
  <c r="D57" i="14" s="1"/>
  <c r="M58" i="14"/>
  <c r="L58" i="14" s="1"/>
  <c r="K58" i="14" s="1"/>
  <c r="J58" i="14" s="1"/>
  <c r="I58" i="14" s="1"/>
  <c r="H58" i="14" s="1"/>
  <c r="G58" i="14" s="1"/>
  <c r="F58" i="14" s="1"/>
  <c r="E58" i="14" s="1"/>
  <c r="D58" i="14" s="1"/>
  <c r="M59" i="14"/>
  <c r="L59" i="14" s="1"/>
  <c r="K59" i="14" s="1"/>
  <c r="J59" i="14" s="1"/>
  <c r="I59" i="14" s="1"/>
  <c r="H59" i="14" s="1"/>
  <c r="G59" i="14" s="1"/>
  <c r="F59" i="14" s="1"/>
  <c r="E59" i="14" s="1"/>
  <c r="D59" i="14" s="1"/>
  <c r="M60" i="14"/>
  <c r="L60" i="14" s="1"/>
  <c r="K60" i="14" s="1"/>
  <c r="J60" i="14" s="1"/>
  <c r="I60" i="14" s="1"/>
  <c r="H60" i="14" s="1"/>
  <c r="G60" i="14" s="1"/>
  <c r="F60" i="14" s="1"/>
  <c r="E60" i="14" s="1"/>
  <c r="D60" i="14" s="1"/>
  <c r="M61" i="14"/>
  <c r="L61" i="14" s="1"/>
  <c r="K61" i="14" s="1"/>
  <c r="J61" i="14" s="1"/>
  <c r="I61" i="14" s="1"/>
  <c r="H61" i="14" s="1"/>
  <c r="G61" i="14" s="1"/>
  <c r="F61" i="14" s="1"/>
  <c r="E61" i="14" s="1"/>
  <c r="D61" i="14" s="1"/>
  <c r="M62" i="14"/>
  <c r="L62" i="14" s="1"/>
  <c r="K62" i="14" s="1"/>
  <c r="J62" i="14" s="1"/>
  <c r="I62" i="14" s="1"/>
  <c r="H62" i="14" s="1"/>
  <c r="G62" i="14" s="1"/>
  <c r="F62" i="14" s="1"/>
  <c r="E62" i="14" s="1"/>
  <c r="D62" i="14" s="1"/>
  <c r="T51" i="27"/>
  <c r="T52" i="27"/>
  <c r="T53" i="27"/>
  <c r="T54" i="27"/>
  <c r="T55" i="27"/>
  <c r="T56" i="27"/>
  <c r="T57" i="27"/>
  <c r="T58" i="27"/>
  <c r="T59" i="27"/>
  <c r="T60" i="27"/>
  <c r="T61" i="27"/>
  <c r="S52" i="27"/>
  <c r="S53" i="27"/>
  <c r="S54" i="27"/>
  <c r="S55" i="27"/>
  <c r="S56" i="27"/>
  <c r="S57" i="27"/>
  <c r="S58" i="27"/>
  <c r="S59" i="27"/>
  <c r="S60" i="27"/>
  <c r="S61" i="27"/>
  <c r="S51" i="27"/>
  <c r="S62" i="27" s="1"/>
  <c r="U62" i="27" s="1"/>
  <c r="C106" i="38"/>
  <c r="D360" i="39"/>
  <c r="C360" i="39"/>
  <c r="E357" i="39"/>
  <c r="E356" i="39"/>
  <c r="F355" i="39"/>
  <c r="E353" i="39"/>
  <c r="E352" i="39"/>
  <c r="E349" i="39"/>
  <c r="G349" i="39" s="1"/>
  <c r="H348" i="39"/>
  <c r="D336" i="39"/>
  <c r="F333" i="39" s="1"/>
  <c r="C336" i="39"/>
  <c r="E325" i="39" s="1"/>
  <c r="F335" i="39"/>
  <c r="F334" i="39"/>
  <c r="F331" i="39"/>
  <c r="E331" i="39"/>
  <c r="F330" i="39"/>
  <c r="F328" i="39"/>
  <c r="F327" i="39"/>
  <c r="F326" i="39"/>
  <c r="G325" i="39"/>
  <c r="H324" i="39"/>
  <c r="D315" i="39"/>
  <c r="C315" i="39"/>
  <c r="E359" i="39" s="1"/>
  <c r="E313" i="39"/>
  <c r="E312" i="39"/>
  <c r="F311" i="39"/>
  <c r="E311" i="39"/>
  <c r="E310" i="39"/>
  <c r="E309" i="39"/>
  <c r="E308" i="39"/>
  <c r="F307" i="39"/>
  <c r="E307" i="39"/>
  <c r="E306" i="39"/>
  <c r="E305" i="39"/>
  <c r="F304" i="39"/>
  <c r="E304" i="39"/>
  <c r="G304" i="39" s="1"/>
  <c r="G305" i="39" s="1"/>
  <c r="G306" i="39" s="1"/>
  <c r="H303" i="39"/>
  <c r="D293" i="39"/>
  <c r="C293" i="39"/>
  <c r="E327" i="39" s="1"/>
  <c r="F292" i="39"/>
  <c r="E290" i="39"/>
  <c r="F288" i="39"/>
  <c r="F285" i="39"/>
  <c r="F284" i="39"/>
  <c r="E282" i="39"/>
  <c r="H281" i="39"/>
  <c r="E273" i="39"/>
  <c r="D273" i="39"/>
  <c r="C273" i="39"/>
  <c r="F272" i="39"/>
  <c r="E272" i="39"/>
  <c r="F271" i="39"/>
  <c r="E271" i="39"/>
  <c r="F270" i="39"/>
  <c r="E270" i="39"/>
  <c r="F269" i="39"/>
  <c r="E269" i="39"/>
  <c r="F268" i="39"/>
  <c r="E268" i="39"/>
  <c r="F267" i="39"/>
  <c r="E267" i="39"/>
  <c r="F266" i="39"/>
  <c r="E266" i="39"/>
  <c r="F265" i="39"/>
  <c r="E265" i="39"/>
  <c r="F264" i="39"/>
  <c r="E264" i="39"/>
  <c r="F263" i="39"/>
  <c r="E263" i="39"/>
  <c r="G262" i="39"/>
  <c r="F262" i="39"/>
  <c r="E262" i="39"/>
  <c r="H261" i="39"/>
  <c r="D253" i="39"/>
  <c r="C253" i="39"/>
  <c r="E252" i="39"/>
  <c r="E251" i="39"/>
  <c r="E250" i="39"/>
  <c r="F249" i="39"/>
  <c r="E249" i="39"/>
  <c r="E248" i="39"/>
  <c r="E247" i="39"/>
  <c r="F246" i="39"/>
  <c r="E246" i="39"/>
  <c r="F245" i="39"/>
  <c r="E245" i="39"/>
  <c r="E244" i="39"/>
  <c r="E243" i="39"/>
  <c r="E242" i="39"/>
  <c r="H241" i="39"/>
  <c r="F232" i="39"/>
  <c r="D232" i="39"/>
  <c r="C232" i="39"/>
  <c r="E226" i="39" s="1"/>
  <c r="F231" i="39"/>
  <c r="E231" i="39"/>
  <c r="F230" i="39"/>
  <c r="F229" i="39"/>
  <c r="F228" i="39"/>
  <c r="E228" i="39"/>
  <c r="F227" i="39"/>
  <c r="E227" i="39"/>
  <c r="F226" i="39"/>
  <c r="F225" i="39"/>
  <c r="F224" i="39"/>
  <c r="E224" i="39"/>
  <c r="F223" i="39"/>
  <c r="E223" i="39"/>
  <c r="F222" i="39"/>
  <c r="H222" i="39" s="1"/>
  <c r="H221" i="39"/>
  <c r="F221" i="39"/>
  <c r="H220" i="39"/>
  <c r="D211" i="39"/>
  <c r="C211" i="39"/>
  <c r="E210" i="39"/>
  <c r="E209" i="39"/>
  <c r="F208" i="39"/>
  <c r="E208" i="39"/>
  <c r="F207" i="39"/>
  <c r="E207" i="39"/>
  <c r="E206" i="39"/>
  <c r="E205" i="39"/>
  <c r="E204" i="39"/>
  <c r="F203" i="39"/>
  <c r="E203" i="39"/>
  <c r="G202" i="39"/>
  <c r="E202" i="39"/>
  <c r="E201" i="39"/>
  <c r="F200" i="39"/>
  <c r="E200" i="39"/>
  <c r="G200" i="39" s="1"/>
  <c r="G201" i="39" s="1"/>
  <c r="H199" i="39"/>
  <c r="D190" i="39"/>
  <c r="C190" i="39"/>
  <c r="F189" i="39"/>
  <c r="E187" i="39"/>
  <c r="F185" i="39"/>
  <c r="F181" i="39"/>
  <c r="E179" i="39"/>
  <c r="H178" i="39"/>
  <c r="D169" i="39"/>
  <c r="F168" i="39" s="1"/>
  <c r="C169" i="39"/>
  <c r="E168" i="39"/>
  <c r="F167" i="39"/>
  <c r="E167" i="39"/>
  <c r="F166" i="39"/>
  <c r="E166" i="39"/>
  <c r="F165" i="39"/>
  <c r="E165" i="39"/>
  <c r="F164" i="39"/>
  <c r="E164" i="39"/>
  <c r="F163" i="39"/>
  <c r="E163" i="39"/>
  <c r="F162" i="39"/>
  <c r="E162" i="39"/>
  <c r="F161" i="39"/>
  <c r="E161" i="39"/>
  <c r="F160" i="39"/>
  <c r="E160" i="39"/>
  <c r="F159" i="39"/>
  <c r="E159" i="39"/>
  <c r="E169" i="39" s="1"/>
  <c r="G158" i="39"/>
  <c r="F158" i="39"/>
  <c r="E158" i="39"/>
  <c r="H157" i="39"/>
  <c r="D148" i="39"/>
  <c r="F142" i="39" s="1"/>
  <c r="C148" i="39"/>
  <c r="F147" i="39"/>
  <c r="F144" i="39"/>
  <c r="E144" i="39"/>
  <c r="F143" i="39"/>
  <c r="E141" i="39"/>
  <c r="F140" i="39"/>
  <c r="E140" i="39"/>
  <c r="F139" i="39"/>
  <c r="H136" i="39"/>
  <c r="D127" i="39"/>
  <c r="C127" i="39"/>
  <c r="E199" i="39" s="1"/>
  <c r="F126" i="39"/>
  <c r="E126" i="39"/>
  <c r="F125" i="39"/>
  <c r="E125" i="39"/>
  <c r="F124" i="39"/>
  <c r="E124" i="39"/>
  <c r="F123" i="39"/>
  <c r="E123" i="39"/>
  <c r="F122" i="39"/>
  <c r="E122" i="39"/>
  <c r="F121" i="39"/>
  <c r="E121" i="39"/>
  <c r="F120" i="39"/>
  <c r="E120" i="39"/>
  <c r="F119" i="39"/>
  <c r="E119" i="39"/>
  <c r="H118" i="39"/>
  <c r="H119" i="39" s="1"/>
  <c r="F118" i="39"/>
  <c r="E118" i="39"/>
  <c r="F117" i="39"/>
  <c r="H117" i="39" s="1"/>
  <c r="E117" i="39"/>
  <c r="E127" i="39" s="1"/>
  <c r="G116" i="39"/>
  <c r="F116" i="39"/>
  <c r="H116" i="39" s="1"/>
  <c r="E116" i="39"/>
  <c r="H115" i="39"/>
  <c r="E115" i="39"/>
  <c r="D106" i="39"/>
  <c r="F103" i="39" s="1"/>
  <c r="C106" i="39"/>
  <c r="E105" i="39"/>
  <c r="E104" i="39"/>
  <c r="E103" i="39"/>
  <c r="E102" i="39"/>
  <c r="E101" i="39"/>
  <c r="E100" i="39"/>
  <c r="F99" i="39"/>
  <c r="E99" i="39"/>
  <c r="F98" i="39"/>
  <c r="E98" i="39"/>
  <c r="E97" i="39"/>
  <c r="E96" i="39"/>
  <c r="E95" i="39"/>
  <c r="G95" i="39" s="1"/>
  <c r="H94" i="39"/>
  <c r="F82" i="39"/>
  <c r="D82" i="39"/>
  <c r="C82" i="39"/>
  <c r="E81" i="39" s="1"/>
  <c r="F81" i="39"/>
  <c r="F80" i="39"/>
  <c r="E80" i="39"/>
  <c r="F79" i="39"/>
  <c r="E79" i="39"/>
  <c r="F78" i="39"/>
  <c r="E78" i="39"/>
  <c r="F77" i="39"/>
  <c r="F76" i="39"/>
  <c r="E76" i="39"/>
  <c r="F75" i="39"/>
  <c r="E75" i="39"/>
  <c r="F74" i="39"/>
  <c r="E74" i="39"/>
  <c r="F73" i="39"/>
  <c r="H73" i="39" s="1"/>
  <c r="E73" i="39"/>
  <c r="F72" i="39"/>
  <c r="E72" i="39"/>
  <c r="F71" i="39"/>
  <c r="H71" i="39" s="1"/>
  <c r="H72" i="39" s="1"/>
  <c r="E71" i="39"/>
  <c r="H70" i="39"/>
  <c r="D61" i="39"/>
  <c r="F53" i="39" s="1"/>
  <c r="C61" i="39"/>
  <c r="E60" i="39"/>
  <c r="E59" i="39"/>
  <c r="E58" i="39"/>
  <c r="E57" i="39"/>
  <c r="E56" i="39"/>
  <c r="E55" i="39"/>
  <c r="E54" i="39"/>
  <c r="E53" i="39"/>
  <c r="E52" i="39"/>
  <c r="E51" i="39"/>
  <c r="E50" i="39"/>
  <c r="G50" i="39" s="1"/>
  <c r="E49" i="39"/>
  <c r="E61" i="39" s="1"/>
  <c r="D39" i="39"/>
  <c r="C39" i="39"/>
  <c r="E38" i="39"/>
  <c r="E37" i="39"/>
  <c r="E36" i="39"/>
  <c r="E35" i="39"/>
  <c r="E34" i="39"/>
  <c r="E33" i="39"/>
  <c r="E32" i="39"/>
  <c r="F31" i="39"/>
  <c r="E31" i="39"/>
  <c r="E30" i="39"/>
  <c r="E29" i="39"/>
  <c r="E28" i="39"/>
  <c r="E27" i="39"/>
  <c r="D18" i="39"/>
  <c r="C18" i="39"/>
  <c r="E17" i="39"/>
  <c r="E16" i="39"/>
  <c r="E15" i="39"/>
  <c r="E14" i="39"/>
  <c r="E13" i="39"/>
  <c r="E12" i="39"/>
  <c r="E11" i="39"/>
  <c r="F10" i="39"/>
  <c r="E10" i="39"/>
  <c r="E9" i="39"/>
  <c r="E8" i="39"/>
  <c r="E7" i="39"/>
  <c r="H6" i="39"/>
  <c r="D360" i="38"/>
  <c r="C360" i="38"/>
  <c r="F356" i="38"/>
  <c r="E353" i="38"/>
  <c r="H348" i="38"/>
  <c r="D336" i="38"/>
  <c r="F331" i="38" s="1"/>
  <c r="C336" i="38"/>
  <c r="F335" i="38"/>
  <c r="F333" i="38"/>
  <c r="F330" i="38"/>
  <c r="F328" i="38"/>
  <c r="F327" i="38"/>
  <c r="H325" i="38"/>
  <c r="G325" i="38"/>
  <c r="F325" i="38"/>
  <c r="E325" i="38"/>
  <c r="H324" i="38"/>
  <c r="D315" i="38"/>
  <c r="F359" i="38" s="1"/>
  <c r="C315" i="38"/>
  <c r="E356" i="38" s="1"/>
  <c r="F312" i="38"/>
  <c r="F310" i="38"/>
  <c r="E309" i="38"/>
  <c r="F307" i="38"/>
  <c r="E307" i="38"/>
  <c r="F304" i="38"/>
  <c r="E304" i="38"/>
  <c r="G304" i="38" s="1"/>
  <c r="H303" i="38"/>
  <c r="D293" i="38"/>
  <c r="F285" i="38" s="1"/>
  <c r="C293" i="38"/>
  <c r="E335" i="38" s="1"/>
  <c r="H281" i="38"/>
  <c r="D273" i="38"/>
  <c r="F267" i="38" s="1"/>
  <c r="C273" i="38"/>
  <c r="E267" i="38" s="1"/>
  <c r="F271" i="38"/>
  <c r="F265" i="38"/>
  <c r="H261" i="38"/>
  <c r="D253" i="38"/>
  <c r="F251" i="38" s="1"/>
  <c r="C253" i="38"/>
  <c r="E247" i="38" s="1"/>
  <c r="H241" i="38"/>
  <c r="D232" i="38"/>
  <c r="F225" i="38" s="1"/>
  <c r="C232" i="38"/>
  <c r="E225" i="38" s="1"/>
  <c r="F229" i="38"/>
  <c r="F228" i="38"/>
  <c r="H220" i="38"/>
  <c r="D211" i="38"/>
  <c r="F202" i="38" s="1"/>
  <c r="C211" i="38"/>
  <c r="E204" i="38" s="1"/>
  <c r="H199" i="38"/>
  <c r="D190" i="38"/>
  <c r="F182" i="38" s="1"/>
  <c r="C190" i="38"/>
  <c r="E182" i="38" s="1"/>
  <c r="F185" i="38"/>
  <c r="H178" i="38"/>
  <c r="D169" i="38"/>
  <c r="F163" i="38" s="1"/>
  <c r="C169" i="38"/>
  <c r="E163" i="38" s="1"/>
  <c r="H157" i="38"/>
  <c r="D148" i="38"/>
  <c r="F141" i="38" s="1"/>
  <c r="C148" i="38"/>
  <c r="E145" i="38" s="1"/>
  <c r="F145" i="38"/>
  <c r="F140" i="38"/>
  <c r="F139" i="38"/>
  <c r="F144" i="38"/>
  <c r="F143" i="38"/>
  <c r="F138" i="38"/>
  <c r="F137" i="38"/>
  <c r="F142" i="38"/>
  <c r="H136" i="38"/>
  <c r="D127" i="38"/>
  <c r="F126" i="38" s="1"/>
  <c r="C127" i="38"/>
  <c r="E117" i="38" s="1"/>
  <c r="H115" i="38"/>
  <c r="D106" i="38"/>
  <c r="F102" i="38" s="1"/>
  <c r="E102" i="38"/>
  <c r="F96" i="38"/>
  <c r="H94" i="38"/>
  <c r="D82" i="38"/>
  <c r="F75" i="38" s="1"/>
  <c r="C82" i="38"/>
  <c r="E75" i="38" s="1"/>
  <c r="F74" i="38"/>
  <c r="H70" i="38"/>
  <c r="D61" i="38"/>
  <c r="F54" i="38" s="1"/>
  <c r="C61" i="38"/>
  <c r="E52" i="38" s="1"/>
  <c r="F56" i="38"/>
  <c r="F55" i="38"/>
  <c r="D39" i="38"/>
  <c r="F30" i="38" s="1"/>
  <c r="C39" i="38"/>
  <c r="E35" i="38" s="1"/>
  <c r="E27" i="38"/>
  <c r="D18" i="38"/>
  <c r="F10" i="38" s="1"/>
  <c r="C18" i="38"/>
  <c r="E10" i="38" s="1"/>
  <c r="H6" i="38"/>
  <c r="E46" i="27"/>
  <c r="D46" i="27"/>
  <c r="C46" i="27"/>
  <c r="Y62" i="27"/>
  <c r="L61" i="27"/>
  <c r="O61" i="27" s="1"/>
  <c r="G61" i="27"/>
  <c r="F61" i="27"/>
  <c r="E61" i="27"/>
  <c r="V61" i="27" s="1"/>
  <c r="D61" i="27"/>
  <c r="C61" i="27"/>
  <c r="M60" i="27"/>
  <c r="L60" i="27"/>
  <c r="O60" i="27" s="1"/>
  <c r="G60" i="27"/>
  <c r="F60" i="27"/>
  <c r="E60" i="27"/>
  <c r="V60" i="27" s="1"/>
  <c r="D60" i="27"/>
  <c r="C60" i="27"/>
  <c r="M59" i="27"/>
  <c r="L59" i="27"/>
  <c r="O59" i="27" s="1"/>
  <c r="G59" i="27"/>
  <c r="F59" i="27"/>
  <c r="E59" i="27"/>
  <c r="V59" i="27" s="1"/>
  <c r="D59" i="27"/>
  <c r="C59" i="27"/>
  <c r="M58" i="27"/>
  <c r="L58" i="27"/>
  <c r="O58" i="27" s="1"/>
  <c r="G58" i="27"/>
  <c r="F58" i="27"/>
  <c r="E58" i="27"/>
  <c r="V58" i="27" s="1"/>
  <c r="D58" i="27"/>
  <c r="C58" i="27"/>
  <c r="M57" i="27"/>
  <c r="L57" i="27"/>
  <c r="O57" i="27" s="1"/>
  <c r="G57" i="27"/>
  <c r="F57" i="27"/>
  <c r="E57" i="27"/>
  <c r="V57" i="27" s="1"/>
  <c r="D57" i="27"/>
  <c r="C57" i="27"/>
  <c r="P56" i="27"/>
  <c r="O56" i="27"/>
  <c r="M56" i="27"/>
  <c r="L56" i="27"/>
  <c r="N56" i="27" s="1"/>
  <c r="G56" i="27"/>
  <c r="F56" i="27"/>
  <c r="E56" i="27"/>
  <c r="D56" i="27"/>
  <c r="C56" i="27"/>
  <c r="O55" i="27"/>
  <c r="M55" i="27"/>
  <c r="L55" i="27"/>
  <c r="N55" i="27" s="1"/>
  <c r="G55" i="27"/>
  <c r="F55" i="27"/>
  <c r="E55" i="27"/>
  <c r="D55" i="27"/>
  <c r="C55" i="27"/>
  <c r="O54" i="27"/>
  <c r="M54" i="27"/>
  <c r="L54" i="27"/>
  <c r="N54" i="27" s="1"/>
  <c r="G54" i="27"/>
  <c r="F54" i="27"/>
  <c r="E54" i="27"/>
  <c r="D54" i="27"/>
  <c r="C54" i="27"/>
  <c r="P53" i="27"/>
  <c r="O53" i="27"/>
  <c r="M53" i="27"/>
  <c r="L53" i="27"/>
  <c r="N53" i="27" s="1"/>
  <c r="G53" i="27"/>
  <c r="F53" i="27"/>
  <c r="E53" i="27"/>
  <c r="D53" i="27"/>
  <c r="C53" i="27"/>
  <c r="O52" i="27"/>
  <c r="M52" i="27"/>
  <c r="L52" i="27"/>
  <c r="N52" i="27" s="1"/>
  <c r="G52" i="27"/>
  <c r="F52" i="27"/>
  <c r="E52" i="27"/>
  <c r="D52" i="27"/>
  <c r="C52" i="27"/>
  <c r="T62" i="27"/>
  <c r="V62" i="27" s="1"/>
  <c r="O51" i="27"/>
  <c r="M51" i="27"/>
  <c r="L51" i="27"/>
  <c r="N51" i="27" s="1"/>
  <c r="G51" i="27"/>
  <c r="F51" i="27"/>
  <c r="E51" i="27"/>
  <c r="V51" i="27" s="1"/>
  <c r="D51" i="27"/>
  <c r="C51" i="27"/>
  <c r="K46" i="27"/>
  <c r="J46" i="27"/>
  <c r="I46" i="27"/>
  <c r="H46" i="27"/>
  <c r="G46" i="27"/>
  <c r="F46" i="27"/>
  <c r="L45" i="27"/>
  <c r="P61" i="27" s="1"/>
  <c r="L44" i="27"/>
  <c r="P60" i="27" s="1"/>
  <c r="L43" i="27"/>
  <c r="P59" i="27" s="1"/>
  <c r="L42" i="27"/>
  <c r="P58" i="27" s="1"/>
  <c r="L41" i="27"/>
  <c r="P57" i="27" s="1"/>
  <c r="O40" i="27"/>
  <c r="L40" i="27"/>
  <c r="L39" i="27"/>
  <c r="P55" i="27" s="1"/>
  <c r="L38" i="27"/>
  <c r="P54" i="27" s="1"/>
  <c r="L37" i="27"/>
  <c r="O36" i="27"/>
  <c r="L36" i="27"/>
  <c r="P52" i="27" s="1"/>
  <c r="O35" i="27"/>
  <c r="L35" i="27"/>
  <c r="P51" i="27" s="1"/>
  <c r="M63" i="14" l="1"/>
  <c r="K63" i="14"/>
  <c r="L63" i="14"/>
  <c r="V54" i="27"/>
  <c r="V55" i="27"/>
  <c r="V56" i="27"/>
  <c r="V52" i="27"/>
  <c r="V53" i="27"/>
  <c r="F282" i="38"/>
  <c r="F272" i="38"/>
  <c r="E266" i="38"/>
  <c r="E265" i="38"/>
  <c r="E262" i="38"/>
  <c r="F268" i="38"/>
  <c r="F262" i="38"/>
  <c r="E263" i="38"/>
  <c r="E270" i="38"/>
  <c r="E269" i="38"/>
  <c r="F270" i="38"/>
  <c r="F269" i="38"/>
  <c r="F246" i="38"/>
  <c r="F252" i="38"/>
  <c r="F247" i="38"/>
  <c r="F244" i="38"/>
  <c r="F248" i="38"/>
  <c r="F245" i="38"/>
  <c r="F242" i="38"/>
  <c r="F249" i="38"/>
  <c r="F243" i="38"/>
  <c r="F253" i="38" s="1"/>
  <c r="F250" i="38"/>
  <c r="F226" i="38"/>
  <c r="F222" i="38"/>
  <c r="F227" i="38"/>
  <c r="F224" i="38"/>
  <c r="F201" i="38"/>
  <c r="F183" i="38"/>
  <c r="F161" i="38"/>
  <c r="F168" i="38"/>
  <c r="F164" i="38"/>
  <c r="F165" i="38"/>
  <c r="F167" i="38"/>
  <c r="F158" i="38"/>
  <c r="F166" i="38"/>
  <c r="F146" i="38"/>
  <c r="F117" i="38"/>
  <c r="F120" i="38"/>
  <c r="F116" i="38"/>
  <c r="F118" i="38"/>
  <c r="F125" i="38"/>
  <c r="F100" i="38"/>
  <c r="F98" i="38"/>
  <c r="F103" i="38"/>
  <c r="F97" i="38"/>
  <c r="F105" i="38"/>
  <c r="F104" i="38"/>
  <c r="F99" i="38"/>
  <c r="F101" i="38"/>
  <c r="F106" i="38" s="1"/>
  <c r="F95" i="38"/>
  <c r="E50" i="38"/>
  <c r="F51" i="38"/>
  <c r="F53" i="38"/>
  <c r="E29" i="38"/>
  <c r="E31" i="38"/>
  <c r="E28" i="38"/>
  <c r="E36" i="38"/>
  <c r="F38" i="38"/>
  <c r="E11" i="38"/>
  <c r="E16" i="38"/>
  <c r="E15" i="38"/>
  <c r="E7" i="38"/>
  <c r="E17" i="38"/>
  <c r="E285" i="38"/>
  <c r="E332" i="38"/>
  <c r="E286" i="38"/>
  <c r="E283" i="38"/>
  <c r="E284" i="38"/>
  <c r="E272" i="38"/>
  <c r="E271" i="38"/>
  <c r="E264" i="38"/>
  <c r="E268" i="38"/>
  <c r="E227" i="38"/>
  <c r="E229" i="38"/>
  <c r="E162" i="38"/>
  <c r="E164" i="38"/>
  <c r="E167" i="38"/>
  <c r="E168" i="38"/>
  <c r="E158" i="38"/>
  <c r="E141" i="38"/>
  <c r="E49" i="38"/>
  <c r="E56" i="38"/>
  <c r="E60" i="38"/>
  <c r="F13" i="39"/>
  <c r="F16" i="39"/>
  <c r="F8" i="39"/>
  <c r="F12" i="39"/>
  <c r="F11" i="39"/>
  <c r="F14" i="39"/>
  <c r="F17" i="39"/>
  <c r="F9" i="39"/>
  <c r="F15" i="39"/>
  <c r="F7" i="39"/>
  <c r="G28" i="39"/>
  <c r="E39" i="39"/>
  <c r="F34" i="39"/>
  <c r="F37" i="39"/>
  <c r="F29" i="39"/>
  <c r="F27" i="39"/>
  <c r="H27" i="39" s="1"/>
  <c r="F32" i="39"/>
  <c r="F33" i="39"/>
  <c r="F35" i="39"/>
  <c r="F38" i="39"/>
  <c r="F30" i="39"/>
  <c r="F36" i="39"/>
  <c r="F28" i="39"/>
  <c r="G51" i="39"/>
  <c r="F56" i="39"/>
  <c r="F59" i="39"/>
  <c r="F51" i="39"/>
  <c r="F49" i="39"/>
  <c r="F55" i="39"/>
  <c r="F54" i="39"/>
  <c r="F57" i="39"/>
  <c r="F60" i="39"/>
  <c r="F52" i="39"/>
  <c r="F58" i="39"/>
  <c r="F50" i="39"/>
  <c r="G307" i="39"/>
  <c r="G7" i="39"/>
  <c r="E18" i="39"/>
  <c r="H74" i="39"/>
  <c r="H75" i="39" s="1"/>
  <c r="H76" i="39" s="1"/>
  <c r="H77" i="39" s="1"/>
  <c r="H78" i="39" s="1"/>
  <c r="H79" i="39" s="1"/>
  <c r="H80" i="39" s="1"/>
  <c r="H81" i="39" s="1"/>
  <c r="H120" i="39"/>
  <c r="H121" i="39" s="1"/>
  <c r="H122" i="39" s="1"/>
  <c r="H123" i="39" s="1"/>
  <c r="H124" i="39" s="1"/>
  <c r="H125" i="39" s="1"/>
  <c r="H126" i="39" s="1"/>
  <c r="F102" i="39"/>
  <c r="G179" i="39"/>
  <c r="E261" i="39"/>
  <c r="H200" i="39"/>
  <c r="I200" i="39" s="1"/>
  <c r="G71" i="39"/>
  <c r="G96" i="39"/>
  <c r="G203" i="39"/>
  <c r="G242" i="39"/>
  <c r="E253" i="39"/>
  <c r="H304" i="39"/>
  <c r="I304" i="39" s="1"/>
  <c r="F95" i="39"/>
  <c r="G117" i="39"/>
  <c r="I117" i="39" s="1"/>
  <c r="I116" i="39"/>
  <c r="H158" i="39"/>
  <c r="H159" i="39" s="1"/>
  <c r="H160" i="39" s="1"/>
  <c r="H161" i="39" s="1"/>
  <c r="H162" i="39" s="1"/>
  <c r="H163" i="39" s="1"/>
  <c r="H164" i="39" s="1"/>
  <c r="H165" i="39" s="1"/>
  <c r="H166" i="39" s="1"/>
  <c r="H167" i="39" s="1"/>
  <c r="H168" i="39" s="1"/>
  <c r="F169" i="39"/>
  <c r="H262" i="39"/>
  <c r="I262" i="39" s="1"/>
  <c r="F273" i="39"/>
  <c r="F101" i="39"/>
  <c r="F104" i="39"/>
  <c r="F96" i="39"/>
  <c r="F105" i="39"/>
  <c r="F97" i="39"/>
  <c r="F100" i="39"/>
  <c r="I158" i="39"/>
  <c r="E185" i="39"/>
  <c r="E188" i="39"/>
  <c r="E180" i="39"/>
  <c r="E190" i="39" s="1"/>
  <c r="E183" i="39"/>
  <c r="E189" i="39"/>
  <c r="E181" i="39"/>
  <c r="E184" i="39"/>
  <c r="G282" i="39"/>
  <c r="E303" i="39"/>
  <c r="E348" i="39"/>
  <c r="E106" i="39"/>
  <c r="E147" i="39"/>
  <c r="E139" i="39"/>
  <c r="E142" i="39"/>
  <c r="E145" i="39"/>
  <c r="E137" i="39"/>
  <c r="E143" i="39"/>
  <c r="E146" i="39"/>
  <c r="E138" i="39"/>
  <c r="E182" i="39"/>
  <c r="E186" i="39"/>
  <c r="F188" i="39"/>
  <c r="F180" i="39"/>
  <c r="F183" i="39"/>
  <c r="F186" i="39"/>
  <c r="F184" i="39"/>
  <c r="F187" i="39"/>
  <c r="F179" i="39"/>
  <c r="F206" i="39"/>
  <c r="F209" i="39"/>
  <c r="F201" i="39"/>
  <c r="F204" i="39"/>
  <c r="F210" i="39"/>
  <c r="F202" i="39"/>
  <c r="F205" i="39"/>
  <c r="E332" i="39"/>
  <c r="E335" i="39"/>
  <c r="E330" i="39"/>
  <c r="E288" i="39"/>
  <c r="E333" i="39"/>
  <c r="E291" i="39"/>
  <c r="E283" i="39"/>
  <c r="E293" i="39" s="1"/>
  <c r="E328" i="39"/>
  <c r="E286" i="39"/>
  <c r="E334" i="39"/>
  <c r="E326" i="39"/>
  <c r="E336" i="39" s="1"/>
  <c r="E292" i="39"/>
  <c r="E284" i="39"/>
  <c r="E329" i="39"/>
  <c r="E287" i="39"/>
  <c r="F356" i="39"/>
  <c r="F359" i="39"/>
  <c r="F351" i="39"/>
  <c r="F354" i="39"/>
  <c r="F310" i="39"/>
  <c r="F357" i="39"/>
  <c r="F349" i="39"/>
  <c r="F313" i="39"/>
  <c r="F305" i="39"/>
  <c r="H305" i="39" s="1"/>
  <c r="F352" i="39"/>
  <c r="F308" i="39"/>
  <c r="F358" i="39"/>
  <c r="F350" i="39"/>
  <c r="F314" i="39"/>
  <c r="F306" i="39"/>
  <c r="F353" i="39"/>
  <c r="F309" i="39"/>
  <c r="E70" i="39"/>
  <c r="E77" i="39"/>
  <c r="E82" i="39" s="1"/>
  <c r="F127" i="39"/>
  <c r="F182" i="39"/>
  <c r="E211" i="39"/>
  <c r="H223" i="39"/>
  <c r="H224" i="39" s="1"/>
  <c r="H225" i="39" s="1"/>
  <c r="H226" i="39" s="1"/>
  <c r="H227" i="39" s="1"/>
  <c r="H228" i="39" s="1"/>
  <c r="H229" i="39" s="1"/>
  <c r="H230" i="39" s="1"/>
  <c r="H231" i="39" s="1"/>
  <c r="F252" i="39"/>
  <c r="F244" i="39"/>
  <c r="F247" i="39"/>
  <c r="F250" i="39"/>
  <c r="F242" i="39"/>
  <c r="F248" i="39"/>
  <c r="F251" i="39"/>
  <c r="F243" i="39"/>
  <c r="E285" i="39"/>
  <c r="E289" i="39"/>
  <c r="F291" i="39"/>
  <c r="F283" i="39"/>
  <c r="F286" i="39"/>
  <c r="F289" i="39"/>
  <c r="F287" i="39"/>
  <c r="F290" i="39"/>
  <c r="F282" i="39"/>
  <c r="I305" i="39"/>
  <c r="F312" i="39"/>
  <c r="F141" i="39"/>
  <c r="G159" i="39"/>
  <c r="E225" i="39"/>
  <c r="G263" i="39"/>
  <c r="E314" i="39"/>
  <c r="E315" i="39" s="1"/>
  <c r="F332" i="39"/>
  <c r="E350" i="39"/>
  <c r="G350" i="39" s="1"/>
  <c r="E358" i="39"/>
  <c r="F138" i="39"/>
  <c r="F146" i="39"/>
  <c r="E222" i="39"/>
  <c r="E230" i="39"/>
  <c r="F329" i="39"/>
  <c r="E355" i="39"/>
  <c r="F137" i="39"/>
  <c r="F145" i="39"/>
  <c r="E221" i="39"/>
  <c r="E229" i="39"/>
  <c r="E354" i="39"/>
  <c r="E360" i="39"/>
  <c r="F325" i="39"/>
  <c r="E351" i="39"/>
  <c r="E248" i="38"/>
  <c r="E245" i="38"/>
  <c r="E249" i="38"/>
  <c r="E250" i="38"/>
  <c r="E252" i="38"/>
  <c r="E251" i="38"/>
  <c r="E242" i="38"/>
  <c r="E160" i="38"/>
  <c r="E166" i="38"/>
  <c r="E159" i="38"/>
  <c r="E161" i="38"/>
  <c r="E165" i="38"/>
  <c r="E223" i="38"/>
  <c r="E226" i="38"/>
  <c r="E228" i="38"/>
  <c r="E224" i="38"/>
  <c r="E222" i="38"/>
  <c r="E221" i="38"/>
  <c r="E230" i="38"/>
  <c r="E138" i="38"/>
  <c r="E139" i="38"/>
  <c r="E143" i="38"/>
  <c r="E140" i="38"/>
  <c r="E142" i="38"/>
  <c r="E147" i="38"/>
  <c r="E146" i="38"/>
  <c r="E144" i="38"/>
  <c r="E137" i="38"/>
  <c r="E55" i="38"/>
  <c r="E53" i="38"/>
  <c r="E51" i="38"/>
  <c r="F29" i="38"/>
  <c r="F28" i="38"/>
  <c r="F8" i="38"/>
  <c r="F17" i="38"/>
  <c r="F9" i="38"/>
  <c r="E99" i="38"/>
  <c r="E95" i="38"/>
  <c r="E100" i="38"/>
  <c r="E98" i="38"/>
  <c r="E104" i="38"/>
  <c r="E74" i="38"/>
  <c r="E72" i="38"/>
  <c r="E79" i="38"/>
  <c r="E73" i="38"/>
  <c r="E59" i="38"/>
  <c r="E58" i="38"/>
  <c r="E57" i="38"/>
  <c r="E54" i="38"/>
  <c r="E119" i="38"/>
  <c r="E124" i="38"/>
  <c r="E126" i="38"/>
  <c r="E116" i="38"/>
  <c r="E120" i="38"/>
  <c r="E121" i="38"/>
  <c r="E123" i="38"/>
  <c r="E32" i="38"/>
  <c r="E30" i="38"/>
  <c r="E37" i="38"/>
  <c r="E38" i="38"/>
  <c r="E33" i="38"/>
  <c r="E34" i="38"/>
  <c r="E101" i="38"/>
  <c r="E96" i="38"/>
  <c r="E103" i="38"/>
  <c r="E97" i="38"/>
  <c r="E8" i="38"/>
  <c r="E13" i="38"/>
  <c r="E14" i="38"/>
  <c r="E12" i="38"/>
  <c r="E9" i="38"/>
  <c r="F12" i="38"/>
  <c r="F32" i="38"/>
  <c r="F57" i="38"/>
  <c r="F73" i="38"/>
  <c r="E76" i="38"/>
  <c r="F72" i="38"/>
  <c r="H137" i="38"/>
  <c r="F33" i="38"/>
  <c r="F35" i="38"/>
  <c r="F58" i="38"/>
  <c r="F76" i="38"/>
  <c r="E80" i="38"/>
  <c r="E202" i="38"/>
  <c r="E206" i="38"/>
  <c r="E203" i="38"/>
  <c r="E208" i="38"/>
  <c r="E209" i="38"/>
  <c r="E207" i="38"/>
  <c r="E205" i="38"/>
  <c r="E261" i="38"/>
  <c r="F79" i="38"/>
  <c r="E185" i="38"/>
  <c r="E188" i="38"/>
  <c r="E187" i="38"/>
  <c r="E186" i="38"/>
  <c r="E179" i="38"/>
  <c r="E184" i="38"/>
  <c r="E200" i="38"/>
  <c r="F206" i="38"/>
  <c r="F203" i="38"/>
  <c r="F208" i="38"/>
  <c r="F209" i="38"/>
  <c r="F207" i="38"/>
  <c r="F205" i="38"/>
  <c r="F204" i="38"/>
  <c r="H242" i="38"/>
  <c r="F16" i="38"/>
  <c r="F36" i="38"/>
  <c r="F60" i="38"/>
  <c r="E81" i="38"/>
  <c r="F77" i="38"/>
  <c r="E180" i="38"/>
  <c r="F188" i="38"/>
  <c r="F187" i="38"/>
  <c r="F186" i="38"/>
  <c r="F179" i="38"/>
  <c r="F184" i="38"/>
  <c r="F189" i="38"/>
  <c r="F181" i="38"/>
  <c r="F200" i="38"/>
  <c r="G262" i="38"/>
  <c r="F7" i="38"/>
  <c r="F15" i="38"/>
  <c r="F37" i="38"/>
  <c r="F80" i="38"/>
  <c r="F11" i="38"/>
  <c r="F13" i="38"/>
  <c r="F27" i="38"/>
  <c r="H27" i="38" s="1"/>
  <c r="F31" i="38"/>
  <c r="F34" i="38"/>
  <c r="F49" i="38"/>
  <c r="F50" i="38"/>
  <c r="F59" i="38"/>
  <c r="E71" i="38"/>
  <c r="F81" i="38"/>
  <c r="E78" i="38"/>
  <c r="E199" i="38"/>
  <c r="E118" i="38"/>
  <c r="E115" i="38"/>
  <c r="E122" i="38"/>
  <c r="E125" i="38"/>
  <c r="E181" i="38"/>
  <c r="F180" i="38"/>
  <c r="E210" i="38"/>
  <c r="F286" i="38"/>
  <c r="F289" i="38"/>
  <c r="F292" i="38"/>
  <c r="F288" i="38"/>
  <c r="F291" i="38"/>
  <c r="F290" i="38"/>
  <c r="F287" i="38"/>
  <c r="F283" i="38"/>
  <c r="F284" i="38"/>
  <c r="F14" i="38"/>
  <c r="F52" i="38"/>
  <c r="E77" i="38"/>
  <c r="E70" i="38"/>
  <c r="F71" i="38"/>
  <c r="F78" i="38"/>
  <c r="E105" i="38"/>
  <c r="F122" i="38"/>
  <c r="F119" i="38"/>
  <c r="F124" i="38"/>
  <c r="F123" i="38"/>
  <c r="F121" i="38"/>
  <c r="E183" i="38"/>
  <c r="E189" i="38"/>
  <c r="E201" i="38"/>
  <c r="F210" i="38"/>
  <c r="E303" i="38"/>
  <c r="E348" i="38"/>
  <c r="I304" i="38"/>
  <c r="H304" i="38"/>
  <c r="F147" i="38"/>
  <c r="F162" i="38"/>
  <c r="E231" i="38"/>
  <c r="F223" i="38"/>
  <c r="E246" i="38"/>
  <c r="F266" i="38"/>
  <c r="E287" i="38"/>
  <c r="E306" i="38"/>
  <c r="F309" i="38"/>
  <c r="E314" i="38"/>
  <c r="I325" i="38"/>
  <c r="E329" i="38"/>
  <c r="F332" i="38"/>
  <c r="E350" i="38"/>
  <c r="F353" i="38"/>
  <c r="E358" i="38"/>
  <c r="F231" i="38"/>
  <c r="E290" i="38"/>
  <c r="E291" i="38"/>
  <c r="F306" i="38"/>
  <c r="E311" i="38"/>
  <c r="F314" i="38"/>
  <c r="E326" i="38"/>
  <c r="F329" i="38"/>
  <c r="E334" i="38"/>
  <c r="F350" i="38"/>
  <c r="E355" i="38"/>
  <c r="F358" i="38"/>
  <c r="F160" i="38"/>
  <c r="F159" i="38"/>
  <c r="F221" i="38"/>
  <c r="H221" i="38" s="1"/>
  <c r="F230" i="38"/>
  <c r="E244" i="38"/>
  <c r="E243" i="38"/>
  <c r="F264" i="38"/>
  <c r="F263" i="38"/>
  <c r="E288" i="38"/>
  <c r="E308" i="38"/>
  <c r="F311" i="38"/>
  <c r="F326" i="38"/>
  <c r="H326" i="38" s="1"/>
  <c r="H327" i="38" s="1"/>
  <c r="H328" i="38" s="1"/>
  <c r="E331" i="38"/>
  <c r="F334" i="38"/>
  <c r="E352" i="38"/>
  <c r="F355" i="38"/>
  <c r="E292" i="38"/>
  <c r="E305" i="38"/>
  <c r="E315" i="38" s="1"/>
  <c r="F308" i="38"/>
  <c r="E313" i="38"/>
  <c r="E328" i="38"/>
  <c r="E349" i="38"/>
  <c r="F352" i="38"/>
  <c r="E357" i="38"/>
  <c r="E282" i="38"/>
  <c r="E289" i="38"/>
  <c r="F305" i="38"/>
  <c r="H305" i="38" s="1"/>
  <c r="E310" i="38"/>
  <c r="F313" i="38"/>
  <c r="E333" i="38"/>
  <c r="F349" i="38"/>
  <c r="E354" i="38"/>
  <c r="F357" i="38"/>
  <c r="E330" i="38"/>
  <c r="E351" i="38"/>
  <c r="F354" i="38"/>
  <c r="E359" i="38"/>
  <c r="E312" i="38"/>
  <c r="E327" i="38"/>
  <c r="F351" i="38"/>
  <c r="H51" i="27"/>
  <c r="H52" i="27"/>
  <c r="H53" i="27"/>
  <c r="H54" i="27"/>
  <c r="H55" i="27"/>
  <c r="H56" i="27"/>
  <c r="H57" i="27"/>
  <c r="H58" i="27"/>
  <c r="H59" i="27"/>
  <c r="H60" i="27"/>
  <c r="H61" i="27"/>
  <c r="I51" i="27"/>
  <c r="U51" i="27"/>
  <c r="I52" i="27"/>
  <c r="U52" i="27"/>
  <c r="I53" i="27"/>
  <c r="U53" i="27"/>
  <c r="I54" i="27"/>
  <c r="U54" i="27"/>
  <c r="I55" i="27"/>
  <c r="U55" i="27"/>
  <c r="I56" i="27"/>
  <c r="U56" i="27"/>
  <c r="I57" i="27"/>
  <c r="U57" i="27"/>
  <c r="I58" i="27"/>
  <c r="U58" i="27"/>
  <c r="I59" i="27"/>
  <c r="U59" i="27"/>
  <c r="I60" i="27"/>
  <c r="U60" i="27"/>
  <c r="I61" i="27"/>
  <c r="U61" i="27"/>
  <c r="L46" i="27"/>
  <c r="M61" i="27"/>
  <c r="N57" i="27"/>
  <c r="N58" i="27"/>
  <c r="N59" i="27"/>
  <c r="N60" i="27"/>
  <c r="N61" i="27"/>
  <c r="D336" i="22"/>
  <c r="F333" i="22" s="1"/>
  <c r="C336" i="22"/>
  <c r="E325" i="22" s="1"/>
  <c r="H324" i="22"/>
  <c r="S21" i="27"/>
  <c r="S22" i="27"/>
  <c r="S23" i="27"/>
  <c r="S24" i="27"/>
  <c r="S25" i="27"/>
  <c r="S26" i="27"/>
  <c r="S27" i="27"/>
  <c r="S28" i="27"/>
  <c r="S29" i="27"/>
  <c r="S30" i="27"/>
  <c r="D315" i="22"/>
  <c r="C273" i="22"/>
  <c r="C293" i="22"/>
  <c r="E328" i="22" s="1"/>
  <c r="C190" i="22"/>
  <c r="E188" i="22" s="1"/>
  <c r="D253" i="22"/>
  <c r="F248" i="22" s="1"/>
  <c r="C253" i="22"/>
  <c r="E245" i="22" s="1"/>
  <c r="H241" i="22"/>
  <c r="D232" i="22"/>
  <c r="F228" i="22" s="1"/>
  <c r="C232" i="22"/>
  <c r="E225" i="22" s="1"/>
  <c r="H220" i="22"/>
  <c r="D211" i="22"/>
  <c r="F204" i="22" s="1"/>
  <c r="C211" i="22"/>
  <c r="E210" i="22" s="1"/>
  <c r="H199" i="22"/>
  <c r="D190" i="22"/>
  <c r="F187" i="22" s="1"/>
  <c r="H178" i="22"/>
  <c r="J63" i="14" l="1"/>
  <c r="E334" i="22"/>
  <c r="E331" i="22"/>
  <c r="E329" i="22"/>
  <c r="E327" i="22"/>
  <c r="E335" i="22"/>
  <c r="E333" i="22"/>
  <c r="E332" i="22"/>
  <c r="E326" i="22"/>
  <c r="E330" i="22"/>
  <c r="F332" i="22"/>
  <c r="F331" i="22"/>
  <c r="F325" i="22"/>
  <c r="H325" i="22" s="1"/>
  <c r="F328" i="22"/>
  <c r="F327" i="22"/>
  <c r="F334" i="22"/>
  <c r="F326" i="22"/>
  <c r="F330" i="22"/>
  <c r="F329" i="22"/>
  <c r="F335" i="22"/>
  <c r="H222" i="38"/>
  <c r="E39" i="38"/>
  <c r="H9" i="38"/>
  <c r="E18" i="38"/>
  <c r="E293" i="38"/>
  <c r="E273" i="38"/>
  <c r="E232" i="38"/>
  <c r="G221" i="38"/>
  <c r="I221" i="38" s="1"/>
  <c r="G137" i="38"/>
  <c r="G138" i="38" s="1"/>
  <c r="G351" i="39"/>
  <c r="F293" i="39"/>
  <c r="H282" i="39"/>
  <c r="G97" i="39"/>
  <c r="H263" i="39"/>
  <c r="H264" i="39" s="1"/>
  <c r="H265" i="39" s="1"/>
  <c r="H266" i="39" s="1"/>
  <c r="H267" i="39" s="1"/>
  <c r="H268" i="39" s="1"/>
  <c r="H269" i="39" s="1"/>
  <c r="H270" i="39" s="1"/>
  <c r="H271" i="39" s="1"/>
  <c r="H272" i="39" s="1"/>
  <c r="H201" i="39"/>
  <c r="I201" i="39" s="1"/>
  <c r="F315" i="39"/>
  <c r="I72" i="39"/>
  <c r="I71" i="39"/>
  <c r="G72" i="39"/>
  <c r="G160" i="39"/>
  <c r="I160" i="39" s="1"/>
  <c r="I159" i="39"/>
  <c r="G264" i="39"/>
  <c r="I264" i="39" s="1"/>
  <c r="I263" i="39"/>
  <c r="E232" i="39"/>
  <c r="G221" i="39"/>
  <c r="G137" i="39"/>
  <c r="E148" i="39"/>
  <c r="F211" i="39"/>
  <c r="G8" i="39"/>
  <c r="G180" i="39"/>
  <c r="F148" i="39"/>
  <c r="H137" i="39"/>
  <c r="H138" i="39" s="1"/>
  <c r="H139" i="39" s="1"/>
  <c r="H140" i="39" s="1"/>
  <c r="H141" i="39" s="1"/>
  <c r="H142" i="39" s="1"/>
  <c r="H143" i="39" s="1"/>
  <c r="H144" i="39" s="1"/>
  <c r="H145" i="39" s="1"/>
  <c r="H146" i="39" s="1"/>
  <c r="H147" i="39" s="1"/>
  <c r="H283" i="39"/>
  <c r="H284" i="39" s="1"/>
  <c r="H285" i="39" s="1"/>
  <c r="H286" i="39" s="1"/>
  <c r="H287" i="39" s="1"/>
  <c r="H288" i="39" s="1"/>
  <c r="H289" i="39" s="1"/>
  <c r="H290" i="39" s="1"/>
  <c r="H291" i="39" s="1"/>
  <c r="H292" i="39" s="1"/>
  <c r="H242" i="39"/>
  <c r="H243" i="39" s="1"/>
  <c r="F253" i="39"/>
  <c r="H306" i="39"/>
  <c r="H349" i="39"/>
  <c r="I349" i="39" s="1"/>
  <c r="F360" i="39"/>
  <c r="H95" i="39"/>
  <c r="I95" i="39" s="1"/>
  <c r="F106" i="39"/>
  <c r="G243" i="39"/>
  <c r="I242" i="39"/>
  <c r="G52" i="39"/>
  <c r="I118" i="39"/>
  <c r="G118" i="39"/>
  <c r="G308" i="39"/>
  <c r="G29" i="39"/>
  <c r="H202" i="39"/>
  <c r="F190" i="39"/>
  <c r="H179" i="39"/>
  <c r="I179" i="39" s="1"/>
  <c r="G204" i="39"/>
  <c r="H49" i="39"/>
  <c r="F61" i="39"/>
  <c r="F18" i="39"/>
  <c r="H7" i="39"/>
  <c r="I7" i="39" s="1"/>
  <c r="I282" i="39"/>
  <c r="G283" i="39"/>
  <c r="F336" i="39"/>
  <c r="H325" i="39"/>
  <c r="G326" i="39"/>
  <c r="H350" i="39"/>
  <c r="H351" i="39" s="1"/>
  <c r="H50" i="39"/>
  <c r="I50" i="39" s="1"/>
  <c r="F39" i="39"/>
  <c r="H28" i="39"/>
  <c r="H29" i="39" s="1"/>
  <c r="H30" i="39" s="1"/>
  <c r="H31" i="39" s="1"/>
  <c r="H32" i="39" s="1"/>
  <c r="H33" i="39" s="1"/>
  <c r="H34" i="39" s="1"/>
  <c r="H35" i="39" s="1"/>
  <c r="H36" i="39" s="1"/>
  <c r="H37" i="39" s="1"/>
  <c r="H38" i="39" s="1"/>
  <c r="E169" i="38"/>
  <c r="G71" i="38"/>
  <c r="E148" i="38"/>
  <c r="E61" i="38"/>
  <c r="F18" i="38"/>
  <c r="E106" i="38"/>
  <c r="E127" i="38"/>
  <c r="F315" i="38"/>
  <c r="G305" i="38"/>
  <c r="H49" i="38"/>
  <c r="F61" i="38"/>
  <c r="E82" i="38"/>
  <c r="F169" i="38"/>
  <c r="G282" i="38"/>
  <c r="H7" i="38"/>
  <c r="H8" i="38" s="1"/>
  <c r="H349" i="38"/>
  <c r="H350" i="38" s="1"/>
  <c r="H351" i="38" s="1"/>
  <c r="H352" i="38" s="1"/>
  <c r="H353" i="38" s="1"/>
  <c r="H354" i="38" s="1"/>
  <c r="H355" i="38" s="1"/>
  <c r="H356" i="38" s="1"/>
  <c r="H357" i="38" s="1"/>
  <c r="H358" i="38" s="1"/>
  <c r="H359" i="38" s="1"/>
  <c r="F360" i="38"/>
  <c r="F211" i="38"/>
  <c r="G95" i="38"/>
  <c r="F190" i="38"/>
  <c r="H138" i="38"/>
  <c r="H306" i="38"/>
  <c r="H307" i="38" s="1"/>
  <c r="G349" i="38"/>
  <c r="E360" i="38"/>
  <c r="F273" i="38"/>
  <c r="F127" i="38"/>
  <c r="E190" i="38"/>
  <c r="F82" i="38"/>
  <c r="F232" i="38"/>
  <c r="E211" i="38"/>
  <c r="E336" i="38"/>
  <c r="E253" i="38"/>
  <c r="H309" i="38"/>
  <c r="H310" i="38" s="1"/>
  <c r="H311" i="38" s="1"/>
  <c r="H312" i="38" s="1"/>
  <c r="H313" i="38" s="1"/>
  <c r="H314" i="38" s="1"/>
  <c r="F148" i="38"/>
  <c r="F293" i="38"/>
  <c r="G158" i="38"/>
  <c r="F39" i="38"/>
  <c r="H308" i="38"/>
  <c r="H329" i="38"/>
  <c r="H330" i="38" s="1"/>
  <c r="H331" i="38" s="1"/>
  <c r="H332" i="38" s="1"/>
  <c r="H333" i="38" s="1"/>
  <c r="H334" i="38" s="1"/>
  <c r="H335" i="38" s="1"/>
  <c r="G326" i="38"/>
  <c r="F336" i="38"/>
  <c r="G325" i="22"/>
  <c r="E187" i="22"/>
  <c r="E183" i="22"/>
  <c r="E184" i="22"/>
  <c r="E180" i="22"/>
  <c r="E179" i="22"/>
  <c r="E186" i="22"/>
  <c r="E185" i="22"/>
  <c r="E182" i="22"/>
  <c r="F183" i="22"/>
  <c r="F226" i="22"/>
  <c r="F231" i="22"/>
  <c r="E242" i="22"/>
  <c r="F245" i="22"/>
  <c r="E250" i="22"/>
  <c r="E243" i="22"/>
  <c r="E247" i="22"/>
  <c r="E249" i="22"/>
  <c r="E244" i="22"/>
  <c r="E252" i="22"/>
  <c r="E251" i="22"/>
  <c r="E246" i="22"/>
  <c r="E248" i="22"/>
  <c r="E223" i="22"/>
  <c r="E227" i="22"/>
  <c r="E224" i="22"/>
  <c r="E228" i="22"/>
  <c r="E230" i="22"/>
  <c r="E229" i="22"/>
  <c r="E231" i="22"/>
  <c r="E221" i="22"/>
  <c r="E222" i="22"/>
  <c r="E226" i="22"/>
  <c r="E204" i="22"/>
  <c r="E201" i="22"/>
  <c r="E207" i="22"/>
  <c r="E205" i="22"/>
  <c r="E209" i="22"/>
  <c r="E202" i="22"/>
  <c r="E206" i="22"/>
  <c r="E203" i="22"/>
  <c r="E208" i="22"/>
  <c r="E200" i="22"/>
  <c r="F250" i="22"/>
  <c r="F244" i="22"/>
  <c r="F243" i="22"/>
  <c r="F242" i="22"/>
  <c r="F247" i="22"/>
  <c r="F249" i="22"/>
  <c r="F252" i="22"/>
  <c r="F251" i="22"/>
  <c r="F246" i="22"/>
  <c r="F230" i="22"/>
  <c r="F221" i="22"/>
  <c r="F229" i="22"/>
  <c r="F224" i="22"/>
  <c r="F225" i="22"/>
  <c r="F222" i="22"/>
  <c r="F227" i="22"/>
  <c r="F223" i="22"/>
  <c r="F206" i="22"/>
  <c r="F210" i="22"/>
  <c r="F209" i="22"/>
  <c r="F201" i="22"/>
  <c r="F207" i="22"/>
  <c r="F205" i="22"/>
  <c r="F203" i="22"/>
  <c r="F202" i="22"/>
  <c r="F208" i="22"/>
  <c r="F200" i="22"/>
  <c r="F184" i="22"/>
  <c r="F188" i="22"/>
  <c r="F180" i="22"/>
  <c r="F179" i="22"/>
  <c r="F186" i="22"/>
  <c r="F185" i="22"/>
  <c r="F182" i="22"/>
  <c r="F181" i="22"/>
  <c r="F189" i="22"/>
  <c r="E181" i="22"/>
  <c r="E189" i="22"/>
  <c r="R97" i="37"/>
  <c r="S97" i="37"/>
  <c r="T97" i="37"/>
  <c r="U97" i="37"/>
  <c r="V97" i="37"/>
  <c r="W97" i="37"/>
  <c r="X97" i="37"/>
  <c r="Y97" i="37"/>
  <c r="Z97" i="37"/>
  <c r="AA97" i="37"/>
  <c r="R98" i="37"/>
  <c r="S98" i="37"/>
  <c r="T98" i="37"/>
  <c r="U98" i="37"/>
  <c r="V98" i="37"/>
  <c r="W98" i="37"/>
  <c r="X98" i="37"/>
  <c r="Y98" i="37"/>
  <c r="Z98" i="37"/>
  <c r="AA98" i="37"/>
  <c r="R99" i="37"/>
  <c r="S99" i="37"/>
  <c r="T99" i="37"/>
  <c r="U99" i="37"/>
  <c r="V99" i="37"/>
  <c r="W99" i="37"/>
  <c r="X99" i="37"/>
  <c r="Y99" i="37"/>
  <c r="Z99" i="37"/>
  <c r="AA99" i="37"/>
  <c r="R100" i="37"/>
  <c r="S100" i="37"/>
  <c r="T100" i="37"/>
  <c r="U100" i="37"/>
  <c r="V100" i="37"/>
  <c r="W100" i="37"/>
  <c r="X100" i="37"/>
  <c r="Y100" i="37"/>
  <c r="Z100" i="37"/>
  <c r="AA100" i="37"/>
  <c r="R101" i="37"/>
  <c r="S101" i="37"/>
  <c r="T101" i="37"/>
  <c r="U101" i="37"/>
  <c r="V101" i="37"/>
  <c r="W101" i="37"/>
  <c r="X101" i="37"/>
  <c r="Y101" i="37"/>
  <c r="Z101" i="37"/>
  <c r="AA101" i="37"/>
  <c r="R102" i="37"/>
  <c r="S102" i="37"/>
  <c r="T102" i="37"/>
  <c r="U102" i="37"/>
  <c r="V102" i="37"/>
  <c r="W102" i="37"/>
  <c r="X102" i="37"/>
  <c r="Y102" i="37"/>
  <c r="Z102" i="37"/>
  <c r="AA102" i="37"/>
  <c r="R103" i="37"/>
  <c r="S103" i="37"/>
  <c r="T103" i="37"/>
  <c r="U103" i="37"/>
  <c r="V103" i="37"/>
  <c r="W103" i="37"/>
  <c r="X103" i="37"/>
  <c r="Y103" i="37"/>
  <c r="Z103" i="37"/>
  <c r="AA103" i="37"/>
  <c r="R104" i="37"/>
  <c r="S104" i="37"/>
  <c r="T104" i="37"/>
  <c r="U104" i="37"/>
  <c r="V104" i="37"/>
  <c r="W104" i="37"/>
  <c r="X104" i="37"/>
  <c r="Y104" i="37"/>
  <c r="Z104" i="37"/>
  <c r="AA104" i="37"/>
  <c r="R105" i="37"/>
  <c r="S105" i="37"/>
  <c r="T105" i="37"/>
  <c r="U105" i="37"/>
  <c r="V105" i="37"/>
  <c r="W105" i="37"/>
  <c r="X105" i="37"/>
  <c r="Y105" i="37"/>
  <c r="Z105" i="37"/>
  <c r="AA105" i="37"/>
  <c r="R106" i="37"/>
  <c r="S106" i="37"/>
  <c r="T106" i="37"/>
  <c r="U106" i="37"/>
  <c r="V106" i="37"/>
  <c r="W106" i="37"/>
  <c r="X106" i="37"/>
  <c r="Y106" i="37"/>
  <c r="Z106" i="37"/>
  <c r="AA106" i="37"/>
  <c r="R107" i="37"/>
  <c r="S107" i="37"/>
  <c r="T107" i="37"/>
  <c r="U107" i="37"/>
  <c r="V107" i="37"/>
  <c r="W107" i="37"/>
  <c r="X107" i="37"/>
  <c r="Y107" i="37"/>
  <c r="Z107" i="37"/>
  <c r="AA107" i="37"/>
  <c r="Q98" i="37"/>
  <c r="Q99" i="37"/>
  <c r="Q100" i="37"/>
  <c r="Q101" i="37"/>
  <c r="Q102" i="37"/>
  <c r="Q103" i="37"/>
  <c r="Q104" i="37"/>
  <c r="Q105" i="37"/>
  <c r="Q106" i="37"/>
  <c r="Q107" i="37"/>
  <c r="Q97" i="37"/>
  <c r="D360" i="22"/>
  <c r="C360" i="22"/>
  <c r="H348" i="22"/>
  <c r="F354" i="22"/>
  <c r="C315" i="22"/>
  <c r="H303" i="22"/>
  <c r="Y31" i="27"/>
  <c r="D273" i="22"/>
  <c r="F263" i="22" s="1"/>
  <c r="E263" i="22"/>
  <c r="H261" i="22"/>
  <c r="E282" i="22"/>
  <c r="E287" i="22"/>
  <c r="E283" i="22"/>
  <c r="E291" i="22"/>
  <c r="E288" i="22"/>
  <c r="E286" i="22"/>
  <c r="E292" i="22"/>
  <c r="E285" i="22"/>
  <c r="E289" i="22"/>
  <c r="E290" i="22"/>
  <c r="E284" i="22"/>
  <c r="D293" i="22"/>
  <c r="H281" i="22"/>
  <c r="I63" i="14" l="1"/>
  <c r="E336" i="22"/>
  <c r="F232" i="22"/>
  <c r="E306" i="22"/>
  <c r="E314" i="22"/>
  <c r="E313" i="22"/>
  <c r="E310" i="22"/>
  <c r="E312" i="22"/>
  <c r="E311" i="22"/>
  <c r="F287" i="22"/>
  <c r="F288" i="22"/>
  <c r="F289" i="22"/>
  <c r="F290" i="22"/>
  <c r="F283" i="22"/>
  <c r="F291" i="22"/>
  <c r="F282" i="22"/>
  <c r="F286" i="22"/>
  <c r="F284" i="22"/>
  <c r="F292" i="22"/>
  <c r="F285" i="22"/>
  <c r="H326" i="22"/>
  <c r="F336" i="22"/>
  <c r="I325" i="22"/>
  <c r="G326" i="22"/>
  <c r="I326" i="22" s="1"/>
  <c r="I137" i="38"/>
  <c r="G222" i="38"/>
  <c r="I222" i="38" s="1"/>
  <c r="I29" i="39"/>
  <c r="H352" i="39"/>
  <c r="H353" i="39" s="1"/>
  <c r="H354" i="39" s="1"/>
  <c r="H355" i="39" s="1"/>
  <c r="H356" i="39" s="1"/>
  <c r="H357" i="39" s="1"/>
  <c r="H358" i="39" s="1"/>
  <c r="H359" i="39" s="1"/>
  <c r="I351" i="39"/>
  <c r="I243" i="39"/>
  <c r="H244" i="39"/>
  <c r="H245" i="39" s="1"/>
  <c r="H246" i="39" s="1"/>
  <c r="H247" i="39" s="1"/>
  <c r="H248" i="39" s="1"/>
  <c r="H249" i="39" s="1"/>
  <c r="H250" i="39" s="1"/>
  <c r="H251" i="39" s="1"/>
  <c r="H252" i="39" s="1"/>
  <c r="G53" i="39"/>
  <c r="H96" i="39"/>
  <c r="H51" i="39"/>
  <c r="G205" i="39"/>
  <c r="G309" i="39"/>
  <c r="G119" i="39"/>
  <c r="I119" i="39" s="1"/>
  <c r="I161" i="39"/>
  <c r="G161" i="39"/>
  <c r="I350" i="39"/>
  <c r="G9" i="39"/>
  <c r="G327" i="39"/>
  <c r="I306" i="39"/>
  <c r="H307" i="39"/>
  <c r="I244" i="39"/>
  <c r="G244" i="39"/>
  <c r="G181" i="39"/>
  <c r="G138" i="39"/>
  <c r="I138" i="39" s="1"/>
  <c r="I137" i="39"/>
  <c r="I73" i="39"/>
  <c r="G73" i="39"/>
  <c r="G352" i="39"/>
  <c r="I325" i="39"/>
  <c r="H326" i="39"/>
  <c r="H327" i="39" s="1"/>
  <c r="H328" i="39" s="1"/>
  <c r="H329" i="39" s="1"/>
  <c r="H330" i="39" s="1"/>
  <c r="H331" i="39" s="1"/>
  <c r="H332" i="39" s="1"/>
  <c r="H333" i="39" s="1"/>
  <c r="H334" i="39" s="1"/>
  <c r="H335" i="39" s="1"/>
  <c r="I284" i="39"/>
  <c r="G284" i="39"/>
  <c r="I202" i="39"/>
  <c r="H203" i="39"/>
  <c r="I28" i="39"/>
  <c r="I8" i="39"/>
  <c r="H180" i="39"/>
  <c r="G222" i="39"/>
  <c r="I221" i="39"/>
  <c r="G265" i="39"/>
  <c r="G98" i="39"/>
  <c r="I283" i="39"/>
  <c r="I30" i="39"/>
  <c r="G30" i="39"/>
  <c r="H8" i="39"/>
  <c r="H9" i="39" s="1"/>
  <c r="H10" i="39" s="1"/>
  <c r="H11" i="39" s="1"/>
  <c r="H12" i="39" s="1"/>
  <c r="H13" i="39" s="1"/>
  <c r="H14" i="39" s="1"/>
  <c r="H15" i="39" s="1"/>
  <c r="H16" i="39" s="1"/>
  <c r="H17" i="39" s="1"/>
  <c r="I326" i="38"/>
  <c r="G327" i="38"/>
  <c r="G306" i="38"/>
  <c r="I305" i="38"/>
  <c r="G350" i="38"/>
  <c r="I349" i="38"/>
  <c r="H71" i="38"/>
  <c r="I138" i="38"/>
  <c r="G28" i="38"/>
  <c r="H262" i="38"/>
  <c r="G96" i="38"/>
  <c r="G97" i="38" s="1"/>
  <c r="G7" i="38"/>
  <c r="I7" i="38" s="1"/>
  <c r="G242" i="38"/>
  <c r="F270" i="22"/>
  <c r="F269" i="22"/>
  <c r="F265" i="22"/>
  <c r="F271" i="22"/>
  <c r="F267" i="22"/>
  <c r="F264" i="22"/>
  <c r="F272" i="22"/>
  <c r="F268" i="22"/>
  <c r="F266" i="22"/>
  <c r="F262" i="22"/>
  <c r="F349" i="22"/>
  <c r="F308" i="22"/>
  <c r="F356" i="22"/>
  <c r="F357" i="22"/>
  <c r="F304" i="22"/>
  <c r="F307" i="22"/>
  <c r="F350" i="22"/>
  <c r="F359" i="22"/>
  <c r="F309" i="22"/>
  <c r="F314" i="22"/>
  <c r="F306" i="22"/>
  <c r="F358" i="22"/>
  <c r="F313" i="22"/>
  <c r="F305" i="22"/>
  <c r="F355" i="22"/>
  <c r="F310" i="22"/>
  <c r="F312" i="22"/>
  <c r="F352" i="22"/>
  <c r="E353" i="22"/>
  <c r="F353" i="22"/>
  <c r="F311" i="22"/>
  <c r="F351" i="22"/>
  <c r="E305" i="22"/>
  <c r="E349" i="22"/>
  <c r="E355" i="22"/>
  <c r="E357" i="22"/>
  <c r="E309" i="22"/>
  <c r="E350" i="22"/>
  <c r="E354" i="22"/>
  <c r="E356" i="22"/>
  <c r="E359" i="22"/>
  <c r="E308" i="22"/>
  <c r="E351" i="22"/>
  <c r="E352" i="22"/>
  <c r="E304" i="22"/>
  <c r="E307" i="22"/>
  <c r="E358" i="22"/>
  <c r="E269" i="22"/>
  <c r="E265" i="22"/>
  <c r="E271" i="22"/>
  <c r="E270" i="22"/>
  <c r="E264" i="22"/>
  <c r="E272" i="22"/>
  <c r="E268" i="22"/>
  <c r="E262" i="22"/>
  <c r="E266" i="22"/>
  <c r="E267" i="22"/>
  <c r="F190" i="22"/>
  <c r="F211" i="22"/>
  <c r="E232" i="22"/>
  <c r="E253" i="22"/>
  <c r="E211" i="22"/>
  <c r="F253" i="22"/>
  <c r="E190" i="22"/>
  <c r="G221" i="22"/>
  <c r="E293" i="22"/>
  <c r="D82" i="22"/>
  <c r="F80" i="22" s="1"/>
  <c r="C82" i="22"/>
  <c r="E73" i="22" s="1"/>
  <c r="H70" i="22"/>
  <c r="D61" i="22"/>
  <c r="F57" i="22" s="1"/>
  <c r="C61" i="22"/>
  <c r="E59" i="22" s="1"/>
  <c r="D39" i="22"/>
  <c r="F35" i="22" s="1"/>
  <c r="C39" i="22"/>
  <c r="E37" i="22" s="1"/>
  <c r="D18" i="22"/>
  <c r="F14" i="22" s="1"/>
  <c r="C18" i="22"/>
  <c r="E16" i="22" s="1"/>
  <c r="H6" i="22"/>
  <c r="C169" i="22"/>
  <c r="E158" i="22" s="1"/>
  <c r="D169" i="22"/>
  <c r="H157" i="22"/>
  <c r="C148" i="22"/>
  <c r="E142" i="22" s="1"/>
  <c r="D148" i="22"/>
  <c r="F144" i="22" s="1"/>
  <c r="H136" i="22"/>
  <c r="D127" i="22"/>
  <c r="F120" i="22" s="1"/>
  <c r="C127" i="22"/>
  <c r="H115" i="22"/>
  <c r="H63" i="14" l="1"/>
  <c r="E31" i="22"/>
  <c r="F28" i="22"/>
  <c r="F31" i="22"/>
  <c r="F32" i="22"/>
  <c r="F29" i="22"/>
  <c r="F34" i="22"/>
  <c r="F37" i="22"/>
  <c r="E53" i="22"/>
  <c r="F124" i="22"/>
  <c r="E13" i="22"/>
  <c r="E34" i="22"/>
  <c r="F142" i="22"/>
  <c r="F116" i="22"/>
  <c r="H116" i="22" s="1"/>
  <c r="E120" i="22"/>
  <c r="E199" i="22"/>
  <c r="G29" i="38"/>
  <c r="I181" i="39"/>
  <c r="G206" i="39"/>
  <c r="I328" i="39"/>
  <c r="G328" i="39"/>
  <c r="I51" i="39"/>
  <c r="H52" i="39"/>
  <c r="I266" i="39"/>
  <c r="G266" i="39"/>
  <c r="I203" i="39"/>
  <c r="H204" i="39"/>
  <c r="I353" i="39"/>
  <c r="G353" i="39"/>
  <c r="G10" i="39"/>
  <c r="I10" i="39" s="1"/>
  <c r="H97" i="39"/>
  <c r="I96" i="39"/>
  <c r="G31" i="39"/>
  <c r="I31" i="39" s="1"/>
  <c r="I265" i="39"/>
  <c r="I352" i="39"/>
  <c r="G245" i="39"/>
  <c r="I9" i="39"/>
  <c r="I327" i="39"/>
  <c r="G120" i="39"/>
  <c r="I120" i="39" s="1"/>
  <c r="G285" i="39"/>
  <c r="I285" i="39"/>
  <c r="G74" i="39"/>
  <c r="G54" i="39"/>
  <c r="G99" i="39"/>
  <c r="H181" i="39"/>
  <c r="H182" i="39" s="1"/>
  <c r="H183" i="39" s="1"/>
  <c r="H184" i="39" s="1"/>
  <c r="H185" i="39" s="1"/>
  <c r="H186" i="39" s="1"/>
  <c r="H187" i="39" s="1"/>
  <c r="H188" i="39" s="1"/>
  <c r="H189" i="39" s="1"/>
  <c r="I180" i="39"/>
  <c r="G139" i="39"/>
  <c r="I326" i="39"/>
  <c r="G182" i="39"/>
  <c r="I182" i="39"/>
  <c r="G223" i="39"/>
  <c r="I223" i="39" s="1"/>
  <c r="I307" i="39"/>
  <c r="H308" i="39"/>
  <c r="G310" i="39"/>
  <c r="I222" i="39"/>
  <c r="G162" i="39"/>
  <c r="I162" i="39" s="1"/>
  <c r="I242" i="38"/>
  <c r="G351" i="38"/>
  <c r="G328" i="38"/>
  <c r="I328" i="38" s="1"/>
  <c r="G8" i="38"/>
  <c r="I71" i="38"/>
  <c r="I350" i="38"/>
  <c r="I327" i="38"/>
  <c r="G116" i="38"/>
  <c r="H50" i="38"/>
  <c r="I262" i="38"/>
  <c r="G179" i="38"/>
  <c r="I307" i="38"/>
  <c r="G307" i="38"/>
  <c r="I306" i="38"/>
  <c r="F315" i="22"/>
  <c r="F273" i="22"/>
  <c r="F360" i="22"/>
  <c r="E360" i="22"/>
  <c r="E315" i="22"/>
  <c r="E273" i="22"/>
  <c r="F165" i="22"/>
  <c r="E74" i="22"/>
  <c r="E261" i="22"/>
  <c r="E348" i="22"/>
  <c r="E303" i="22"/>
  <c r="G200" i="22"/>
  <c r="G201" i="22" s="1"/>
  <c r="E162" i="22"/>
  <c r="E161" i="22"/>
  <c r="E119" i="22"/>
  <c r="E159" i="22"/>
  <c r="F51" i="22"/>
  <c r="F73" i="22"/>
  <c r="F74" i="22"/>
  <c r="F126" i="22"/>
  <c r="F143" i="22"/>
  <c r="E167" i="22"/>
  <c r="F27" i="22"/>
  <c r="H27" i="22" s="1"/>
  <c r="H28" i="22" s="1"/>
  <c r="H29" i="22" s="1"/>
  <c r="F36" i="22"/>
  <c r="F53" i="22"/>
  <c r="E70" i="22"/>
  <c r="E79" i="22"/>
  <c r="F54" i="22"/>
  <c r="E75" i="22"/>
  <c r="F119" i="22"/>
  <c r="F140" i="22"/>
  <c r="E160" i="22"/>
  <c r="E56" i="22"/>
  <c r="E77" i="22"/>
  <c r="E72" i="22"/>
  <c r="F118" i="22"/>
  <c r="E163" i="22"/>
  <c r="F8" i="22"/>
  <c r="F56" i="22"/>
  <c r="E78" i="22"/>
  <c r="F72" i="22"/>
  <c r="F117" i="22"/>
  <c r="E164" i="22"/>
  <c r="E165" i="22"/>
  <c r="E10" i="22"/>
  <c r="F49" i="22"/>
  <c r="H49" i="22" s="1"/>
  <c r="F58" i="22"/>
  <c r="F78" i="22"/>
  <c r="E168" i="22"/>
  <c r="F166" i="22"/>
  <c r="F50" i="22"/>
  <c r="F59" i="22"/>
  <c r="F10" i="22"/>
  <c r="F11" i="22"/>
  <c r="F13" i="22"/>
  <c r="F15" i="22"/>
  <c r="F7" i="22"/>
  <c r="H7" i="22" s="1"/>
  <c r="H8" i="22" s="1"/>
  <c r="F16" i="22"/>
  <c r="E140" i="22"/>
  <c r="E117" i="22"/>
  <c r="F125" i="22"/>
  <c r="F122" i="22"/>
  <c r="E147" i="22"/>
  <c r="E139" i="22"/>
  <c r="F141" i="22"/>
  <c r="F162" i="22"/>
  <c r="E7" i="22"/>
  <c r="E15" i="22"/>
  <c r="E28" i="22"/>
  <c r="E36" i="22"/>
  <c r="E50" i="22"/>
  <c r="G50" i="22" s="1"/>
  <c r="E58" i="22"/>
  <c r="F79" i="22"/>
  <c r="E137" i="22"/>
  <c r="E125" i="22"/>
  <c r="E138" i="22"/>
  <c r="E55" i="22"/>
  <c r="E123" i="22"/>
  <c r="E115" i="22"/>
  <c r="F123" i="22"/>
  <c r="E145" i="22"/>
  <c r="F137" i="22"/>
  <c r="H137" i="22" s="1"/>
  <c r="F139" i="22"/>
  <c r="F158" i="22"/>
  <c r="E9" i="22"/>
  <c r="F12" i="22"/>
  <c r="E17" i="22"/>
  <c r="E30" i="22"/>
  <c r="F33" i="22"/>
  <c r="E38" i="22"/>
  <c r="E52" i="22"/>
  <c r="F55" i="22"/>
  <c r="E60" i="22"/>
  <c r="F77" i="22"/>
  <c r="E71" i="22"/>
  <c r="F75" i="22"/>
  <c r="E141" i="22"/>
  <c r="E146" i="22"/>
  <c r="E12" i="22"/>
  <c r="E122" i="22"/>
  <c r="E126" i="22"/>
  <c r="F121" i="22"/>
  <c r="E144" i="22"/>
  <c r="F147" i="22"/>
  <c r="F138" i="22"/>
  <c r="F9" i="22"/>
  <c r="E14" i="22"/>
  <c r="F17" i="22"/>
  <c r="F30" i="22"/>
  <c r="E35" i="22"/>
  <c r="F38" i="22"/>
  <c r="F52" i="22"/>
  <c r="E57" i="22"/>
  <c r="F60" i="22"/>
  <c r="E76" i="22"/>
  <c r="F71" i="22"/>
  <c r="E81" i="22"/>
  <c r="E118" i="22"/>
  <c r="E116" i="22"/>
  <c r="G116" i="22" s="1"/>
  <c r="I116" i="22" s="1"/>
  <c r="E33" i="22"/>
  <c r="E121" i="22"/>
  <c r="E124" i="22"/>
  <c r="E143" i="22"/>
  <c r="F145" i="22"/>
  <c r="F146" i="22"/>
  <c r="E11" i="22"/>
  <c r="E32" i="22"/>
  <c r="E54" i="22"/>
  <c r="F76" i="22"/>
  <c r="E80" i="22"/>
  <c r="F81" i="22"/>
  <c r="E8" i="22"/>
  <c r="E27" i="22"/>
  <c r="E29" i="22"/>
  <c r="E49" i="22"/>
  <c r="E51" i="22"/>
  <c r="E166" i="22"/>
  <c r="F167" i="22"/>
  <c r="F161" i="22"/>
  <c r="F164" i="22"/>
  <c r="F160" i="22"/>
  <c r="F168" i="22"/>
  <c r="F163" i="22"/>
  <c r="F159" i="22"/>
  <c r="O9" i="27"/>
  <c r="D15" i="27"/>
  <c r="E15" i="27"/>
  <c r="F15" i="27"/>
  <c r="G15" i="27"/>
  <c r="H15" i="27"/>
  <c r="I15" i="27"/>
  <c r="J15" i="27"/>
  <c r="K15" i="27"/>
  <c r="C15" i="27"/>
  <c r="X46" i="14"/>
  <c r="V79" i="14" s="1"/>
  <c r="W46" i="14"/>
  <c r="U79" i="14" s="1"/>
  <c r="V46" i="14"/>
  <c r="T79" i="14" s="1"/>
  <c r="U46" i="14"/>
  <c r="S79" i="14" s="1"/>
  <c r="T46" i="14"/>
  <c r="R79" i="14" s="1"/>
  <c r="S46" i="14"/>
  <c r="Q79" i="14" s="1"/>
  <c r="R46" i="14"/>
  <c r="P79" i="14" s="1"/>
  <c r="Q46" i="14"/>
  <c r="O79" i="14" s="1"/>
  <c r="P46" i="14"/>
  <c r="N79" i="14" s="1"/>
  <c r="X45" i="14"/>
  <c r="V78" i="14" s="1"/>
  <c r="W45" i="14"/>
  <c r="U78" i="14" s="1"/>
  <c r="V45" i="14"/>
  <c r="T78" i="14" s="1"/>
  <c r="U45" i="14"/>
  <c r="S78" i="14" s="1"/>
  <c r="T45" i="14"/>
  <c r="R78" i="14" s="1"/>
  <c r="S45" i="14"/>
  <c r="Q78" i="14" s="1"/>
  <c r="R45" i="14"/>
  <c r="P78" i="14" s="1"/>
  <c r="Q45" i="14"/>
  <c r="O78" i="14" s="1"/>
  <c r="P45" i="14"/>
  <c r="N78" i="14" s="1"/>
  <c r="X44" i="14"/>
  <c r="V77" i="14" s="1"/>
  <c r="W44" i="14"/>
  <c r="U77" i="14" s="1"/>
  <c r="V44" i="14"/>
  <c r="T77" i="14" s="1"/>
  <c r="U44" i="14"/>
  <c r="S77" i="14" s="1"/>
  <c r="T44" i="14"/>
  <c r="R77" i="14" s="1"/>
  <c r="S44" i="14"/>
  <c r="Q77" i="14" s="1"/>
  <c r="R44" i="14"/>
  <c r="P77" i="14" s="1"/>
  <c r="Q44" i="14"/>
  <c r="O77" i="14" s="1"/>
  <c r="P44" i="14"/>
  <c r="N77" i="14" s="1"/>
  <c r="X43" i="14"/>
  <c r="V76" i="14" s="1"/>
  <c r="W43" i="14"/>
  <c r="U76" i="14" s="1"/>
  <c r="V43" i="14"/>
  <c r="T76" i="14" s="1"/>
  <c r="U43" i="14"/>
  <c r="S76" i="14" s="1"/>
  <c r="T43" i="14"/>
  <c r="R76" i="14" s="1"/>
  <c r="S43" i="14"/>
  <c r="Q76" i="14" s="1"/>
  <c r="R43" i="14"/>
  <c r="P76" i="14" s="1"/>
  <c r="Q43" i="14"/>
  <c r="O76" i="14" s="1"/>
  <c r="P43" i="14"/>
  <c r="N76" i="14" s="1"/>
  <c r="X42" i="14"/>
  <c r="V75" i="14" s="1"/>
  <c r="W42" i="14"/>
  <c r="U75" i="14" s="1"/>
  <c r="V42" i="14"/>
  <c r="T75" i="14" s="1"/>
  <c r="U42" i="14"/>
  <c r="S75" i="14" s="1"/>
  <c r="T42" i="14"/>
  <c r="R75" i="14" s="1"/>
  <c r="S42" i="14"/>
  <c r="Q75" i="14" s="1"/>
  <c r="R42" i="14"/>
  <c r="P75" i="14" s="1"/>
  <c r="Q42" i="14"/>
  <c r="O75" i="14" s="1"/>
  <c r="P42" i="14"/>
  <c r="N75" i="14" s="1"/>
  <c r="X41" i="14"/>
  <c r="V74" i="14" s="1"/>
  <c r="W41" i="14"/>
  <c r="U74" i="14" s="1"/>
  <c r="V41" i="14"/>
  <c r="T74" i="14" s="1"/>
  <c r="U41" i="14"/>
  <c r="S74" i="14" s="1"/>
  <c r="T41" i="14"/>
  <c r="R74" i="14" s="1"/>
  <c r="S41" i="14"/>
  <c r="Q74" i="14" s="1"/>
  <c r="R41" i="14"/>
  <c r="P74" i="14" s="1"/>
  <c r="Q41" i="14"/>
  <c r="O74" i="14" s="1"/>
  <c r="P41" i="14"/>
  <c r="N74" i="14" s="1"/>
  <c r="X40" i="14"/>
  <c r="V73" i="14" s="1"/>
  <c r="W40" i="14"/>
  <c r="U73" i="14" s="1"/>
  <c r="V40" i="14"/>
  <c r="T73" i="14" s="1"/>
  <c r="U40" i="14"/>
  <c r="S73" i="14" s="1"/>
  <c r="T40" i="14"/>
  <c r="R73" i="14" s="1"/>
  <c r="S40" i="14"/>
  <c r="Q73" i="14" s="1"/>
  <c r="R40" i="14"/>
  <c r="P73" i="14" s="1"/>
  <c r="Q40" i="14"/>
  <c r="O73" i="14" s="1"/>
  <c r="P40" i="14"/>
  <c r="N73" i="14" s="1"/>
  <c r="X39" i="14"/>
  <c r="V72" i="14" s="1"/>
  <c r="W39" i="14"/>
  <c r="U72" i="14" s="1"/>
  <c r="V39" i="14"/>
  <c r="T72" i="14" s="1"/>
  <c r="U39" i="14"/>
  <c r="S72" i="14" s="1"/>
  <c r="T39" i="14"/>
  <c r="R72" i="14" s="1"/>
  <c r="S39" i="14"/>
  <c r="Q72" i="14" s="1"/>
  <c r="R39" i="14"/>
  <c r="P72" i="14" s="1"/>
  <c r="Q39" i="14"/>
  <c r="O72" i="14" s="1"/>
  <c r="P39" i="14"/>
  <c r="N72" i="14" s="1"/>
  <c r="X38" i="14"/>
  <c r="V71" i="14" s="1"/>
  <c r="W38" i="14"/>
  <c r="U71" i="14" s="1"/>
  <c r="V38" i="14"/>
  <c r="T71" i="14" s="1"/>
  <c r="U38" i="14"/>
  <c r="S71" i="14" s="1"/>
  <c r="T38" i="14"/>
  <c r="R71" i="14" s="1"/>
  <c r="S38" i="14"/>
  <c r="Q71" i="14" s="1"/>
  <c r="R38" i="14"/>
  <c r="P71" i="14" s="1"/>
  <c r="Q38" i="14"/>
  <c r="O71" i="14" s="1"/>
  <c r="P38" i="14"/>
  <c r="N71" i="14" s="1"/>
  <c r="X37" i="14"/>
  <c r="V70" i="14" s="1"/>
  <c r="W37" i="14"/>
  <c r="U70" i="14" s="1"/>
  <c r="V37" i="14"/>
  <c r="T70" i="14" s="1"/>
  <c r="U37" i="14"/>
  <c r="S70" i="14" s="1"/>
  <c r="T37" i="14"/>
  <c r="R70" i="14" s="1"/>
  <c r="S37" i="14"/>
  <c r="Q70" i="14" s="1"/>
  <c r="R37" i="14"/>
  <c r="P70" i="14" s="1"/>
  <c r="Q37" i="14"/>
  <c r="O70" i="14" s="1"/>
  <c r="P37" i="14"/>
  <c r="N70" i="14" s="1"/>
  <c r="X36" i="14"/>
  <c r="V69" i="14" s="1"/>
  <c r="W36" i="14"/>
  <c r="U69" i="14" s="1"/>
  <c r="V36" i="14"/>
  <c r="T69" i="14" s="1"/>
  <c r="U36" i="14"/>
  <c r="S69" i="14" s="1"/>
  <c r="T36" i="14"/>
  <c r="R69" i="14" s="1"/>
  <c r="S36" i="14"/>
  <c r="Q69" i="14" s="1"/>
  <c r="R36" i="14"/>
  <c r="P69" i="14" s="1"/>
  <c r="Q36" i="14"/>
  <c r="O69" i="14" s="1"/>
  <c r="P36" i="14"/>
  <c r="N69" i="14" s="1"/>
  <c r="X29" i="14"/>
  <c r="W29" i="14"/>
  <c r="V29" i="14"/>
  <c r="U29" i="14"/>
  <c r="T29" i="14"/>
  <c r="S29" i="14"/>
  <c r="R29" i="14"/>
  <c r="Q29" i="14"/>
  <c r="P29" i="14"/>
  <c r="X28" i="14"/>
  <c r="W28" i="14"/>
  <c r="V28" i="14"/>
  <c r="U28" i="14"/>
  <c r="T28" i="14"/>
  <c r="S28" i="14"/>
  <c r="R28" i="14"/>
  <c r="Q28" i="14"/>
  <c r="P28" i="14"/>
  <c r="X27" i="14"/>
  <c r="W27" i="14"/>
  <c r="V27" i="14"/>
  <c r="U27" i="14"/>
  <c r="T27" i="14"/>
  <c r="S27" i="14"/>
  <c r="R27" i="14"/>
  <c r="Q27" i="14"/>
  <c r="P27" i="14"/>
  <c r="X26" i="14"/>
  <c r="W26" i="14"/>
  <c r="V26" i="14"/>
  <c r="U26" i="14"/>
  <c r="T26" i="14"/>
  <c r="S26" i="14"/>
  <c r="R26" i="14"/>
  <c r="Q26" i="14"/>
  <c r="P26" i="14"/>
  <c r="X25" i="14"/>
  <c r="W25" i="14"/>
  <c r="V25" i="14"/>
  <c r="U25" i="14"/>
  <c r="T25" i="14"/>
  <c r="S25" i="14"/>
  <c r="R25" i="14"/>
  <c r="Q25" i="14"/>
  <c r="P25" i="14"/>
  <c r="X24" i="14"/>
  <c r="W24" i="14"/>
  <c r="V24" i="14"/>
  <c r="U24" i="14"/>
  <c r="T24" i="14"/>
  <c r="S24" i="14"/>
  <c r="R24" i="14"/>
  <c r="Q24" i="14"/>
  <c r="P24" i="14"/>
  <c r="X23" i="14"/>
  <c r="W23" i="14"/>
  <c r="V23" i="14"/>
  <c r="U23" i="14"/>
  <c r="T23" i="14"/>
  <c r="S23" i="14"/>
  <c r="R23" i="14"/>
  <c r="Q23" i="14"/>
  <c r="P23" i="14"/>
  <c r="X22" i="14"/>
  <c r="W22" i="14"/>
  <c r="V22" i="14"/>
  <c r="U22" i="14"/>
  <c r="T22" i="14"/>
  <c r="S22" i="14"/>
  <c r="R22" i="14"/>
  <c r="Q22" i="14"/>
  <c r="P22" i="14"/>
  <c r="X21" i="14"/>
  <c r="W21" i="14"/>
  <c r="V21" i="14"/>
  <c r="U21" i="14"/>
  <c r="T21" i="14"/>
  <c r="S21" i="14"/>
  <c r="R21" i="14"/>
  <c r="Q21" i="14"/>
  <c r="P21" i="14"/>
  <c r="X20" i="14"/>
  <c r="W20" i="14"/>
  <c r="V20" i="14"/>
  <c r="U20" i="14"/>
  <c r="T20" i="14"/>
  <c r="S20" i="14"/>
  <c r="R20" i="14"/>
  <c r="Q20" i="14"/>
  <c r="P20" i="14"/>
  <c r="X19" i="14"/>
  <c r="W19" i="14"/>
  <c r="V19" i="14"/>
  <c r="U19" i="14"/>
  <c r="T19" i="14"/>
  <c r="S19" i="14"/>
  <c r="R19" i="14"/>
  <c r="Q19" i="14"/>
  <c r="P19" i="14"/>
  <c r="X14" i="14"/>
  <c r="W14" i="14"/>
  <c r="V14" i="14"/>
  <c r="U14" i="14"/>
  <c r="T14" i="14"/>
  <c r="S14" i="14"/>
  <c r="R14" i="14"/>
  <c r="Q14" i="14"/>
  <c r="P14" i="14"/>
  <c r="X13" i="14"/>
  <c r="W13" i="14"/>
  <c r="V13" i="14"/>
  <c r="U13" i="14"/>
  <c r="T13" i="14"/>
  <c r="S13" i="14"/>
  <c r="R13" i="14"/>
  <c r="Q13" i="14"/>
  <c r="P13" i="14"/>
  <c r="X12" i="14"/>
  <c r="W12" i="14"/>
  <c r="V12" i="14"/>
  <c r="U12" i="14"/>
  <c r="T12" i="14"/>
  <c r="S12" i="14"/>
  <c r="R12" i="14"/>
  <c r="Q12" i="14"/>
  <c r="P12" i="14"/>
  <c r="X11" i="14"/>
  <c r="W11" i="14"/>
  <c r="V11" i="14"/>
  <c r="U11" i="14"/>
  <c r="T11" i="14"/>
  <c r="S11" i="14"/>
  <c r="R11" i="14"/>
  <c r="Q11" i="14"/>
  <c r="P11" i="14"/>
  <c r="X10" i="14"/>
  <c r="W10" i="14"/>
  <c r="V10" i="14"/>
  <c r="U10" i="14"/>
  <c r="T10" i="14"/>
  <c r="S10" i="14"/>
  <c r="R10" i="14"/>
  <c r="Q10" i="14"/>
  <c r="P10" i="14"/>
  <c r="X9" i="14"/>
  <c r="W9" i="14"/>
  <c r="V9" i="14"/>
  <c r="U9" i="14"/>
  <c r="T9" i="14"/>
  <c r="S9" i="14"/>
  <c r="R9" i="14"/>
  <c r="Q9" i="14"/>
  <c r="P9" i="14"/>
  <c r="X8" i="14"/>
  <c r="W8" i="14"/>
  <c r="V8" i="14"/>
  <c r="U8" i="14"/>
  <c r="T8" i="14"/>
  <c r="S8" i="14"/>
  <c r="R8" i="14"/>
  <c r="Q8" i="14"/>
  <c r="X7" i="14"/>
  <c r="W7" i="14"/>
  <c r="V7" i="14"/>
  <c r="U7" i="14"/>
  <c r="T7" i="14"/>
  <c r="S7" i="14"/>
  <c r="R7" i="14"/>
  <c r="Q7" i="14"/>
  <c r="P7" i="14"/>
  <c r="X6" i="14"/>
  <c r="W6" i="14"/>
  <c r="V6" i="14"/>
  <c r="U6" i="14"/>
  <c r="T6" i="14"/>
  <c r="S6" i="14"/>
  <c r="R6" i="14"/>
  <c r="Q6" i="14"/>
  <c r="P6" i="14"/>
  <c r="X5" i="14"/>
  <c r="W5" i="14"/>
  <c r="V5" i="14"/>
  <c r="U5" i="14"/>
  <c r="T5" i="14"/>
  <c r="S5" i="14"/>
  <c r="R5" i="14"/>
  <c r="Q5" i="14"/>
  <c r="P5" i="14"/>
  <c r="X4" i="14"/>
  <c r="W4" i="14"/>
  <c r="V4" i="14"/>
  <c r="U4" i="14"/>
  <c r="T4" i="14"/>
  <c r="S4" i="14"/>
  <c r="R4" i="14"/>
  <c r="Q4" i="14"/>
  <c r="P4" i="14"/>
  <c r="O4" i="27"/>
  <c r="O5" i="27" s="1"/>
  <c r="L5" i="27"/>
  <c r="L4" i="27"/>
  <c r="L6" i="27"/>
  <c r="U52" i="14"/>
  <c r="U53" i="14"/>
  <c r="U54" i="14"/>
  <c r="U55" i="14"/>
  <c r="U56" i="14"/>
  <c r="U57" i="14"/>
  <c r="U58" i="14"/>
  <c r="U59" i="14"/>
  <c r="U60" i="14"/>
  <c r="U61" i="14"/>
  <c r="U62" i="14"/>
  <c r="G63" i="14" l="1"/>
  <c r="H117" i="22"/>
  <c r="H118" i="22" s="1"/>
  <c r="H119" i="22" s="1"/>
  <c r="H120" i="22" s="1"/>
  <c r="H121" i="22" s="1"/>
  <c r="H122" i="22" s="1"/>
  <c r="H123" i="22" s="1"/>
  <c r="H124" i="22" s="1"/>
  <c r="H125" i="22" s="1"/>
  <c r="H126" i="22" s="1"/>
  <c r="F39" i="22"/>
  <c r="G117" i="38"/>
  <c r="G9" i="38"/>
  <c r="I9" i="38"/>
  <c r="H309" i="39"/>
  <c r="I308" i="39"/>
  <c r="G55" i="39"/>
  <c r="G267" i="39"/>
  <c r="I267" i="39"/>
  <c r="G32" i="39"/>
  <c r="I32" i="39" s="1"/>
  <c r="G140" i="39"/>
  <c r="I140" i="39"/>
  <c r="G75" i="39"/>
  <c r="I75" i="39"/>
  <c r="H98" i="39"/>
  <c r="I97" i="39"/>
  <c r="I204" i="39"/>
  <c r="H205" i="39"/>
  <c r="H53" i="39"/>
  <c r="I52" i="39"/>
  <c r="G100" i="39"/>
  <c r="G246" i="39"/>
  <c r="I246" i="39"/>
  <c r="I245" i="39"/>
  <c r="G121" i="39"/>
  <c r="I121" i="39"/>
  <c r="G224" i="39"/>
  <c r="I224" i="39"/>
  <c r="I139" i="39"/>
  <c r="I74" i="39"/>
  <c r="G11" i="39"/>
  <c r="I11" i="39"/>
  <c r="G311" i="39"/>
  <c r="G183" i="39"/>
  <c r="I183" i="39"/>
  <c r="G286" i="39"/>
  <c r="I286" i="39" s="1"/>
  <c r="G354" i="39"/>
  <c r="I354" i="39"/>
  <c r="I329" i="39"/>
  <c r="G329" i="39"/>
  <c r="G207" i="39"/>
  <c r="G163" i="39"/>
  <c r="I163" i="39"/>
  <c r="H51" i="38"/>
  <c r="G200" i="38"/>
  <c r="G180" i="38"/>
  <c r="G329" i="38"/>
  <c r="G308" i="38"/>
  <c r="G352" i="38"/>
  <c r="I352" i="38" s="1"/>
  <c r="G139" i="38"/>
  <c r="I351" i="38"/>
  <c r="I8" i="38"/>
  <c r="F293" i="22"/>
  <c r="E127" i="22"/>
  <c r="E82" i="22"/>
  <c r="G282" i="22"/>
  <c r="F127" i="22"/>
  <c r="H30" i="22"/>
  <c r="H31" i="22" s="1"/>
  <c r="H32" i="22" s="1"/>
  <c r="H33" i="22" s="1"/>
  <c r="H34" i="22" s="1"/>
  <c r="H35" i="22" s="1"/>
  <c r="H36" i="22" s="1"/>
  <c r="H37" i="22" s="1"/>
  <c r="H38" i="22" s="1"/>
  <c r="G117" i="22"/>
  <c r="E169" i="22"/>
  <c r="H138" i="22"/>
  <c r="H139" i="22" s="1"/>
  <c r="H140" i="22" s="1"/>
  <c r="H141" i="22" s="1"/>
  <c r="H142" i="22" s="1"/>
  <c r="H143" i="22" s="1"/>
  <c r="H144" i="22" s="1"/>
  <c r="H145" i="22" s="1"/>
  <c r="H146" i="22" s="1"/>
  <c r="H147" i="22" s="1"/>
  <c r="H9" i="22"/>
  <c r="H10" i="22" s="1"/>
  <c r="H11" i="22" s="1"/>
  <c r="H12" i="22" s="1"/>
  <c r="H13" i="22" s="1"/>
  <c r="H14" i="22" s="1"/>
  <c r="H15" i="22" s="1"/>
  <c r="H16" i="22" s="1"/>
  <c r="H17" i="22" s="1"/>
  <c r="G7" i="22"/>
  <c r="E18" i="22"/>
  <c r="F61" i="22"/>
  <c r="E61" i="22"/>
  <c r="E148" i="22"/>
  <c r="G137" i="22"/>
  <c r="F148" i="22"/>
  <c r="F82" i="22"/>
  <c r="F18" i="22"/>
  <c r="G51" i="22"/>
  <c r="H50" i="22"/>
  <c r="H51" i="22" s="1"/>
  <c r="H52" i="22" s="1"/>
  <c r="H53" i="22" s="1"/>
  <c r="H54" i="22" s="1"/>
  <c r="H55" i="22" s="1"/>
  <c r="H56" i="22" s="1"/>
  <c r="H57" i="22" s="1"/>
  <c r="H58" i="22" s="1"/>
  <c r="H59" i="22" s="1"/>
  <c r="H60" i="22" s="1"/>
  <c r="G28" i="22"/>
  <c r="E39" i="22"/>
  <c r="F169" i="22"/>
  <c r="E22" i="27"/>
  <c r="D30" i="27"/>
  <c r="F30" i="27" s="1"/>
  <c r="C90" i="37" s="1"/>
  <c r="L27" i="27"/>
  <c r="L29" i="27"/>
  <c r="L20" i="27"/>
  <c r="L23" i="27"/>
  <c r="L24" i="27"/>
  <c r="L21" i="27"/>
  <c r="L25" i="27"/>
  <c r="L30" i="27"/>
  <c r="L22" i="27"/>
  <c r="L28" i="27"/>
  <c r="L26" i="27"/>
  <c r="D24" i="27"/>
  <c r="F24" i="27" s="1"/>
  <c r="C84" i="37" s="1"/>
  <c r="C30" i="27"/>
  <c r="E27" i="27"/>
  <c r="C29" i="27"/>
  <c r="E26" i="27"/>
  <c r="C28" i="27"/>
  <c r="E25" i="27"/>
  <c r="D26" i="27"/>
  <c r="F26" i="27" s="1"/>
  <c r="C86" i="37" s="1"/>
  <c r="D25" i="27"/>
  <c r="F25" i="27" s="1"/>
  <c r="C85" i="37" s="1"/>
  <c r="C27" i="27"/>
  <c r="E21" i="27"/>
  <c r="C23" i="27"/>
  <c r="D23" i="27"/>
  <c r="F23" i="27" s="1"/>
  <c r="C83" i="37" s="1"/>
  <c r="C22" i="27"/>
  <c r="D22" i="27"/>
  <c r="F22" i="27" s="1"/>
  <c r="C82" i="37" s="1"/>
  <c r="C21" i="27"/>
  <c r="E29" i="27"/>
  <c r="C20" i="27"/>
  <c r="D20" i="27"/>
  <c r="F20" i="27" s="1"/>
  <c r="C80" i="37" s="1"/>
  <c r="E28" i="27"/>
  <c r="C26" i="27"/>
  <c r="D29" i="27"/>
  <c r="F29" i="27" s="1"/>
  <c r="C89" i="37" s="1"/>
  <c r="D21" i="27"/>
  <c r="F21" i="27" s="1"/>
  <c r="C81" i="37" s="1"/>
  <c r="E24" i="27"/>
  <c r="C25" i="27"/>
  <c r="D28" i="27"/>
  <c r="F28" i="27" s="1"/>
  <c r="C88" i="37" s="1"/>
  <c r="E20" i="27"/>
  <c r="E23" i="27"/>
  <c r="C24" i="27"/>
  <c r="D27" i="27"/>
  <c r="F27" i="27" s="1"/>
  <c r="C87" i="37" s="1"/>
  <c r="E30" i="27"/>
  <c r="U63" i="14"/>
  <c r="F63" i="14" l="1"/>
  <c r="I117" i="22"/>
  <c r="G201" i="38"/>
  <c r="G181" i="38"/>
  <c r="G122" i="39"/>
  <c r="I122" i="39"/>
  <c r="G76" i="39"/>
  <c r="G355" i="39"/>
  <c r="I12" i="39"/>
  <c r="G12" i="39"/>
  <c r="H54" i="39"/>
  <c r="I53" i="39"/>
  <c r="I141" i="39"/>
  <c r="G141" i="39"/>
  <c r="I164" i="39"/>
  <c r="G164" i="39"/>
  <c r="H206" i="39"/>
  <c r="I205" i="39"/>
  <c r="H310" i="39"/>
  <c r="I309" i="39"/>
  <c r="G312" i="39"/>
  <c r="G101" i="39"/>
  <c r="G56" i="39"/>
  <c r="G208" i="39"/>
  <c r="G287" i="39"/>
  <c r="G33" i="39"/>
  <c r="G330" i="39"/>
  <c r="I330" i="39"/>
  <c r="G184" i="39"/>
  <c r="G225" i="39"/>
  <c r="G247" i="39"/>
  <c r="H99" i="39"/>
  <c r="I98" i="39"/>
  <c r="G268" i="39"/>
  <c r="G30" i="38"/>
  <c r="G140" i="38"/>
  <c r="G141" i="38" s="1"/>
  <c r="G142" i="38" s="1"/>
  <c r="G309" i="38"/>
  <c r="G98" i="38"/>
  <c r="I308" i="38"/>
  <c r="G330" i="38"/>
  <c r="I329" i="38"/>
  <c r="G353" i="38"/>
  <c r="I353" i="38" s="1"/>
  <c r="H200" i="22"/>
  <c r="H201" i="22" s="1"/>
  <c r="I201" i="22" s="1"/>
  <c r="P20" i="27"/>
  <c r="C60" i="37" s="1"/>
  <c r="G118" i="22"/>
  <c r="I118" i="22" s="1"/>
  <c r="I50" i="22"/>
  <c r="L79" i="37"/>
  <c r="L88" i="37" s="1"/>
  <c r="N79" i="37"/>
  <c r="N82" i="37" s="1"/>
  <c r="I79" i="37"/>
  <c r="I80" i="37" s="1"/>
  <c r="J79" i="37"/>
  <c r="J85" i="37" s="1"/>
  <c r="D79" i="37"/>
  <c r="D85" i="37" s="1"/>
  <c r="H79" i="37"/>
  <c r="H86" i="37" s="1"/>
  <c r="D59" i="37"/>
  <c r="E79" i="37"/>
  <c r="E86" i="37" s="1"/>
  <c r="F79" i="37"/>
  <c r="F85" i="37" s="1"/>
  <c r="M79" i="37"/>
  <c r="M81" i="37" s="1"/>
  <c r="G79" i="37"/>
  <c r="G88" i="37" s="1"/>
  <c r="K79" i="37"/>
  <c r="K90" i="37" s="1"/>
  <c r="I89" i="37"/>
  <c r="I51" i="22"/>
  <c r="I7" i="22"/>
  <c r="G8" i="22"/>
  <c r="H61" i="22"/>
  <c r="I28" i="22"/>
  <c r="G29" i="22"/>
  <c r="I137" i="22"/>
  <c r="G138" i="22"/>
  <c r="G52" i="22"/>
  <c r="I52" i="22" s="1"/>
  <c r="G20" i="27"/>
  <c r="C98" i="37" s="1"/>
  <c r="H20" i="27"/>
  <c r="C116" i="37" s="1"/>
  <c r="I20" i="27"/>
  <c r="C134" i="37" s="1"/>
  <c r="M20" i="27"/>
  <c r="C6" i="37" s="1"/>
  <c r="O20" i="27"/>
  <c r="C42" i="37" s="1"/>
  <c r="N20" i="27"/>
  <c r="C24" i="37" s="1"/>
  <c r="H29" i="27"/>
  <c r="C125" i="37" s="1"/>
  <c r="G29" i="27"/>
  <c r="C107" i="37" s="1"/>
  <c r="G26" i="27"/>
  <c r="C104" i="37" s="1"/>
  <c r="H26" i="27"/>
  <c r="C122" i="37" s="1"/>
  <c r="H24" i="27"/>
  <c r="C120" i="37" s="1"/>
  <c r="G24" i="27"/>
  <c r="C102" i="37" s="1"/>
  <c r="H21" i="27"/>
  <c r="C117" i="37" s="1"/>
  <c r="G21" i="27"/>
  <c r="C99" i="37" s="1"/>
  <c r="I21" i="27"/>
  <c r="C135" i="37" s="1"/>
  <c r="G27" i="27"/>
  <c r="C105" i="37" s="1"/>
  <c r="H27" i="27"/>
  <c r="C123" i="37" s="1"/>
  <c r="H23" i="27"/>
  <c r="C119" i="37" s="1"/>
  <c r="G23" i="27"/>
  <c r="C101" i="37" s="1"/>
  <c r="G25" i="27"/>
  <c r="C103" i="37" s="1"/>
  <c r="H25" i="27"/>
  <c r="C121" i="37" s="1"/>
  <c r="G28" i="27"/>
  <c r="C106" i="37" s="1"/>
  <c r="H28" i="27"/>
  <c r="C124" i="37" s="1"/>
  <c r="H30" i="27"/>
  <c r="C126" i="37" s="1"/>
  <c r="G30" i="27"/>
  <c r="C108" i="37" s="1"/>
  <c r="H22" i="27"/>
  <c r="C118" i="37" s="1"/>
  <c r="G22" i="27"/>
  <c r="C100" i="37" s="1"/>
  <c r="I22" i="27"/>
  <c r="C136" i="37" s="1"/>
  <c r="N23" i="27"/>
  <c r="C27" i="37" s="1"/>
  <c r="O23" i="27"/>
  <c r="C45" i="37" s="1"/>
  <c r="P21" i="27"/>
  <c r="C61" i="37" s="1"/>
  <c r="O21" i="27"/>
  <c r="C43" i="37" s="1"/>
  <c r="N21" i="27"/>
  <c r="C25" i="37" s="1"/>
  <c r="O24" i="27"/>
  <c r="C46" i="37" s="1"/>
  <c r="N24" i="27"/>
  <c r="C28" i="37" s="1"/>
  <c r="M28" i="27"/>
  <c r="C14" i="37" s="1"/>
  <c r="O28" i="27"/>
  <c r="C50" i="37" s="1"/>
  <c r="N28" i="27"/>
  <c r="C32" i="37" s="1"/>
  <c r="O26" i="27"/>
  <c r="C48" i="37" s="1"/>
  <c r="N26" i="27"/>
  <c r="C30" i="37" s="1"/>
  <c r="O30" i="27"/>
  <c r="C52" i="37" s="1"/>
  <c r="N30" i="27"/>
  <c r="C34" i="37" s="1"/>
  <c r="M25" i="27"/>
  <c r="C11" i="37" s="1"/>
  <c r="N25" i="27"/>
  <c r="C29" i="37" s="1"/>
  <c r="O25" i="27"/>
  <c r="C47" i="37" s="1"/>
  <c r="N29" i="27"/>
  <c r="C33" i="37" s="1"/>
  <c r="O29" i="27"/>
  <c r="C51" i="37" s="1"/>
  <c r="M22" i="27"/>
  <c r="C8" i="37" s="1"/>
  <c r="P22" i="27"/>
  <c r="C62" i="37" s="1"/>
  <c r="O22" i="27"/>
  <c r="C44" i="37" s="1"/>
  <c r="N22" i="27"/>
  <c r="C26" i="37" s="1"/>
  <c r="O27" i="27"/>
  <c r="C49" i="37" s="1"/>
  <c r="N27" i="27"/>
  <c r="C31" i="37" s="1"/>
  <c r="M26" i="27"/>
  <c r="C12" i="37" s="1"/>
  <c r="M23" i="27"/>
  <c r="C9" i="37" s="1"/>
  <c r="M30" i="27"/>
  <c r="C16" i="37" s="1"/>
  <c r="M21" i="27"/>
  <c r="C7" i="37" s="1"/>
  <c r="M29" i="27"/>
  <c r="C15" i="37" s="1"/>
  <c r="M27" i="27"/>
  <c r="C13" i="37" s="1"/>
  <c r="M24" i="27"/>
  <c r="C10" i="37" s="1"/>
  <c r="L7" i="27"/>
  <c r="L8" i="27"/>
  <c r="P24" i="27" s="1"/>
  <c r="C64" i="37" s="1"/>
  <c r="L9" i="27"/>
  <c r="P25" i="27" s="1"/>
  <c r="C65" i="37" s="1"/>
  <c r="L10" i="27"/>
  <c r="P26" i="27" s="1"/>
  <c r="C66" i="37" s="1"/>
  <c r="L11" i="27"/>
  <c r="P27" i="27" s="1"/>
  <c r="C67" i="37" s="1"/>
  <c r="L12" i="27"/>
  <c r="P28" i="27" s="1"/>
  <c r="C68" i="37" s="1"/>
  <c r="L13" i="27"/>
  <c r="P29" i="27" s="1"/>
  <c r="C69" i="37" s="1"/>
  <c r="L14" i="27"/>
  <c r="P30" i="27" s="1"/>
  <c r="C70" i="37" s="1"/>
  <c r="E63" i="14" l="1"/>
  <c r="D63" i="14"/>
  <c r="G143" i="38"/>
  <c r="G99" i="38"/>
  <c r="G31" i="38"/>
  <c r="G32" i="38" s="1"/>
  <c r="I248" i="39"/>
  <c r="G248" i="39"/>
  <c r="G226" i="39"/>
  <c r="H207" i="39"/>
  <c r="I206" i="39"/>
  <c r="I225" i="39"/>
  <c r="G102" i="39"/>
  <c r="G269" i="39"/>
  <c r="I185" i="39"/>
  <c r="G185" i="39"/>
  <c r="G288" i="39"/>
  <c r="I288" i="39" s="1"/>
  <c r="H55" i="39"/>
  <c r="I54" i="39"/>
  <c r="G123" i="39"/>
  <c r="I268" i="39"/>
  <c r="I184" i="39"/>
  <c r="I287" i="39"/>
  <c r="G165" i="39"/>
  <c r="G13" i="39"/>
  <c r="I34" i="39"/>
  <c r="G34" i="39"/>
  <c r="G57" i="39"/>
  <c r="G77" i="39"/>
  <c r="I33" i="39"/>
  <c r="I76" i="39"/>
  <c r="G313" i="39"/>
  <c r="H100" i="39"/>
  <c r="I99" i="39"/>
  <c r="G331" i="39"/>
  <c r="G209" i="39"/>
  <c r="G356" i="39"/>
  <c r="I356" i="39"/>
  <c r="I247" i="39"/>
  <c r="H311" i="39"/>
  <c r="I310" i="39"/>
  <c r="G142" i="39"/>
  <c r="I355" i="39"/>
  <c r="G10" i="38"/>
  <c r="G310" i="38"/>
  <c r="I310" i="38"/>
  <c r="H139" i="38"/>
  <c r="I309" i="38"/>
  <c r="G223" i="38"/>
  <c r="G354" i="38"/>
  <c r="G118" i="38"/>
  <c r="G331" i="38"/>
  <c r="I331" i="38" s="1"/>
  <c r="I330" i="38"/>
  <c r="I200" i="22"/>
  <c r="G119" i="22"/>
  <c r="I119" i="22" s="1"/>
  <c r="G202" i="22"/>
  <c r="J82" i="37"/>
  <c r="J81" i="37"/>
  <c r="H83" i="37"/>
  <c r="N80" i="37"/>
  <c r="L80" i="37"/>
  <c r="L81" i="37"/>
  <c r="J87" i="37"/>
  <c r="J80" i="37"/>
  <c r="J89" i="37"/>
  <c r="J84" i="37"/>
  <c r="J90" i="37"/>
  <c r="L84" i="37"/>
  <c r="L82" i="37"/>
  <c r="L83" i="37"/>
  <c r="L85" i="37"/>
  <c r="L89" i="37"/>
  <c r="L86" i="37"/>
  <c r="K87" i="37"/>
  <c r="M89" i="37"/>
  <c r="J88" i="37"/>
  <c r="D86" i="37"/>
  <c r="N81" i="37"/>
  <c r="N84" i="37"/>
  <c r="D90" i="37"/>
  <c r="H88" i="37"/>
  <c r="N83" i="37"/>
  <c r="D83" i="37"/>
  <c r="K83" i="37"/>
  <c r="D82" i="37"/>
  <c r="H81" i="37"/>
  <c r="G84" i="37"/>
  <c r="E80" i="37"/>
  <c r="M86" i="37"/>
  <c r="N90" i="37"/>
  <c r="F83" i="37"/>
  <c r="G82" i="37"/>
  <c r="N89" i="37"/>
  <c r="K81" i="37"/>
  <c r="D80" i="37"/>
  <c r="H90" i="37"/>
  <c r="K89" i="37"/>
  <c r="H80" i="37"/>
  <c r="H87" i="37"/>
  <c r="M83" i="37"/>
  <c r="H89" i="37"/>
  <c r="K82" i="37"/>
  <c r="D87" i="37"/>
  <c r="H84" i="37"/>
  <c r="D84" i="37"/>
  <c r="H85" i="37"/>
  <c r="K84" i="37"/>
  <c r="G83" i="37"/>
  <c r="M87" i="37"/>
  <c r="E83" i="37"/>
  <c r="H82" i="37"/>
  <c r="K80" i="37"/>
  <c r="G86" i="37"/>
  <c r="M59" i="37"/>
  <c r="M61" i="37" s="1"/>
  <c r="D69" i="37"/>
  <c r="K5" i="37"/>
  <c r="K15" i="37" s="1"/>
  <c r="F23" i="37"/>
  <c r="F26" i="37" s="1"/>
  <c r="I5" i="37"/>
  <c r="I11" i="37" s="1"/>
  <c r="H23" i="37"/>
  <c r="H29" i="37" s="1"/>
  <c r="F97" i="37"/>
  <c r="F100" i="37" s="1"/>
  <c r="G97" i="37"/>
  <c r="G108" i="37" s="1"/>
  <c r="H115" i="37"/>
  <c r="H119" i="37" s="1"/>
  <c r="D5" i="37"/>
  <c r="D11" i="37" s="1"/>
  <c r="F81" i="37"/>
  <c r="E87" i="37"/>
  <c r="E89" i="37"/>
  <c r="F87" i="37"/>
  <c r="F84" i="37"/>
  <c r="G80" i="37"/>
  <c r="J86" i="37"/>
  <c r="G90" i="37"/>
  <c r="E88" i="37"/>
  <c r="D41" i="37"/>
  <c r="D46" i="37" s="1"/>
  <c r="L59" i="37"/>
  <c r="L65" i="37" s="1"/>
  <c r="D68" i="37"/>
  <c r="M5" i="37"/>
  <c r="M6" i="37" s="1"/>
  <c r="F41" i="37"/>
  <c r="F42" i="37" s="1"/>
  <c r="N23" i="37"/>
  <c r="N24" i="37" s="1"/>
  <c r="H41" i="37"/>
  <c r="H49" i="37" s="1"/>
  <c r="F115" i="37"/>
  <c r="F120" i="37" s="1"/>
  <c r="G115" i="37"/>
  <c r="G120" i="37" s="1"/>
  <c r="I24" i="27"/>
  <c r="C138" i="37" s="1"/>
  <c r="D133" i="37"/>
  <c r="D135" i="37" s="1"/>
  <c r="K59" i="37"/>
  <c r="K68" i="37" s="1"/>
  <c r="M67" i="37"/>
  <c r="D67" i="37"/>
  <c r="E5" i="37"/>
  <c r="E10" i="37" s="1"/>
  <c r="F59" i="37"/>
  <c r="F68" i="37" s="1"/>
  <c r="D62" i="37"/>
  <c r="N41" i="37"/>
  <c r="N44" i="37" s="1"/>
  <c r="E23" i="37"/>
  <c r="E29" i="37" s="1"/>
  <c r="N97" i="37"/>
  <c r="N103" i="37" s="1"/>
  <c r="K115" i="37"/>
  <c r="K119" i="37" s="1"/>
  <c r="J115" i="37"/>
  <c r="J118" i="37" s="1"/>
  <c r="G116" i="37"/>
  <c r="D115" i="37"/>
  <c r="D122" i="37" s="1"/>
  <c r="F82" i="37"/>
  <c r="D66" i="37"/>
  <c r="I81" i="37"/>
  <c r="I87" i="37"/>
  <c r="I86" i="37"/>
  <c r="I83" i="37"/>
  <c r="I82" i="37"/>
  <c r="J83" i="37"/>
  <c r="E82" i="37"/>
  <c r="E81" i="37"/>
  <c r="I90" i="37"/>
  <c r="M84" i="37"/>
  <c r="D81" i="37"/>
  <c r="D89" i="37"/>
  <c r="D88" i="37"/>
  <c r="F88" i="37"/>
  <c r="K86" i="37"/>
  <c r="N87" i="37"/>
  <c r="N86" i="37"/>
  <c r="N88" i="37"/>
  <c r="K88" i="37"/>
  <c r="N59" i="37"/>
  <c r="N67" i="37" s="1"/>
  <c r="M70" i="37"/>
  <c r="D70" i="37"/>
  <c r="H5" i="37"/>
  <c r="H8" i="37" s="1"/>
  <c r="K41" i="37"/>
  <c r="K44" i="37" s="1"/>
  <c r="I23" i="37"/>
  <c r="I29" i="37" s="1"/>
  <c r="L5" i="37"/>
  <c r="L7" i="37" s="1"/>
  <c r="F133" i="37"/>
  <c r="F134" i="37" s="1"/>
  <c r="I97" i="37"/>
  <c r="H97" i="37"/>
  <c r="H102" i="37" s="1"/>
  <c r="J59" i="37"/>
  <c r="J60" i="37" s="1"/>
  <c r="N5" i="37"/>
  <c r="N13" i="37" s="1"/>
  <c r="F5" i="37"/>
  <c r="F16" i="37" s="1"/>
  <c r="J23" i="37"/>
  <c r="J32" i="37" s="1"/>
  <c r="E41" i="37"/>
  <c r="E43" i="37" s="1"/>
  <c r="N43" i="37"/>
  <c r="N115" i="37"/>
  <c r="N120" i="37" s="1"/>
  <c r="K97" i="37"/>
  <c r="K102" i="37" s="1"/>
  <c r="J97" i="37"/>
  <c r="J100" i="37" s="1"/>
  <c r="H104" i="37"/>
  <c r="D97" i="37"/>
  <c r="D106" i="37" s="1"/>
  <c r="I59" i="37"/>
  <c r="I60" i="37" s="1"/>
  <c r="D65" i="37"/>
  <c r="G5" i="37"/>
  <c r="G6" i="37" s="1"/>
  <c r="M9" i="37"/>
  <c r="L9" i="37"/>
  <c r="M41" i="37"/>
  <c r="M45" i="37" s="1"/>
  <c r="J41" i="37"/>
  <c r="J49" i="37" s="1"/>
  <c r="E59" i="37"/>
  <c r="E70" i="37" s="1"/>
  <c r="K61" i="37"/>
  <c r="D61" i="37"/>
  <c r="L115" i="37"/>
  <c r="L119" i="37" s="1"/>
  <c r="E133" i="37"/>
  <c r="E136" i="37" s="1"/>
  <c r="M97" i="37"/>
  <c r="F80" i="37"/>
  <c r="E85" i="37"/>
  <c r="F90" i="37"/>
  <c r="I88" i="37"/>
  <c r="M85" i="37"/>
  <c r="E90" i="37"/>
  <c r="H59" i="37"/>
  <c r="H66" i="37" s="1"/>
  <c r="K64" i="37"/>
  <c r="J64" i="37"/>
  <c r="D64" i="37"/>
  <c r="J5" i="37"/>
  <c r="J8" i="37" s="1"/>
  <c r="M23" i="37"/>
  <c r="M34" i="37" s="1"/>
  <c r="J33" i="37"/>
  <c r="F32" i="37"/>
  <c r="L23" i="37"/>
  <c r="L29" i="37" s="1"/>
  <c r="I32" i="37"/>
  <c r="G41" i="37"/>
  <c r="L97" i="37"/>
  <c r="L100" i="37" s="1"/>
  <c r="E97" i="37"/>
  <c r="E101" i="37" s="1"/>
  <c r="E99" i="37"/>
  <c r="M115" i="37"/>
  <c r="M123" i="37" s="1"/>
  <c r="K23" i="37"/>
  <c r="K32" i="37" s="1"/>
  <c r="F31" i="37"/>
  <c r="I41" i="37"/>
  <c r="I52" i="37" s="1"/>
  <c r="L41" i="37"/>
  <c r="L49" i="37" s="1"/>
  <c r="G23" i="37"/>
  <c r="I115" i="37"/>
  <c r="I116" i="37" s="1"/>
  <c r="H121" i="37"/>
  <c r="E115" i="37"/>
  <c r="E121" i="37" s="1"/>
  <c r="D23" i="37"/>
  <c r="D34" i="37" s="1"/>
  <c r="I24" i="37"/>
  <c r="F89" i="37"/>
  <c r="M82" i="37"/>
  <c r="M80" i="37"/>
  <c r="F86" i="37"/>
  <c r="N85" i="37"/>
  <c r="M90" i="37"/>
  <c r="M88" i="37"/>
  <c r="I84" i="37"/>
  <c r="G87" i="37"/>
  <c r="G85" i="37"/>
  <c r="G89" i="37"/>
  <c r="G81" i="37"/>
  <c r="D60" i="37"/>
  <c r="E84" i="37"/>
  <c r="K85" i="37"/>
  <c r="L90" i="37"/>
  <c r="L87" i="37"/>
  <c r="I85" i="37"/>
  <c r="G30" i="22"/>
  <c r="I30" i="22" s="1"/>
  <c r="I29" i="22"/>
  <c r="G53" i="22"/>
  <c r="I53" i="22" s="1"/>
  <c r="I138" i="22"/>
  <c r="G139" i="22"/>
  <c r="G9" i="22"/>
  <c r="I9" i="22" s="1"/>
  <c r="I8" i="22"/>
  <c r="G120" i="22"/>
  <c r="I120" i="22" s="1"/>
  <c r="I27" i="27"/>
  <c r="C141" i="37" s="1"/>
  <c r="I26" i="27"/>
  <c r="C140" i="37" s="1"/>
  <c r="I28" i="27"/>
  <c r="C142" i="37" s="1"/>
  <c r="P23" i="27"/>
  <c r="C63" i="37" s="1"/>
  <c r="L15" i="27"/>
  <c r="I25" i="27"/>
  <c r="C139" i="37" s="1"/>
  <c r="I29" i="27"/>
  <c r="C143" i="37" s="1"/>
  <c r="I23" i="27"/>
  <c r="C137" i="37" s="1"/>
  <c r="I30" i="27"/>
  <c r="C144" i="37" s="1"/>
  <c r="G144" i="38" l="1"/>
  <c r="G119" i="38"/>
  <c r="G100" i="38"/>
  <c r="G33" i="38"/>
  <c r="G11" i="38"/>
  <c r="I166" i="39"/>
  <c r="G166" i="39"/>
  <c r="G103" i="39"/>
  <c r="H101" i="39"/>
  <c r="I100" i="39"/>
  <c r="I165" i="39"/>
  <c r="I357" i="39"/>
  <c r="G357" i="39"/>
  <c r="G314" i="39"/>
  <c r="G35" i="39"/>
  <c r="I35" i="39" s="1"/>
  <c r="G186" i="39"/>
  <c r="H208" i="39"/>
  <c r="I207" i="39"/>
  <c r="H312" i="39"/>
  <c r="I311" i="39"/>
  <c r="G78" i="39"/>
  <c r="I78" i="39"/>
  <c r="I77" i="39"/>
  <c r="G58" i="39"/>
  <c r="G289" i="39"/>
  <c r="I289" i="39"/>
  <c r="G143" i="39"/>
  <c r="I124" i="39"/>
  <c r="G124" i="39"/>
  <c r="G227" i="39"/>
  <c r="I227" i="39"/>
  <c r="I142" i="39"/>
  <c r="G332" i="39"/>
  <c r="G14" i="39"/>
  <c r="I14" i="39" s="1"/>
  <c r="I123" i="39"/>
  <c r="G270" i="39"/>
  <c r="I226" i="39"/>
  <c r="H56" i="39"/>
  <c r="I55" i="39"/>
  <c r="G210" i="39"/>
  <c r="I331" i="39"/>
  <c r="I13" i="39"/>
  <c r="I269" i="39"/>
  <c r="G249" i="39"/>
  <c r="G182" i="38"/>
  <c r="G183" i="38" s="1"/>
  <c r="G202" i="38"/>
  <c r="G355" i="38"/>
  <c r="H140" i="38"/>
  <c r="H141" i="38" s="1"/>
  <c r="I139" i="38"/>
  <c r="G72" i="38"/>
  <c r="G73" i="38" s="1"/>
  <c r="G332" i="38"/>
  <c r="G224" i="38"/>
  <c r="G225" i="38" s="1"/>
  <c r="G263" i="38"/>
  <c r="G145" i="38"/>
  <c r="G146" i="38" s="1"/>
  <c r="I354" i="38"/>
  <c r="G311" i="38"/>
  <c r="G203" i="22"/>
  <c r="G204" i="22" s="1"/>
  <c r="G222" i="22"/>
  <c r="I33" i="37"/>
  <c r="F102" i="37"/>
  <c r="E61" i="37"/>
  <c r="H120" i="37"/>
  <c r="I30" i="37"/>
  <c r="I27" i="37"/>
  <c r="D50" i="37"/>
  <c r="N45" i="37"/>
  <c r="T25" i="27"/>
  <c r="V25" i="27" s="1"/>
  <c r="C176" i="37" s="1"/>
  <c r="U22" i="27"/>
  <c r="C155" i="37" s="1"/>
  <c r="U30" i="27"/>
  <c r="C163" i="37" s="1"/>
  <c r="T21" i="27"/>
  <c r="V21" i="27" s="1"/>
  <c r="C172" i="37" s="1"/>
  <c r="T26" i="27"/>
  <c r="V26" i="27" s="1"/>
  <c r="C177" i="37" s="1"/>
  <c r="U23" i="27"/>
  <c r="C156" i="37" s="1"/>
  <c r="S20" i="27"/>
  <c r="U27" i="27"/>
  <c r="C160" i="37" s="1"/>
  <c r="U29" i="27"/>
  <c r="C162" i="37" s="1"/>
  <c r="T27" i="27"/>
  <c r="V27" i="27" s="1"/>
  <c r="C178" i="37" s="1"/>
  <c r="U24" i="27"/>
  <c r="C157" i="37" s="1"/>
  <c r="T29" i="27"/>
  <c r="V29" i="27" s="1"/>
  <c r="C180" i="37" s="1"/>
  <c r="T22" i="27"/>
  <c r="V22" i="27" s="1"/>
  <c r="C173" i="37" s="1"/>
  <c r="T24" i="27"/>
  <c r="V24" i="27" s="1"/>
  <c r="C175" i="37" s="1"/>
  <c r="T28" i="27"/>
  <c r="V28" i="27" s="1"/>
  <c r="C179" i="37" s="1"/>
  <c r="U25" i="27"/>
  <c r="C158" i="37" s="1"/>
  <c r="U26" i="27"/>
  <c r="C159" i="37" s="1"/>
  <c r="T30" i="27"/>
  <c r="V30" i="27" s="1"/>
  <c r="C181" i="37" s="1"/>
  <c r="T23" i="27"/>
  <c r="V23" i="27" s="1"/>
  <c r="C174" i="37" s="1"/>
  <c r="T20" i="27"/>
  <c r="U28" i="27"/>
  <c r="C161" i="37" s="1"/>
  <c r="U21" i="27"/>
  <c r="C154" i="37" s="1"/>
  <c r="L117" i="37"/>
  <c r="G125" i="37"/>
  <c r="F105" i="37"/>
  <c r="L124" i="37"/>
  <c r="F103" i="37"/>
  <c r="L125" i="37"/>
  <c r="F104" i="37"/>
  <c r="F108" i="37"/>
  <c r="G121" i="37"/>
  <c r="E47" i="37"/>
  <c r="F107" i="37"/>
  <c r="F98" i="37"/>
  <c r="J126" i="37"/>
  <c r="F101" i="37"/>
  <c r="F106" i="37"/>
  <c r="D117" i="37"/>
  <c r="L121" i="37"/>
  <c r="L31" i="37"/>
  <c r="F99" i="37"/>
  <c r="D48" i="37"/>
  <c r="D43" i="37"/>
  <c r="D52" i="37"/>
  <c r="L122" i="37"/>
  <c r="J61" i="37"/>
  <c r="I117" i="37"/>
  <c r="M50" i="37"/>
  <c r="J65" i="37"/>
  <c r="M62" i="37"/>
  <c r="D42" i="37"/>
  <c r="I121" i="37"/>
  <c r="D125" i="37"/>
  <c r="H125" i="37"/>
  <c r="D124" i="37"/>
  <c r="D51" i="37"/>
  <c r="D16" i="37"/>
  <c r="F12" i="37"/>
  <c r="M24" i="37"/>
  <c r="H99" i="37"/>
  <c r="F43" i="37"/>
  <c r="N49" i="37"/>
  <c r="H123" i="37"/>
  <c r="M16" i="37"/>
  <c r="J121" i="37"/>
  <c r="I47" i="37"/>
  <c r="M32" i="37"/>
  <c r="N48" i="37"/>
  <c r="L66" i="37"/>
  <c r="H116" i="37"/>
  <c r="H118" i="37"/>
  <c r="M29" i="37"/>
  <c r="H117" i="37"/>
  <c r="F47" i="37"/>
  <c r="J106" i="37"/>
  <c r="N64" i="37"/>
  <c r="H124" i="37"/>
  <c r="E30" i="37"/>
  <c r="J66" i="37"/>
  <c r="M14" i="37"/>
  <c r="K66" i="37"/>
  <c r="N47" i="37"/>
  <c r="J107" i="37"/>
  <c r="H126" i="37"/>
  <c r="L8" i="37"/>
  <c r="H122" i="37"/>
  <c r="H52" i="37"/>
  <c r="F117" i="37"/>
  <c r="H50" i="37"/>
  <c r="L47" i="37"/>
  <c r="F125" i="37"/>
  <c r="E32" i="37"/>
  <c r="L64" i="37"/>
  <c r="E51" i="37"/>
  <c r="F29" i="37"/>
  <c r="F25" i="37"/>
  <c r="F118" i="37"/>
  <c r="M68" i="37"/>
  <c r="K13" i="37"/>
  <c r="E24" i="37"/>
  <c r="E31" i="37"/>
  <c r="F33" i="37"/>
  <c r="F124" i="37"/>
  <c r="K9" i="37"/>
  <c r="M43" i="37"/>
  <c r="F30" i="37"/>
  <c r="E27" i="37"/>
  <c r="E33" i="37"/>
  <c r="F34" i="37"/>
  <c r="D28" i="37"/>
  <c r="F121" i="37"/>
  <c r="F24" i="37"/>
  <c r="L61" i="37"/>
  <c r="E102" i="37"/>
  <c r="F116" i="37"/>
  <c r="F27" i="37"/>
  <c r="L120" i="37"/>
  <c r="H45" i="37"/>
  <c r="D7" i="37"/>
  <c r="D24" i="37"/>
  <c r="M27" i="37"/>
  <c r="H47" i="37"/>
  <c r="I125" i="37"/>
  <c r="H106" i="37"/>
  <c r="D33" i="37"/>
  <c r="D107" i="37"/>
  <c r="E124" i="37"/>
  <c r="N104" i="37"/>
  <c r="I126" i="37"/>
  <c r="K14" i="37"/>
  <c r="E44" i="37"/>
  <c r="K11" i="37"/>
  <c r="J69" i="37"/>
  <c r="H24" i="37"/>
  <c r="K117" i="37"/>
  <c r="D32" i="37"/>
  <c r="K12" i="37"/>
  <c r="H107" i="37"/>
  <c r="E16" i="37"/>
  <c r="N66" i="37"/>
  <c r="D123" i="37"/>
  <c r="J25" i="37"/>
  <c r="M26" i="37"/>
  <c r="F135" i="37"/>
  <c r="K122" i="37"/>
  <c r="K121" i="37"/>
  <c r="K125" i="37"/>
  <c r="K33" i="37"/>
  <c r="D12" i="37"/>
  <c r="J105" i="37"/>
  <c r="D136" i="37"/>
  <c r="F10" i="37"/>
  <c r="L123" i="37"/>
  <c r="D134" i="37"/>
  <c r="L15" i="37"/>
  <c r="H100" i="37"/>
  <c r="K99" i="37"/>
  <c r="N106" i="37"/>
  <c r="E9" i="37"/>
  <c r="D105" i="37"/>
  <c r="H43" i="37"/>
  <c r="K16" i="37"/>
  <c r="L102" i="37"/>
  <c r="F136" i="37"/>
  <c r="K10" i="37"/>
  <c r="I123" i="37"/>
  <c r="K7" i="37"/>
  <c r="I46" i="37"/>
  <c r="K6" i="37"/>
  <c r="L13" i="37"/>
  <c r="J45" i="37"/>
  <c r="E12" i="37"/>
  <c r="L104" i="37"/>
  <c r="N105" i="37"/>
  <c r="E8" i="37"/>
  <c r="D116" i="37"/>
  <c r="N108" i="37"/>
  <c r="F52" i="37"/>
  <c r="E7" i="37"/>
  <c r="F28" i="37"/>
  <c r="M13" i="37"/>
  <c r="E14" i="37"/>
  <c r="M31" i="37"/>
  <c r="K107" i="37"/>
  <c r="K8" i="37"/>
  <c r="L116" i="37"/>
  <c r="I122" i="37"/>
  <c r="L118" i="37"/>
  <c r="I42" i="37"/>
  <c r="L27" i="37"/>
  <c r="K106" i="37"/>
  <c r="J124" i="37"/>
  <c r="D9" i="37"/>
  <c r="K104" i="37"/>
  <c r="J117" i="37"/>
  <c r="N121" i="37"/>
  <c r="J27" i="37"/>
  <c r="I50" i="37"/>
  <c r="M47" i="37"/>
  <c r="J31" i="37"/>
  <c r="N125" i="37"/>
  <c r="D99" i="37"/>
  <c r="D45" i="37"/>
  <c r="I12" i="37"/>
  <c r="G124" i="37"/>
  <c r="I124" i="37"/>
  <c r="E48" i="37"/>
  <c r="F51" i="37"/>
  <c r="E98" i="37"/>
  <c r="E104" i="37"/>
  <c r="E105" i="37"/>
  <c r="L126" i="37"/>
  <c r="D8" i="37"/>
  <c r="H16" i="37"/>
  <c r="H103" i="37"/>
  <c r="D14" i="37"/>
  <c r="F49" i="37"/>
  <c r="J122" i="37"/>
  <c r="J123" i="37"/>
  <c r="J52" i="37"/>
  <c r="F7" i="37"/>
  <c r="M46" i="37"/>
  <c r="I34" i="37"/>
  <c r="D44" i="37"/>
  <c r="I68" i="37"/>
  <c r="N42" i="37"/>
  <c r="D6" i="37"/>
  <c r="K69" i="37"/>
  <c r="J50" i="37"/>
  <c r="K103" i="37"/>
  <c r="I67" i="37"/>
  <c r="J14" i="37"/>
  <c r="I10" i="37"/>
  <c r="J116" i="37"/>
  <c r="L25" i="37"/>
  <c r="E52" i="37"/>
  <c r="I7" i="37"/>
  <c r="N119" i="37"/>
  <c r="E46" i="37"/>
  <c r="I15" i="37"/>
  <c r="D100" i="37"/>
  <c r="I13" i="37"/>
  <c r="I70" i="37"/>
  <c r="N124" i="37"/>
  <c r="J16" i="37"/>
  <c r="E118" i="37"/>
  <c r="N117" i="37"/>
  <c r="K27" i="37"/>
  <c r="E50" i="37"/>
  <c r="K47" i="37"/>
  <c r="E45" i="37"/>
  <c r="M12" i="37"/>
  <c r="I48" i="37"/>
  <c r="M51" i="37"/>
  <c r="F9" i="37"/>
  <c r="D98" i="37"/>
  <c r="F126" i="37"/>
  <c r="I14" i="37"/>
  <c r="E49" i="37"/>
  <c r="M10" i="37"/>
  <c r="H70" i="37"/>
  <c r="E122" i="37"/>
  <c r="K108" i="37"/>
  <c r="G119" i="37"/>
  <c r="K118" i="37"/>
  <c r="F46" i="37"/>
  <c r="I44" i="37"/>
  <c r="E15" i="37"/>
  <c r="J68" i="37"/>
  <c r="H11" i="37"/>
  <c r="N16" i="37"/>
  <c r="N14" i="37"/>
  <c r="F45" i="37"/>
  <c r="E64" i="37"/>
  <c r="M48" i="37"/>
  <c r="L24" i="37"/>
  <c r="G117" i="37"/>
  <c r="F50" i="37"/>
  <c r="D47" i="37"/>
  <c r="J125" i="37"/>
  <c r="J99" i="37"/>
  <c r="N32" i="37"/>
  <c r="M33" i="37"/>
  <c r="H64" i="37"/>
  <c r="E135" i="37"/>
  <c r="I61" i="37"/>
  <c r="K48" i="37"/>
  <c r="K51" i="37"/>
  <c r="I9" i="37"/>
  <c r="I65" i="37"/>
  <c r="J98" i="37"/>
  <c r="G126" i="37"/>
  <c r="I43" i="37"/>
  <c r="L30" i="37"/>
  <c r="I8" i="37"/>
  <c r="I16" i="37"/>
  <c r="I66" i="37"/>
  <c r="D103" i="37"/>
  <c r="L14" i="37"/>
  <c r="H10" i="37"/>
  <c r="E108" i="37"/>
  <c r="N25" i="37"/>
  <c r="M7" i="37"/>
  <c r="G118" i="37"/>
  <c r="M15" i="37"/>
  <c r="I6" i="37"/>
  <c r="J120" i="37"/>
  <c r="E100" i="37"/>
  <c r="E11" i="37"/>
  <c r="F48" i="37"/>
  <c r="E117" i="37"/>
  <c r="H12" i="37"/>
  <c r="J48" i="37"/>
  <c r="I51" i="37"/>
  <c r="D104" i="37"/>
  <c r="K105" i="37"/>
  <c r="N126" i="37"/>
  <c r="M30" i="37"/>
  <c r="D102" i="37"/>
  <c r="D49" i="37"/>
  <c r="D10" i="37"/>
  <c r="N116" i="37"/>
  <c r="G122" i="37"/>
  <c r="G123" i="37"/>
  <c r="H62" i="37"/>
  <c r="I119" i="37"/>
  <c r="D15" i="37"/>
  <c r="M42" i="37"/>
  <c r="E6" i="37"/>
  <c r="D13" i="37"/>
  <c r="N123" i="37"/>
  <c r="J119" i="37"/>
  <c r="L34" i="37"/>
  <c r="K101" i="37"/>
  <c r="L32" i="37"/>
  <c r="N12" i="37"/>
  <c r="I64" i="37"/>
  <c r="K98" i="37"/>
  <c r="J103" i="37"/>
  <c r="I49" i="37"/>
  <c r="E134" i="37"/>
  <c r="F44" i="37"/>
  <c r="N26" i="37"/>
  <c r="N133" i="37"/>
  <c r="N138" i="37" s="1"/>
  <c r="E144" i="37"/>
  <c r="D144" i="37"/>
  <c r="F144" i="37"/>
  <c r="H27" i="37"/>
  <c r="H30" i="37"/>
  <c r="H33" i="37"/>
  <c r="H25" i="37"/>
  <c r="H31" i="37"/>
  <c r="H26" i="37"/>
  <c r="H28" i="37"/>
  <c r="H34" i="37"/>
  <c r="H32" i="37"/>
  <c r="G133" i="37"/>
  <c r="G138" i="37" s="1"/>
  <c r="E137" i="37"/>
  <c r="F137" i="37"/>
  <c r="D137" i="37"/>
  <c r="M122" i="37"/>
  <c r="M116" i="37"/>
  <c r="M125" i="37"/>
  <c r="M121" i="37"/>
  <c r="M117" i="37"/>
  <c r="M120" i="37"/>
  <c r="M118" i="37"/>
  <c r="M119" i="37"/>
  <c r="M126" i="37"/>
  <c r="M124" i="37"/>
  <c r="G101" i="37"/>
  <c r="G105" i="37"/>
  <c r="G103" i="37"/>
  <c r="G102" i="37"/>
  <c r="G99" i="37"/>
  <c r="G104" i="37"/>
  <c r="G106" i="37"/>
  <c r="G100" i="37"/>
  <c r="G107" i="37"/>
  <c r="G98" i="37"/>
  <c r="G141" i="37"/>
  <c r="K133" i="37"/>
  <c r="K139" i="37" s="1"/>
  <c r="E141" i="37"/>
  <c r="D141" i="37"/>
  <c r="F141" i="37"/>
  <c r="M133" i="37"/>
  <c r="M137" i="37" s="1"/>
  <c r="E143" i="37"/>
  <c r="D143" i="37"/>
  <c r="F143" i="37"/>
  <c r="G34" i="37"/>
  <c r="G28" i="37"/>
  <c r="G25" i="37"/>
  <c r="G29" i="37"/>
  <c r="G32" i="37"/>
  <c r="G27" i="37"/>
  <c r="G24" i="37"/>
  <c r="G26" i="37"/>
  <c r="G33" i="37"/>
  <c r="G31" i="37"/>
  <c r="G30" i="37"/>
  <c r="F66" i="37"/>
  <c r="F60" i="37"/>
  <c r="F64" i="37"/>
  <c r="F69" i="37"/>
  <c r="F67" i="37"/>
  <c r="F65" i="37"/>
  <c r="F70" i="37"/>
  <c r="F62" i="37"/>
  <c r="F61" i="37"/>
  <c r="I106" i="37"/>
  <c r="I100" i="37"/>
  <c r="I104" i="37"/>
  <c r="I99" i="37"/>
  <c r="I107" i="37"/>
  <c r="I105" i="37"/>
  <c r="I101" i="37"/>
  <c r="I98" i="37"/>
  <c r="I108" i="37"/>
  <c r="I102" i="37"/>
  <c r="I103" i="37"/>
  <c r="L42" i="37"/>
  <c r="L52" i="37"/>
  <c r="L50" i="37"/>
  <c r="L46" i="37"/>
  <c r="L43" i="37"/>
  <c r="L51" i="37"/>
  <c r="L45" i="37"/>
  <c r="M98" i="37"/>
  <c r="M105" i="37"/>
  <c r="M103" i="37"/>
  <c r="M102" i="37"/>
  <c r="M100" i="37"/>
  <c r="M108" i="37"/>
  <c r="M107" i="37"/>
  <c r="M99" i="37"/>
  <c r="L44" i="37"/>
  <c r="I133" i="37"/>
  <c r="I143" i="37" s="1"/>
  <c r="F139" i="37"/>
  <c r="D139" i="37"/>
  <c r="E139" i="37"/>
  <c r="K24" i="37"/>
  <c r="K34" i="37"/>
  <c r="K30" i="37"/>
  <c r="K31" i="37"/>
  <c r="K26" i="37"/>
  <c r="K28" i="37"/>
  <c r="K29" i="37"/>
  <c r="J12" i="37"/>
  <c r="J9" i="37"/>
  <c r="J7" i="37"/>
  <c r="J15" i="37"/>
  <c r="J6" i="37"/>
  <c r="J13" i="37"/>
  <c r="J11" i="37"/>
  <c r="J10" i="37"/>
  <c r="J43" i="37"/>
  <c r="J44" i="37"/>
  <c r="J42" i="37"/>
  <c r="J46" i="37"/>
  <c r="J51" i="37"/>
  <c r="J47" i="37"/>
  <c r="L48" i="37"/>
  <c r="M104" i="37"/>
  <c r="K25" i="37"/>
  <c r="M101" i="37"/>
  <c r="L133" i="37"/>
  <c r="L143" i="37" s="1"/>
  <c r="D142" i="37"/>
  <c r="F142" i="37"/>
  <c r="E142" i="37"/>
  <c r="M106" i="37"/>
  <c r="G51" i="37"/>
  <c r="G43" i="37"/>
  <c r="G48" i="37"/>
  <c r="G42" i="37"/>
  <c r="G46" i="37"/>
  <c r="G45" i="37"/>
  <c r="G44" i="37"/>
  <c r="G47" i="37"/>
  <c r="G50" i="37"/>
  <c r="G52" i="37"/>
  <c r="N100" i="37"/>
  <c r="N102" i="37"/>
  <c r="N107" i="37"/>
  <c r="N98" i="37"/>
  <c r="N101" i="37"/>
  <c r="N99" i="37"/>
  <c r="G59" i="37"/>
  <c r="G63" i="37" s="1"/>
  <c r="J63" i="37"/>
  <c r="H63" i="37"/>
  <c r="K63" i="37"/>
  <c r="I63" i="37"/>
  <c r="N63" i="37"/>
  <c r="E63" i="37"/>
  <c r="M63" i="37"/>
  <c r="F63" i="37"/>
  <c r="D63" i="37"/>
  <c r="L63" i="37"/>
  <c r="J133" i="37"/>
  <c r="E140" i="37"/>
  <c r="D140" i="37"/>
  <c r="F140" i="37"/>
  <c r="G9" i="37"/>
  <c r="G12" i="37"/>
  <c r="G11" i="37"/>
  <c r="G15" i="37"/>
  <c r="G14" i="37"/>
  <c r="G16" i="37"/>
  <c r="G10" i="37"/>
  <c r="G7" i="37"/>
  <c r="G8" i="37"/>
  <c r="G49" i="37"/>
  <c r="G13" i="37"/>
  <c r="D27" i="37"/>
  <c r="D26" i="37"/>
  <c r="D25" i="37"/>
  <c r="D29" i="37"/>
  <c r="D31" i="37"/>
  <c r="L107" i="37"/>
  <c r="L106" i="37"/>
  <c r="L99" i="37"/>
  <c r="L101" i="37"/>
  <c r="L108" i="37"/>
  <c r="H61" i="37"/>
  <c r="L105" i="37"/>
  <c r="I28" i="37"/>
  <c r="I26" i="37"/>
  <c r="I31" i="37"/>
  <c r="K49" i="37"/>
  <c r="K45" i="37"/>
  <c r="K50" i="37"/>
  <c r="K42" i="37"/>
  <c r="K46" i="37"/>
  <c r="K52" i="37"/>
  <c r="K43" i="37"/>
  <c r="H9" i="37"/>
  <c r="H6" i="37"/>
  <c r="H15" i="37"/>
  <c r="H14" i="37"/>
  <c r="H13" i="37"/>
  <c r="N60" i="37"/>
  <c r="N69" i="37"/>
  <c r="N70" i="37"/>
  <c r="N65" i="37"/>
  <c r="N61" i="37"/>
  <c r="K123" i="37"/>
  <c r="K116" i="37"/>
  <c r="K124" i="37"/>
  <c r="K120" i="37"/>
  <c r="K126" i="37"/>
  <c r="E25" i="37"/>
  <c r="E28" i="37"/>
  <c r="E26" i="37"/>
  <c r="N50" i="37"/>
  <c r="N46" i="37"/>
  <c r="N51" i="37"/>
  <c r="N52" i="37"/>
  <c r="N62" i="37"/>
  <c r="H7" i="37"/>
  <c r="K67" i="37"/>
  <c r="H51" i="37"/>
  <c r="H42" i="37"/>
  <c r="H46" i="37"/>
  <c r="H44" i="37"/>
  <c r="H48" i="37"/>
  <c r="E34" i="37"/>
  <c r="N30" i="37"/>
  <c r="N33" i="37"/>
  <c r="N31" i="37"/>
  <c r="N34" i="37"/>
  <c r="N29" i="37"/>
  <c r="L60" i="37"/>
  <c r="L69" i="37"/>
  <c r="L68" i="37"/>
  <c r="E119" i="37"/>
  <c r="E116" i="37"/>
  <c r="E123" i="37"/>
  <c r="N27" i="37"/>
  <c r="E125" i="37"/>
  <c r="AE77" i="37" a="1"/>
  <c r="AE77" i="37" s="1"/>
  <c r="W82" i="37" s="1"/>
  <c r="AE78" i="37"/>
  <c r="E68" i="37"/>
  <c r="E60" i="37"/>
  <c r="E67" i="37"/>
  <c r="E66" i="37"/>
  <c r="E69" i="37"/>
  <c r="E65" i="37"/>
  <c r="L98" i="37"/>
  <c r="E126" i="37"/>
  <c r="J28" i="37"/>
  <c r="J24" i="37"/>
  <c r="J26" i="37"/>
  <c r="J34" i="37"/>
  <c r="J30" i="37"/>
  <c r="N15" i="37"/>
  <c r="N6" i="37"/>
  <c r="N10" i="37"/>
  <c r="N9" i="37"/>
  <c r="N8" i="37"/>
  <c r="H98" i="37"/>
  <c r="H108" i="37"/>
  <c r="H105" i="37"/>
  <c r="J29" i="37"/>
  <c r="K60" i="37"/>
  <c r="K70" i="37"/>
  <c r="K62" i="37"/>
  <c r="K65" i="37"/>
  <c r="M8" i="37"/>
  <c r="M11" i="37"/>
  <c r="N68" i="37"/>
  <c r="H101" i="37"/>
  <c r="N11" i="37"/>
  <c r="F15" i="37"/>
  <c r="F8" i="37"/>
  <c r="F13" i="37"/>
  <c r="F6" i="37"/>
  <c r="F14" i="37"/>
  <c r="L103" i="37"/>
  <c r="L16" i="37"/>
  <c r="L12" i="37"/>
  <c r="L6" i="37"/>
  <c r="L10" i="37"/>
  <c r="L62" i="37"/>
  <c r="E120" i="37"/>
  <c r="L11" i="37"/>
  <c r="M60" i="37"/>
  <c r="M65" i="37"/>
  <c r="M64" i="37"/>
  <c r="M66" i="37"/>
  <c r="I118" i="37"/>
  <c r="I120" i="37"/>
  <c r="H60" i="37"/>
  <c r="H68" i="37"/>
  <c r="H67" i="37"/>
  <c r="H69" i="37"/>
  <c r="H65" i="37"/>
  <c r="D30" i="37"/>
  <c r="L70" i="37"/>
  <c r="D120" i="37"/>
  <c r="D126" i="37"/>
  <c r="D121" i="37"/>
  <c r="D119" i="37"/>
  <c r="I25" i="37"/>
  <c r="E62" i="37"/>
  <c r="N7" i="37"/>
  <c r="L67" i="37"/>
  <c r="D118" i="37"/>
  <c r="N28" i="37"/>
  <c r="F11" i="37"/>
  <c r="M69" i="37"/>
  <c r="J70" i="37"/>
  <c r="J67" i="37"/>
  <c r="M44" i="37"/>
  <c r="J101" i="37"/>
  <c r="K100" i="37"/>
  <c r="L28" i="37"/>
  <c r="I45" i="37"/>
  <c r="L33" i="37"/>
  <c r="E107" i="37"/>
  <c r="J104" i="37"/>
  <c r="J102" i="37"/>
  <c r="N122" i="37"/>
  <c r="F122" i="37"/>
  <c r="F123" i="37"/>
  <c r="J108" i="37"/>
  <c r="M52" i="37"/>
  <c r="D138" i="37"/>
  <c r="E138" i="37"/>
  <c r="F138" i="37"/>
  <c r="H133" i="37"/>
  <c r="H143" i="37" s="1"/>
  <c r="N118" i="37"/>
  <c r="E42" i="37"/>
  <c r="D101" i="37"/>
  <c r="L26" i="37"/>
  <c r="E106" i="37"/>
  <c r="E103" i="37"/>
  <c r="M49" i="37"/>
  <c r="D108" i="37"/>
  <c r="M25" i="37"/>
  <c r="I62" i="37"/>
  <c r="J62" i="37"/>
  <c r="F119" i="37"/>
  <c r="M28" i="37"/>
  <c r="E13" i="37"/>
  <c r="I69" i="37"/>
  <c r="G54" i="22"/>
  <c r="I54" i="22" s="1"/>
  <c r="G31" i="22"/>
  <c r="G10" i="22"/>
  <c r="I10" i="22" s="1"/>
  <c r="I139" i="22"/>
  <c r="G140" i="22"/>
  <c r="G121" i="22"/>
  <c r="I121" i="22" s="1"/>
  <c r="G264" i="38" l="1"/>
  <c r="G226" i="38"/>
  <c r="G203" i="38"/>
  <c r="G184" i="38"/>
  <c r="H142" i="38"/>
  <c r="I141" i="38"/>
  <c r="G147" i="38"/>
  <c r="G120" i="38"/>
  <c r="G74" i="38"/>
  <c r="G75" i="38" s="1"/>
  <c r="G12" i="38"/>
  <c r="G250" i="39"/>
  <c r="I250" i="39"/>
  <c r="G333" i="39"/>
  <c r="I333" i="39"/>
  <c r="G144" i="39"/>
  <c r="I144" i="39"/>
  <c r="G79" i="39"/>
  <c r="I249" i="39"/>
  <c r="H57" i="39"/>
  <c r="I56" i="39"/>
  <c r="I332" i="39"/>
  <c r="I143" i="39"/>
  <c r="H102" i="39"/>
  <c r="I101" i="39"/>
  <c r="I187" i="39"/>
  <c r="G187" i="39"/>
  <c r="H313" i="39"/>
  <c r="I312" i="39"/>
  <c r="G271" i="39"/>
  <c r="I271" i="39"/>
  <c r="I290" i="39"/>
  <c r="G290" i="39"/>
  <c r="G104" i="39"/>
  <c r="I270" i="39"/>
  <c r="G228" i="39"/>
  <c r="I228" i="39" s="1"/>
  <c r="H209" i="39"/>
  <c r="I208" i="39"/>
  <c r="G358" i="39"/>
  <c r="G167" i="39"/>
  <c r="I167" i="39"/>
  <c r="G125" i="39"/>
  <c r="I125" i="39"/>
  <c r="G59" i="39"/>
  <c r="I186" i="39"/>
  <c r="G15" i="39"/>
  <c r="I15" i="39" s="1"/>
  <c r="I36" i="39"/>
  <c r="G36" i="39"/>
  <c r="G312" i="38"/>
  <c r="I311" i="38"/>
  <c r="G283" i="38"/>
  <c r="I140" i="38"/>
  <c r="G356" i="38"/>
  <c r="I356" i="38" s="1"/>
  <c r="G159" i="38"/>
  <c r="G101" i="38"/>
  <c r="I355" i="38"/>
  <c r="G333" i="38"/>
  <c r="I333" i="38" s="1"/>
  <c r="I332" i="38"/>
  <c r="G34" i="38"/>
  <c r="G205" i="22"/>
  <c r="E170" i="37"/>
  <c r="N172" i="37"/>
  <c r="E172" i="37"/>
  <c r="F172" i="37"/>
  <c r="E152" i="37"/>
  <c r="E154" i="37" s="1"/>
  <c r="H170" i="37"/>
  <c r="H178" i="37" s="1"/>
  <c r="E175" i="37"/>
  <c r="I175" i="37"/>
  <c r="G152" i="37"/>
  <c r="G156" i="37" s="1"/>
  <c r="J156" i="37"/>
  <c r="L152" i="37"/>
  <c r="L154" i="37" s="1"/>
  <c r="J161" i="37"/>
  <c r="F170" i="37"/>
  <c r="F178" i="37" s="1"/>
  <c r="H173" i="37"/>
  <c r="N173" i="37"/>
  <c r="E173" i="37"/>
  <c r="J170" i="37"/>
  <c r="J178" i="37" s="1"/>
  <c r="E177" i="37"/>
  <c r="G177" i="37"/>
  <c r="F177" i="37"/>
  <c r="N177" i="37"/>
  <c r="H177" i="37"/>
  <c r="F180" i="37"/>
  <c r="E180" i="37"/>
  <c r="M170" i="37"/>
  <c r="M180" i="37" s="1"/>
  <c r="H180" i="37"/>
  <c r="J180" i="37"/>
  <c r="N152" i="37"/>
  <c r="N156" i="37" s="1"/>
  <c r="J163" i="37"/>
  <c r="N170" i="37"/>
  <c r="N178" i="37" s="1"/>
  <c r="E181" i="37"/>
  <c r="L181" i="37"/>
  <c r="H181" i="37"/>
  <c r="N181" i="37"/>
  <c r="F181" i="37"/>
  <c r="K170" i="37"/>
  <c r="K178" i="37" s="1"/>
  <c r="E178" i="37"/>
  <c r="F152" i="37"/>
  <c r="F156" i="37" s="1"/>
  <c r="L155" i="37"/>
  <c r="H155" i="37"/>
  <c r="G155" i="37"/>
  <c r="F159" i="37"/>
  <c r="J152" i="37"/>
  <c r="J159" i="37" s="1"/>
  <c r="G159" i="37"/>
  <c r="L159" i="37"/>
  <c r="N159" i="37"/>
  <c r="G162" i="37"/>
  <c r="F162" i="37"/>
  <c r="M152" i="37"/>
  <c r="M156" i="37" s="1"/>
  <c r="J162" i="37"/>
  <c r="N162" i="37"/>
  <c r="F176" i="37"/>
  <c r="N176" i="37"/>
  <c r="E176" i="37"/>
  <c r="H176" i="37"/>
  <c r="G176" i="37"/>
  <c r="J176" i="37"/>
  <c r="I170" i="37"/>
  <c r="I176" i="37" s="1"/>
  <c r="H152" i="37"/>
  <c r="H160" i="37" s="1"/>
  <c r="N157" i="37"/>
  <c r="E157" i="37"/>
  <c r="F157" i="37"/>
  <c r="M157" i="37"/>
  <c r="G157" i="37"/>
  <c r="J157" i="37"/>
  <c r="F158" i="37"/>
  <c r="G158" i="37"/>
  <c r="H158" i="37"/>
  <c r="I152" i="37"/>
  <c r="I154" i="37" s="1"/>
  <c r="E158" i="37"/>
  <c r="N158" i="37"/>
  <c r="J158" i="37"/>
  <c r="K152" i="37"/>
  <c r="K160" i="37" s="1"/>
  <c r="L160" i="37"/>
  <c r="G160" i="37"/>
  <c r="E160" i="37"/>
  <c r="F160" i="37"/>
  <c r="J160" i="37"/>
  <c r="N160" i="37"/>
  <c r="F174" i="37"/>
  <c r="G174" i="37"/>
  <c r="G170" i="37"/>
  <c r="G181" i="37" s="1"/>
  <c r="N174" i="37"/>
  <c r="H174" i="37"/>
  <c r="E174" i="37"/>
  <c r="J174" i="37"/>
  <c r="L174" i="37"/>
  <c r="I174" i="37"/>
  <c r="L170" i="37"/>
  <c r="L175" i="37" s="1"/>
  <c r="E179" i="37"/>
  <c r="F179" i="37"/>
  <c r="G179" i="37"/>
  <c r="N179" i="37"/>
  <c r="J179" i="37"/>
  <c r="H179" i="37"/>
  <c r="I179" i="37"/>
  <c r="H202" i="22"/>
  <c r="H203" i="22" s="1"/>
  <c r="G223" i="22"/>
  <c r="M140" i="37"/>
  <c r="M138" i="37"/>
  <c r="N140" i="37"/>
  <c r="T31" i="27"/>
  <c r="V31" i="27" s="1"/>
  <c r="V20" i="27"/>
  <c r="C171" i="37" s="1"/>
  <c r="S31" i="27"/>
  <c r="U31" i="27" s="1"/>
  <c r="U20" i="27"/>
  <c r="C153" i="37" s="1"/>
  <c r="I142" i="37"/>
  <c r="N143" i="37"/>
  <c r="L140" i="37"/>
  <c r="I141" i="37"/>
  <c r="M139" i="37"/>
  <c r="I138" i="37"/>
  <c r="I139" i="37"/>
  <c r="K140" i="37"/>
  <c r="L138" i="37"/>
  <c r="I140" i="37"/>
  <c r="M142" i="37"/>
  <c r="N139" i="37"/>
  <c r="H144" i="37"/>
  <c r="N141" i="37"/>
  <c r="I137" i="37"/>
  <c r="I144" i="37"/>
  <c r="H138" i="37"/>
  <c r="K138" i="37"/>
  <c r="H137" i="37"/>
  <c r="K141" i="37"/>
  <c r="M144" i="37"/>
  <c r="K143" i="37"/>
  <c r="K142" i="37"/>
  <c r="AE113" i="37" a="1"/>
  <c r="AE113" i="37" s="1"/>
  <c r="Q120" i="37" s="1"/>
  <c r="T88" i="37"/>
  <c r="Q88" i="37"/>
  <c r="V85" i="37"/>
  <c r="S79" i="37"/>
  <c r="R88" i="37"/>
  <c r="V80" i="37"/>
  <c r="AA86" i="37"/>
  <c r="J140" i="37"/>
  <c r="J134" i="37"/>
  <c r="J136" i="37"/>
  <c r="J135" i="37"/>
  <c r="J137" i="37"/>
  <c r="J144" i="37"/>
  <c r="J139" i="37"/>
  <c r="J142" i="37"/>
  <c r="J141" i="37"/>
  <c r="J143" i="37"/>
  <c r="Y86" i="37"/>
  <c r="Z79" i="37"/>
  <c r="S81" i="37"/>
  <c r="T79" i="37"/>
  <c r="AE3" i="37" a="1"/>
  <c r="AE3" i="37" s="1"/>
  <c r="V83" i="37"/>
  <c r="AA87" i="37"/>
  <c r="AE4" i="37"/>
  <c r="X82" i="37"/>
  <c r="U81" i="37"/>
  <c r="Y87" i="37"/>
  <c r="AA81" i="37"/>
  <c r="T83" i="37"/>
  <c r="U79" i="37"/>
  <c r="X88" i="37"/>
  <c r="Y81" i="37"/>
  <c r="U80" i="37"/>
  <c r="Q81" i="37"/>
  <c r="Q83" i="37"/>
  <c r="Z86" i="37"/>
  <c r="X80" i="37"/>
  <c r="AA89" i="37"/>
  <c r="U84" i="37"/>
  <c r="AA82" i="37"/>
  <c r="Q85" i="37"/>
  <c r="AA79" i="37"/>
  <c r="W86" i="37"/>
  <c r="T85" i="37"/>
  <c r="V88" i="37"/>
  <c r="W79" i="37"/>
  <c r="Y82" i="37"/>
  <c r="AA88" i="37"/>
  <c r="W80" i="37"/>
  <c r="Q86" i="37"/>
  <c r="U85" i="37"/>
  <c r="Q79" i="37"/>
  <c r="Q84" i="37"/>
  <c r="Q82" i="37"/>
  <c r="W87" i="37"/>
  <c r="Q89" i="37"/>
  <c r="T81" i="37"/>
  <c r="R79" i="37"/>
  <c r="X83" i="37"/>
  <c r="V79" i="37"/>
  <c r="Y83" i="37"/>
  <c r="AA80" i="37"/>
  <c r="W89" i="37"/>
  <c r="Y79" i="37"/>
  <c r="T87" i="37"/>
  <c r="U89" i="37"/>
  <c r="W85" i="37"/>
  <c r="U83" i="37"/>
  <c r="R85" i="37"/>
  <c r="U88" i="37"/>
  <c r="X79" i="37"/>
  <c r="X89" i="37"/>
  <c r="Z80" i="37"/>
  <c r="Z82" i="37"/>
  <c r="R86" i="37"/>
  <c r="Y84" i="37"/>
  <c r="X85" i="37"/>
  <c r="S82" i="37"/>
  <c r="Y80" i="37"/>
  <c r="R82" i="37"/>
  <c r="Q87" i="37"/>
  <c r="X86" i="37"/>
  <c r="S80" i="37"/>
  <c r="AA83" i="37"/>
  <c r="W88" i="37"/>
  <c r="U87" i="37"/>
  <c r="T82" i="37"/>
  <c r="W83" i="37"/>
  <c r="S83" i="37"/>
  <c r="Z88" i="37"/>
  <c r="X81" i="37"/>
  <c r="Y85" i="37"/>
  <c r="R89" i="37"/>
  <c r="S84" i="37"/>
  <c r="W81" i="37"/>
  <c r="W84" i="37"/>
  <c r="U86" i="37"/>
  <c r="T86" i="37"/>
  <c r="R81" i="37"/>
  <c r="V86" i="37"/>
  <c r="Y88" i="37"/>
  <c r="S89" i="37"/>
  <c r="U82" i="37"/>
  <c r="V82" i="37"/>
  <c r="Z83" i="37"/>
  <c r="T89" i="37"/>
  <c r="V84" i="37"/>
  <c r="S86" i="37"/>
  <c r="S87" i="37"/>
  <c r="Z81" i="37"/>
  <c r="X84" i="37"/>
  <c r="V81" i="37"/>
  <c r="T84" i="37"/>
  <c r="Z87" i="37"/>
  <c r="X87" i="37"/>
  <c r="Q80" i="37"/>
  <c r="Y89" i="37"/>
  <c r="AA84" i="37"/>
  <c r="R80" i="37"/>
  <c r="V89" i="37"/>
  <c r="T80" i="37"/>
  <c r="R83" i="37"/>
  <c r="R87" i="37"/>
  <c r="Z89" i="37"/>
  <c r="V87" i="37"/>
  <c r="R84" i="37"/>
  <c r="S88" i="37"/>
  <c r="AE40" i="37"/>
  <c r="AE39" i="37" a="1"/>
  <c r="AE39" i="37" s="1"/>
  <c r="J138" i="37"/>
  <c r="AA85" i="37"/>
  <c r="Z84" i="37"/>
  <c r="S85" i="37"/>
  <c r="G144" i="37"/>
  <c r="G134" i="37"/>
  <c r="G135" i="37"/>
  <c r="G136" i="37"/>
  <c r="L144" i="37"/>
  <c r="H142" i="37"/>
  <c r="AE114" i="37"/>
  <c r="H139" i="37"/>
  <c r="G139" i="37"/>
  <c r="M134" i="37"/>
  <c r="M136" i="37"/>
  <c r="M135" i="37"/>
  <c r="M141" i="37"/>
  <c r="N142" i="37"/>
  <c r="N134" i="37"/>
  <c r="N136" i="37"/>
  <c r="N135" i="37"/>
  <c r="AE21" i="37" a="1"/>
  <c r="AE21" i="37" s="1"/>
  <c r="Y32" i="37" s="1"/>
  <c r="G60" i="37"/>
  <c r="G67" i="37"/>
  <c r="G70" i="37"/>
  <c r="G66" i="37"/>
  <c r="G61" i="37"/>
  <c r="G68" i="37"/>
  <c r="G62" i="37"/>
  <c r="G69" i="37"/>
  <c r="G64" i="37"/>
  <c r="G65" i="37"/>
  <c r="M143" i="37"/>
  <c r="G137" i="37"/>
  <c r="L136" i="37"/>
  <c r="L135" i="37"/>
  <c r="L134" i="37"/>
  <c r="H136" i="37"/>
  <c r="H135" i="37"/>
  <c r="H134" i="37"/>
  <c r="AE96" i="37"/>
  <c r="AE22" i="37"/>
  <c r="G140" i="37"/>
  <c r="L142" i="37"/>
  <c r="L139" i="37"/>
  <c r="I136" i="37"/>
  <c r="I135" i="37"/>
  <c r="I134" i="37"/>
  <c r="G143" i="37"/>
  <c r="H141" i="37"/>
  <c r="K134" i="37"/>
  <c r="K135" i="37"/>
  <c r="K136" i="37"/>
  <c r="K137" i="37"/>
  <c r="N137" i="37"/>
  <c r="K144" i="37"/>
  <c r="AE95" i="37" a="1"/>
  <c r="AE95" i="37" s="1"/>
  <c r="Z85" i="37"/>
  <c r="H140" i="37"/>
  <c r="G142" i="37"/>
  <c r="L141" i="37"/>
  <c r="L137" i="37"/>
  <c r="N144" i="37"/>
  <c r="G141" i="22"/>
  <c r="G142" i="22" s="1"/>
  <c r="I142" i="22" s="1"/>
  <c r="I140" i="22"/>
  <c r="G55" i="22"/>
  <c r="G11" i="22"/>
  <c r="I11" i="22" s="1"/>
  <c r="G32" i="22"/>
  <c r="I32" i="22" s="1"/>
  <c r="I31" i="22"/>
  <c r="G122" i="22"/>
  <c r="I122" i="22" s="1"/>
  <c r="D106" i="22"/>
  <c r="F99" i="22" s="1"/>
  <c r="C106" i="22"/>
  <c r="E105" i="22" s="1"/>
  <c r="H94" i="22"/>
  <c r="G284" i="38" l="1"/>
  <c r="G285" i="38" s="1"/>
  <c r="G265" i="38"/>
  <c r="G227" i="38"/>
  <c r="G204" i="38"/>
  <c r="G205" i="38" s="1"/>
  <c r="G160" i="38"/>
  <c r="H143" i="38"/>
  <c r="I142" i="38"/>
  <c r="G121" i="38"/>
  <c r="G76" i="38"/>
  <c r="G77" i="38" s="1"/>
  <c r="G78" i="38" s="1"/>
  <c r="G60" i="39"/>
  <c r="G61" i="39" s="1"/>
  <c r="G145" i="39"/>
  <c r="I145" i="39"/>
  <c r="G272" i="39"/>
  <c r="I272" i="39" s="1"/>
  <c r="I273" i="39" s="1"/>
  <c r="I275" i="39" s="1"/>
  <c r="G37" i="39"/>
  <c r="G126" i="39"/>
  <c r="I126" i="39" s="1"/>
  <c r="I127" i="39" s="1"/>
  <c r="I129" i="39" s="1"/>
  <c r="G334" i="39"/>
  <c r="I334" i="39" s="1"/>
  <c r="I229" i="39"/>
  <c r="G229" i="39"/>
  <c r="H314" i="39"/>
  <c r="I314" i="39" s="1"/>
  <c r="I315" i="39" s="1"/>
  <c r="I317" i="39" s="1"/>
  <c r="I313" i="39"/>
  <c r="H58" i="39"/>
  <c r="I57" i="39"/>
  <c r="H103" i="39"/>
  <c r="I102" i="39"/>
  <c r="H210" i="39"/>
  <c r="I210" i="39" s="1"/>
  <c r="I211" i="39" s="1"/>
  <c r="I213" i="39" s="1"/>
  <c r="I209" i="39"/>
  <c r="G168" i="39"/>
  <c r="I168" i="39" s="1"/>
  <c r="I169" i="39" s="1"/>
  <c r="I171" i="39" s="1"/>
  <c r="G188" i="39"/>
  <c r="G251" i="39"/>
  <c r="G16" i="39"/>
  <c r="I16" i="39" s="1"/>
  <c r="G359" i="39"/>
  <c r="I359" i="39" s="1"/>
  <c r="I360" i="39" s="1"/>
  <c r="I362" i="39" s="1"/>
  <c r="G105" i="39"/>
  <c r="G80" i="39"/>
  <c r="I358" i="39"/>
  <c r="G291" i="39"/>
  <c r="I79" i="39"/>
  <c r="H52" i="38"/>
  <c r="G313" i="38"/>
  <c r="I313" i="38" s="1"/>
  <c r="G243" i="38"/>
  <c r="G334" i="38"/>
  <c r="H72" i="38"/>
  <c r="H73" i="38" s="1"/>
  <c r="H263" i="38"/>
  <c r="H264" i="38" s="1"/>
  <c r="H265" i="38" s="1"/>
  <c r="H266" i="38" s="1"/>
  <c r="H267" i="38" s="1"/>
  <c r="H268" i="38" s="1"/>
  <c r="G122" i="38"/>
  <c r="I312" i="38"/>
  <c r="G35" i="38"/>
  <c r="G13" i="38"/>
  <c r="G102" i="38"/>
  <c r="G357" i="38"/>
  <c r="H154" i="37"/>
  <c r="K155" i="37"/>
  <c r="M158" i="37"/>
  <c r="L158" i="37"/>
  <c r="L157" i="37"/>
  <c r="E156" i="37"/>
  <c r="K158" i="37"/>
  <c r="K157" i="37"/>
  <c r="L162" i="37"/>
  <c r="E162" i="37"/>
  <c r="J155" i="37"/>
  <c r="H163" i="37"/>
  <c r="M162" i="37"/>
  <c r="E159" i="37"/>
  <c r="E163" i="37"/>
  <c r="M160" i="37"/>
  <c r="H157" i="37"/>
  <c r="M159" i="37"/>
  <c r="E155" i="37"/>
  <c r="E161" i="37"/>
  <c r="I203" i="22"/>
  <c r="H204" i="22"/>
  <c r="G224" i="22"/>
  <c r="G225" i="22" s="1"/>
  <c r="G242" i="22"/>
  <c r="G153" i="37"/>
  <c r="H153" i="37"/>
  <c r="K153" i="37"/>
  <c r="F153" i="37"/>
  <c r="N153" i="37"/>
  <c r="D152" i="37"/>
  <c r="D153" i="37" s="1"/>
  <c r="L153" i="37"/>
  <c r="E153" i="37"/>
  <c r="J153" i="37"/>
  <c r="M153" i="37"/>
  <c r="I153" i="37"/>
  <c r="M174" i="37"/>
  <c r="K176" i="37"/>
  <c r="K159" i="37"/>
  <c r="L178" i="37"/>
  <c r="K181" i="37"/>
  <c r="M163" i="37"/>
  <c r="L173" i="37"/>
  <c r="M161" i="37"/>
  <c r="G175" i="37"/>
  <c r="G154" i="37"/>
  <c r="I157" i="37"/>
  <c r="I162" i="37"/>
  <c r="I155" i="37"/>
  <c r="I156" i="37"/>
  <c r="M175" i="37"/>
  <c r="K154" i="37"/>
  <c r="M179" i="37"/>
  <c r="K179" i="37"/>
  <c r="K162" i="37"/>
  <c r="H159" i="37"/>
  <c r="N155" i="37"/>
  <c r="M181" i="37"/>
  <c r="J181" i="37"/>
  <c r="F163" i="37"/>
  <c r="G180" i="37"/>
  <c r="J177" i="37"/>
  <c r="I173" i="37"/>
  <c r="J173" i="37"/>
  <c r="G161" i="37"/>
  <c r="J175" i="37"/>
  <c r="F154" i="37"/>
  <c r="G172" i="37"/>
  <c r="L179" i="37"/>
  <c r="H162" i="37"/>
  <c r="M178" i="37"/>
  <c r="I181" i="37"/>
  <c r="K163" i="37"/>
  <c r="I180" i="37"/>
  <c r="K177" i="37"/>
  <c r="H161" i="37"/>
  <c r="H175" i="37"/>
  <c r="N154" i="37"/>
  <c r="J172" i="37"/>
  <c r="K175" i="37"/>
  <c r="I158" i="37"/>
  <c r="I159" i="37"/>
  <c r="M155" i="37"/>
  <c r="I178" i="37"/>
  <c r="G163" i="37"/>
  <c r="K180" i="37"/>
  <c r="M177" i="37"/>
  <c r="K173" i="37"/>
  <c r="F161" i="37"/>
  <c r="L156" i="37"/>
  <c r="N175" i="37"/>
  <c r="M154" i="37"/>
  <c r="M172" i="37"/>
  <c r="K172" i="37"/>
  <c r="I160" i="37"/>
  <c r="M176" i="37"/>
  <c r="F155" i="37"/>
  <c r="I163" i="37"/>
  <c r="L180" i="37"/>
  <c r="I177" i="37"/>
  <c r="G173" i="37"/>
  <c r="N161" i="37"/>
  <c r="L161" i="37"/>
  <c r="H156" i="37"/>
  <c r="F175" i="37"/>
  <c r="J154" i="37"/>
  <c r="I172" i="37"/>
  <c r="L172" i="37"/>
  <c r="F171" i="37"/>
  <c r="D170" i="37"/>
  <c r="L171" i="37"/>
  <c r="N171" i="37"/>
  <c r="K171" i="37"/>
  <c r="E171" i="37"/>
  <c r="G171" i="37"/>
  <c r="H171" i="37"/>
  <c r="J171" i="37"/>
  <c r="I171" i="37"/>
  <c r="M171" i="37"/>
  <c r="D171" i="37"/>
  <c r="M173" i="37"/>
  <c r="K174" i="37"/>
  <c r="L176" i="37"/>
  <c r="G178" i="37"/>
  <c r="N163" i="37"/>
  <c r="L163" i="37"/>
  <c r="N180" i="37"/>
  <c r="L177" i="37"/>
  <c r="F173" i="37"/>
  <c r="I161" i="37"/>
  <c r="K161" i="37"/>
  <c r="K156" i="37"/>
  <c r="H172" i="37"/>
  <c r="I202" i="22"/>
  <c r="G206" i="22"/>
  <c r="X44" i="37"/>
  <c r="AA14" i="37"/>
  <c r="T50" i="37"/>
  <c r="Y121" i="37"/>
  <c r="Y43" i="37"/>
  <c r="T51" i="37"/>
  <c r="U50" i="37"/>
  <c r="W43" i="37"/>
  <c r="X45" i="37"/>
  <c r="AA51" i="37"/>
  <c r="AE57" i="37" a="1"/>
  <c r="AE57" i="37" s="1"/>
  <c r="X51" i="37"/>
  <c r="U45" i="37"/>
  <c r="Y44" i="37"/>
  <c r="Z115" i="37"/>
  <c r="V119" i="37"/>
  <c r="G143" i="22"/>
  <c r="G144" i="22" s="1"/>
  <c r="AA9" i="37"/>
  <c r="T33" i="37"/>
  <c r="U12" i="37"/>
  <c r="AA8" i="37"/>
  <c r="Z27" i="37"/>
  <c r="S5" i="37"/>
  <c r="U27" i="37"/>
  <c r="Z118" i="37"/>
  <c r="S118" i="37"/>
  <c r="U5" i="37"/>
  <c r="T44" i="37"/>
  <c r="X49" i="37"/>
  <c r="Z124" i="37"/>
  <c r="T32" i="37"/>
  <c r="AA30" i="37"/>
  <c r="W45" i="37"/>
  <c r="X42" i="37"/>
  <c r="Z117" i="37"/>
  <c r="T47" i="37"/>
  <c r="AE132" i="37"/>
  <c r="AE131" i="37" a="1"/>
  <c r="AE131" i="37" s="1"/>
  <c r="Y136" i="37" s="1"/>
  <c r="W11" i="37"/>
  <c r="Y10" i="37"/>
  <c r="Z43" i="37"/>
  <c r="R122" i="37"/>
  <c r="Y27" i="37"/>
  <c r="AA5" i="37"/>
  <c r="Q26" i="37"/>
  <c r="Y50" i="37"/>
  <c r="U13" i="37"/>
  <c r="Y9" i="37"/>
  <c r="X29" i="37"/>
  <c r="AA49" i="37"/>
  <c r="Z51" i="37"/>
  <c r="Q28" i="37"/>
  <c r="R115" i="37"/>
  <c r="R12" i="37"/>
  <c r="Z120" i="37"/>
  <c r="T46" i="37"/>
  <c r="T28" i="37"/>
  <c r="W10" i="37"/>
  <c r="Y49" i="37"/>
  <c r="U8" i="37"/>
  <c r="W29" i="37"/>
  <c r="T23" i="37"/>
  <c r="X23" i="37"/>
  <c r="T13" i="37"/>
  <c r="Q30" i="37"/>
  <c r="V44" i="37"/>
  <c r="Q117" i="37"/>
  <c r="R27" i="37"/>
  <c r="S13" i="37"/>
  <c r="U31" i="37"/>
  <c r="V32" i="37"/>
  <c r="Y26" i="37"/>
  <c r="Z33" i="37"/>
  <c r="W31" i="37"/>
  <c r="Z29" i="37"/>
  <c r="AA24" i="37"/>
  <c r="R26" i="37"/>
  <c r="S31" i="37"/>
  <c r="W26" i="37"/>
  <c r="S26" i="37"/>
  <c r="Q32" i="37"/>
  <c r="S30" i="37"/>
  <c r="Z31" i="37"/>
  <c r="Z30" i="37"/>
  <c r="W32" i="37"/>
  <c r="AA23" i="37"/>
  <c r="S25" i="37"/>
  <c r="Q31" i="37"/>
  <c r="S32" i="37"/>
  <c r="V26" i="37"/>
  <c r="Y28" i="37"/>
  <c r="Z32" i="37"/>
  <c r="Q27" i="37"/>
  <c r="Y30" i="37"/>
  <c r="R28" i="37"/>
  <c r="X31" i="37"/>
  <c r="S29" i="37"/>
  <c r="AA31" i="37"/>
  <c r="V31" i="37"/>
  <c r="S27" i="37"/>
  <c r="Q33" i="37"/>
  <c r="S28" i="37"/>
  <c r="Y29" i="37"/>
  <c r="X26" i="37"/>
  <c r="R31" i="37"/>
  <c r="Y24" i="37"/>
  <c r="AA25" i="37"/>
  <c r="Y33" i="37"/>
  <c r="S23" i="37"/>
  <c r="Y31" i="37"/>
  <c r="U28" i="37"/>
  <c r="Z23" i="37"/>
  <c r="S24" i="37"/>
  <c r="R23" i="37"/>
  <c r="Z25" i="37"/>
  <c r="W24" i="37"/>
  <c r="Q23" i="37"/>
  <c r="S33" i="37"/>
  <c r="Z26" i="37"/>
  <c r="W30" i="37"/>
  <c r="Z28" i="37"/>
  <c r="Y23" i="37"/>
  <c r="X32" i="37"/>
  <c r="V28" i="37"/>
  <c r="V23" i="37"/>
  <c r="R32" i="37"/>
  <c r="R29" i="37"/>
  <c r="V33" i="37"/>
  <c r="U23" i="37"/>
  <c r="R30" i="37"/>
  <c r="V29" i="37"/>
  <c r="Z116" i="37"/>
  <c r="T29" i="37"/>
  <c r="W12" i="37"/>
  <c r="V25" i="37"/>
  <c r="W33" i="37"/>
  <c r="R124" i="37"/>
  <c r="AA33" i="37"/>
  <c r="AA6" i="37"/>
  <c r="Z123" i="37"/>
  <c r="S7" i="37"/>
  <c r="X122" i="37"/>
  <c r="T6" i="37"/>
  <c r="R119" i="37"/>
  <c r="Y25" i="37"/>
  <c r="T49" i="37"/>
  <c r="X27" i="37"/>
  <c r="V30" i="37"/>
  <c r="AA121" i="37"/>
  <c r="I141" i="22"/>
  <c r="R25" i="37"/>
  <c r="V117" i="37"/>
  <c r="W14" i="37"/>
  <c r="U41" i="37"/>
  <c r="S12" i="37"/>
  <c r="Q29" i="37"/>
  <c r="Y41" i="37"/>
  <c r="W50" i="37"/>
  <c r="X119" i="37"/>
  <c r="T26" i="37"/>
  <c r="W8" i="37"/>
  <c r="V27" i="37"/>
  <c r="S122" i="37"/>
  <c r="Y45" i="37"/>
  <c r="W25" i="37"/>
  <c r="T9" i="37"/>
  <c r="U47" i="37"/>
  <c r="V46" i="37"/>
  <c r="Z41" i="37"/>
  <c r="V42" i="37"/>
  <c r="Z45" i="37"/>
  <c r="S45" i="37"/>
  <c r="V41" i="37"/>
  <c r="V49" i="37"/>
  <c r="AA42" i="37"/>
  <c r="R49" i="37"/>
  <c r="W44" i="37"/>
  <c r="AA41" i="37"/>
  <c r="Q49" i="37"/>
  <c r="R50" i="37"/>
  <c r="U42" i="37"/>
  <c r="S47" i="37"/>
  <c r="S46" i="37"/>
  <c r="Q44" i="37"/>
  <c r="S41" i="37"/>
  <c r="R43" i="37"/>
  <c r="U48" i="37"/>
  <c r="S42" i="37"/>
  <c r="Q47" i="37"/>
  <c r="V51" i="37"/>
  <c r="AA46" i="37"/>
  <c r="S44" i="37"/>
  <c r="Q43" i="37"/>
  <c r="V43" i="37"/>
  <c r="Y48" i="37"/>
  <c r="Z44" i="37"/>
  <c r="V47" i="37"/>
  <c r="Q51" i="37"/>
  <c r="R46" i="37"/>
  <c r="W51" i="37"/>
  <c r="Z47" i="37"/>
  <c r="Q42" i="37"/>
  <c r="Q41" i="37"/>
  <c r="R44" i="37"/>
  <c r="S51" i="37"/>
  <c r="R48" i="37"/>
  <c r="Z42" i="37"/>
  <c r="R42" i="37"/>
  <c r="AA47" i="37"/>
  <c r="AA48" i="37"/>
  <c r="AA44" i="37"/>
  <c r="X47" i="37"/>
  <c r="W48" i="37"/>
  <c r="S43" i="37"/>
  <c r="Q46" i="37"/>
  <c r="S48" i="37"/>
  <c r="S50" i="37"/>
  <c r="R45" i="37"/>
  <c r="Q45" i="37"/>
  <c r="Q50" i="37"/>
  <c r="R47" i="37"/>
  <c r="U46" i="37"/>
  <c r="W47" i="37"/>
  <c r="W49" i="37"/>
  <c r="S49" i="37"/>
  <c r="Z49" i="37"/>
  <c r="Q48" i="37"/>
  <c r="V48" i="37"/>
  <c r="U49" i="37"/>
  <c r="Y46" i="37"/>
  <c r="X43" i="37"/>
  <c r="R51" i="37"/>
  <c r="V45" i="37"/>
  <c r="U44" i="37"/>
  <c r="Z50" i="37"/>
  <c r="AA43" i="37"/>
  <c r="Z46" i="37"/>
  <c r="X46" i="37"/>
  <c r="X50" i="37"/>
  <c r="U51" i="37"/>
  <c r="V50" i="37"/>
  <c r="R24" i="37"/>
  <c r="Y11" i="37"/>
  <c r="S14" i="37"/>
  <c r="R15" i="37"/>
  <c r="R10" i="37"/>
  <c r="Y14" i="37"/>
  <c r="R5" i="37"/>
  <c r="Q14" i="37"/>
  <c r="Q5" i="37"/>
  <c r="V7" i="37"/>
  <c r="V5" i="37"/>
  <c r="R6" i="37"/>
  <c r="X8" i="37"/>
  <c r="R11" i="37"/>
  <c r="X11" i="37"/>
  <c r="AA15" i="37"/>
  <c r="U11" i="37"/>
  <c r="V12" i="37"/>
  <c r="X7" i="37"/>
  <c r="Z6" i="37"/>
  <c r="R8" i="37"/>
  <c r="X12" i="37"/>
  <c r="Q12" i="37"/>
  <c r="U9" i="37"/>
  <c r="Z9" i="37"/>
  <c r="X14" i="37"/>
  <c r="Q13" i="37"/>
  <c r="Z8" i="37"/>
  <c r="W7" i="37"/>
  <c r="V9" i="37"/>
  <c r="Z15" i="37"/>
  <c r="R14" i="37"/>
  <c r="Q7" i="37"/>
  <c r="Y12" i="37"/>
  <c r="U10" i="37"/>
  <c r="W13" i="37"/>
  <c r="V15" i="37"/>
  <c r="Z5" i="37"/>
  <c r="Q15" i="37"/>
  <c r="Z12" i="37"/>
  <c r="V10" i="37"/>
  <c r="Q9" i="37"/>
  <c r="T5" i="37"/>
  <c r="Y6" i="37"/>
  <c r="V6" i="37"/>
  <c r="Y7" i="37"/>
  <c r="Q6" i="37"/>
  <c r="Q10" i="37"/>
  <c r="X15" i="37"/>
  <c r="U15" i="37"/>
  <c r="AA11" i="37"/>
  <c r="X6" i="37"/>
  <c r="Y13" i="37"/>
  <c r="R7" i="37"/>
  <c r="V8" i="37"/>
  <c r="X5" i="37"/>
  <c r="R9" i="37"/>
  <c r="S15" i="37"/>
  <c r="Q8" i="37"/>
  <c r="Z13" i="37"/>
  <c r="X10" i="37"/>
  <c r="AA13" i="37"/>
  <c r="U7" i="37"/>
  <c r="X9" i="37"/>
  <c r="V11" i="37"/>
  <c r="R13" i="37"/>
  <c r="Q11" i="37"/>
  <c r="X13" i="37"/>
  <c r="V14" i="37"/>
  <c r="V13" i="37"/>
  <c r="W15" i="37"/>
  <c r="S11" i="37"/>
  <c r="S6" i="37"/>
  <c r="Y8" i="37"/>
  <c r="Z11" i="37"/>
  <c r="AA12" i="37"/>
  <c r="S8" i="37"/>
  <c r="S9" i="37"/>
  <c r="Z14" i="37"/>
  <c r="Q119" i="37"/>
  <c r="X33" i="37"/>
  <c r="AA7" i="37"/>
  <c r="W5" i="37"/>
  <c r="AE58" i="37"/>
  <c r="Y51" i="37"/>
  <c r="T11" i="37"/>
  <c r="AA28" i="37"/>
  <c r="X28" i="37"/>
  <c r="Y15" i="37"/>
  <c r="Z125" i="37"/>
  <c r="X123" i="37"/>
  <c r="U30" i="37"/>
  <c r="T25" i="37"/>
  <c r="W6" i="37"/>
  <c r="T15" i="37"/>
  <c r="U25" i="37"/>
  <c r="Q118" i="37"/>
  <c r="X115" i="37"/>
  <c r="T8" i="37"/>
  <c r="T27" i="37"/>
  <c r="W41" i="37"/>
  <c r="U33" i="37"/>
  <c r="Z119" i="37"/>
  <c r="T12" i="37"/>
  <c r="AA26" i="37"/>
  <c r="W9" i="37"/>
  <c r="T10" i="37"/>
  <c r="R33" i="37"/>
  <c r="U32" i="37"/>
  <c r="U24" i="37"/>
  <c r="Y42" i="37"/>
  <c r="T45" i="37"/>
  <c r="AA50" i="37"/>
  <c r="AA117" i="37"/>
  <c r="Z10" i="37"/>
  <c r="U6" i="37"/>
  <c r="Y5" i="37"/>
  <c r="W28" i="37"/>
  <c r="AA32" i="37"/>
  <c r="W23" i="37"/>
  <c r="V24" i="37"/>
  <c r="X30" i="37"/>
  <c r="U26" i="37"/>
  <c r="X125" i="37"/>
  <c r="Z7" i="37"/>
  <c r="Z24" i="37"/>
  <c r="Z121" i="37"/>
  <c r="X24" i="37"/>
  <c r="S121" i="37"/>
  <c r="T14" i="37"/>
  <c r="T41" i="37"/>
  <c r="U14" i="37"/>
  <c r="AA29" i="37"/>
  <c r="Q24" i="37"/>
  <c r="R118" i="37"/>
  <c r="W42" i="37"/>
  <c r="Q25" i="37"/>
  <c r="R125" i="37"/>
  <c r="T43" i="37"/>
  <c r="X41" i="37"/>
  <c r="W27" i="37"/>
  <c r="S10" i="37"/>
  <c r="Z48" i="37"/>
  <c r="AA45" i="37"/>
  <c r="AA10" i="37"/>
  <c r="T7" i="37"/>
  <c r="T30" i="37"/>
  <c r="Y47" i="37"/>
  <c r="T24" i="37"/>
  <c r="X25" i="37"/>
  <c r="T42" i="37"/>
  <c r="U29" i="37"/>
  <c r="T31" i="37"/>
  <c r="W46" i="37"/>
  <c r="T48" i="37"/>
  <c r="U43" i="37"/>
  <c r="R41" i="37"/>
  <c r="X48" i="37"/>
  <c r="Q125" i="37"/>
  <c r="AA27" i="37"/>
  <c r="Y122" i="37"/>
  <c r="S117" i="37"/>
  <c r="U125" i="37"/>
  <c r="Y118" i="37"/>
  <c r="T119" i="37"/>
  <c r="AA118" i="37"/>
  <c r="Y123" i="37"/>
  <c r="X121" i="37"/>
  <c r="AA115" i="37"/>
  <c r="W118" i="37"/>
  <c r="T117" i="37"/>
  <c r="W123" i="37"/>
  <c r="T124" i="37"/>
  <c r="Q123" i="37"/>
  <c r="T123" i="37"/>
  <c r="AA119" i="37"/>
  <c r="T116" i="37"/>
  <c r="S125" i="37"/>
  <c r="Y115" i="37"/>
  <c r="S115" i="37"/>
  <c r="U119" i="37"/>
  <c r="W120" i="37"/>
  <c r="AA122" i="37"/>
  <c r="T121" i="37"/>
  <c r="U124" i="37"/>
  <c r="V124" i="37"/>
  <c r="Q115" i="37"/>
  <c r="S123" i="37"/>
  <c r="AA125" i="37"/>
  <c r="S119" i="37"/>
  <c r="U123" i="37"/>
  <c r="W121" i="37"/>
  <c r="Y116" i="37"/>
  <c r="T122" i="37"/>
  <c r="Q124" i="37"/>
  <c r="U122" i="37"/>
  <c r="Y119" i="37"/>
  <c r="X120" i="37"/>
  <c r="W116" i="37"/>
  <c r="AA116" i="37"/>
  <c r="V116" i="37"/>
  <c r="Q116" i="37"/>
  <c r="U121" i="37"/>
  <c r="Q121" i="37"/>
  <c r="Q122" i="37"/>
  <c r="T125" i="37"/>
  <c r="U118" i="37"/>
  <c r="W115" i="37"/>
  <c r="AA123" i="37"/>
  <c r="R120" i="37"/>
  <c r="S124" i="37"/>
  <c r="Z122" i="37"/>
  <c r="X116" i="37"/>
  <c r="V118" i="37"/>
  <c r="W117" i="37"/>
  <c r="V120" i="37"/>
  <c r="R123" i="37"/>
  <c r="R117" i="37"/>
  <c r="S116" i="37"/>
  <c r="Y120" i="37"/>
  <c r="U117" i="37"/>
  <c r="V121" i="37"/>
  <c r="R116" i="37"/>
  <c r="V123" i="37"/>
  <c r="AA124" i="37"/>
  <c r="Y117" i="37"/>
  <c r="X118" i="37"/>
  <c r="V122" i="37"/>
  <c r="S120" i="37"/>
  <c r="U120" i="37"/>
  <c r="W124" i="37"/>
  <c r="Y124" i="37"/>
  <c r="Y125" i="37"/>
  <c r="W125" i="37"/>
  <c r="AA120" i="37"/>
  <c r="V125" i="37"/>
  <c r="V115" i="37"/>
  <c r="U115" i="37"/>
  <c r="U116" i="37"/>
  <c r="W119" i="37"/>
  <c r="T115" i="37"/>
  <c r="X117" i="37"/>
  <c r="T120" i="37"/>
  <c r="X124" i="37"/>
  <c r="T118" i="37"/>
  <c r="W122" i="37"/>
  <c r="R121" i="37"/>
  <c r="G56" i="22"/>
  <c r="G33" i="22"/>
  <c r="I55" i="22"/>
  <c r="G12" i="22"/>
  <c r="G123" i="22"/>
  <c r="E95" i="22"/>
  <c r="F98" i="22"/>
  <c r="F95" i="22"/>
  <c r="E101" i="22"/>
  <c r="E100" i="22"/>
  <c r="F96" i="22"/>
  <c r="F101" i="22"/>
  <c r="F100" i="22"/>
  <c r="F105" i="22"/>
  <c r="E104" i="22"/>
  <c r="F102" i="22"/>
  <c r="E102" i="22"/>
  <c r="E97" i="22"/>
  <c r="F104" i="22"/>
  <c r="E103" i="22"/>
  <c r="F97" i="22"/>
  <c r="E99" i="22"/>
  <c r="F103" i="22"/>
  <c r="E96" i="22"/>
  <c r="E98" i="22"/>
  <c r="G286" i="38" l="1"/>
  <c r="G266" i="38"/>
  <c r="I264" i="38"/>
  <c r="I265" i="38"/>
  <c r="G244" i="38"/>
  <c r="G245" i="38" s="1"/>
  <c r="G228" i="38"/>
  <c r="G229" i="38" s="1"/>
  <c r="G161" i="38"/>
  <c r="H144" i="38"/>
  <c r="I143" i="38"/>
  <c r="G103" i="38"/>
  <c r="I73" i="38"/>
  <c r="H74" i="38"/>
  <c r="G79" i="38"/>
  <c r="G80" i="38" s="1"/>
  <c r="G36" i="38"/>
  <c r="G292" i="39"/>
  <c r="I292" i="39" s="1"/>
  <c r="I293" i="39" s="1"/>
  <c r="I295" i="39" s="1"/>
  <c r="G38" i="39"/>
  <c r="I38" i="39" s="1"/>
  <c r="I39" i="39" s="1"/>
  <c r="I41" i="39" s="1"/>
  <c r="I291" i="39"/>
  <c r="G230" i="39"/>
  <c r="I17" i="39"/>
  <c r="I18" i="39" s="1"/>
  <c r="I20" i="39" s="1"/>
  <c r="G17" i="39"/>
  <c r="G81" i="39"/>
  <c r="I81" i="39"/>
  <c r="G252" i="39"/>
  <c r="I252" i="39" s="1"/>
  <c r="I253" i="39" s="1"/>
  <c r="I255" i="39" s="1"/>
  <c r="I80" i="39"/>
  <c r="I251" i="39"/>
  <c r="H104" i="39"/>
  <c r="I103" i="39"/>
  <c r="G146" i="39"/>
  <c r="G335" i="39"/>
  <c r="I335" i="39"/>
  <c r="I336" i="39" s="1"/>
  <c r="I338" i="39" s="1"/>
  <c r="G189" i="39"/>
  <c r="I189" i="39" s="1"/>
  <c r="I190" i="39" s="1"/>
  <c r="I192" i="39" s="1"/>
  <c r="I188" i="39"/>
  <c r="H59" i="39"/>
  <c r="I58" i="39"/>
  <c r="I37" i="39"/>
  <c r="G358" i="38"/>
  <c r="G185" i="38"/>
  <c r="G314" i="38"/>
  <c r="I314" i="38" s="1"/>
  <c r="I315" i="38" s="1"/>
  <c r="I317" i="38" s="1"/>
  <c r="G14" i="38"/>
  <c r="I72" i="38"/>
  <c r="G206" i="38"/>
  <c r="G335" i="38"/>
  <c r="I335" i="38" s="1"/>
  <c r="G123" i="38"/>
  <c r="I334" i="38"/>
  <c r="I357" i="38"/>
  <c r="H53" i="38"/>
  <c r="H54" i="38" s="1"/>
  <c r="H55" i="38" s="1"/>
  <c r="H56" i="38" s="1"/>
  <c r="H57" i="38" s="1"/>
  <c r="H269" i="38"/>
  <c r="H270" i="38" s="1"/>
  <c r="I263" i="38"/>
  <c r="H205" i="22"/>
  <c r="I205" i="22" s="1"/>
  <c r="I204" i="22"/>
  <c r="G226" i="22"/>
  <c r="G227" i="22" s="1"/>
  <c r="D154" i="37"/>
  <c r="D159" i="37"/>
  <c r="D158" i="37"/>
  <c r="D161" i="37"/>
  <c r="D160" i="37"/>
  <c r="D156" i="37"/>
  <c r="D162" i="37"/>
  <c r="D157" i="37"/>
  <c r="D163" i="37"/>
  <c r="D155" i="37"/>
  <c r="D175" i="37"/>
  <c r="D174" i="37"/>
  <c r="D177" i="37"/>
  <c r="D178" i="37"/>
  <c r="D181" i="37"/>
  <c r="D176" i="37"/>
  <c r="D179" i="37"/>
  <c r="D172" i="37"/>
  <c r="D173" i="37"/>
  <c r="D180" i="37"/>
  <c r="G207" i="22"/>
  <c r="T135" i="37"/>
  <c r="Y61" i="37"/>
  <c r="V135" i="37"/>
  <c r="W136" i="37"/>
  <c r="W133" i="37"/>
  <c r="Y143" i="37"/>
  <c r="AA136" i="37"/>
  <c r="V133" i="37"/>
  <c r="T61" i="37"/>
  <c r="Z142" i="37"/>
  <c r="T138" i="37"/>
  <c r="W63" i="37"/>
  <c r="AA62" i="37"/>
  <c r="X69" i="37"/>
  <c r="Y63" i="37"/>
  <c r="Q64" i="37"/>
  <c r="V67" i="37"/>
  <c r="T65" i="37"/>
  <c r="S60" i="37"/>
  <c r="Q62" i="37"/>
  <c r="U66" i="37"/>
  <c r="Q60" i="37"/>
  <c r="W60" i="37"/>
  <c r="Q61" i="37"/>
  <c r="R62" i="37"/>
  <c r="U62" i="37"/>
  <c r="S62" i="37"/>
  <c r="U69" i="37"/>
  <c r="AA65" i="37"/>
  <c r="U133" i="37"/>
  <c r="Y140" i="37"/>
  <c r="W135" i="37"/>
  <c r="S59" i="37"/>
  <c r="V68" i="37"/>
  <c r="Z59" i="37"/>
  <c r="V66" i="37"/>
  <c r="U63" i="37"/>
  <c r="T66" i="37"/>
  <c r="X143" i="37"/>
  <c r="Z134" i="37"/>
  <c r="U59" i="37"/>
  <c r="Y67" i="37"/>
  <c r="Z68" i="37"/>
  <c r="X67" i="37"/>
  <c r="W59" i="37"/>
  <c r="AA133" i="37"/>
  <c r="U138" i="37"/>
  <c r="X64" i="37"/>
  <c r="W66" i="37"/>
  <c r="U68" i="37"/>
  <c r="AA63" i="37"/>
  <c r="Q68" i="37"/>
  <c r="Y66" i="37"/>
  <c r="R64" i="37"/>
  <c r="V62" i="37"/>
  <c r="V63" i="37"/>
  <c r="U64" i="37"/>
  <c r="R67" i="37"/>
  <c r="AA67" i="37"/>
  <c r="Q65" i="37"/>
  <c r="Z67" i="37"/>
  <c r="W142" i="37"/>
  <c r="Y133" i="37"/>
  <c r="T68" i="37"/>
  <c r="Y134" i="37"/>
  <c r="W143" i="37"/>
  <c r="T69" i="37"/>
  <c r="AA134" i="37"/>
  <c r="T134" i="37"/>
  <c r="T67" i="37"/>
  <c r="S63" i="37"/>
  <c r="W62" i="37"/>
  <c r="X59" i="37"/>
  <c r="AA64" i="37"/>
  <c r="X61" i="37"/>
  <c r="Z62" i="37"/>
  <c r="Y62" i="37"/>
  <c r="Y69" i="37"/>
  <c r="X60" i="37"/>
  <c r="Q59" i="37"/>
  <c r="Z69" i="37"/>
  <c r="Q63" i="37"/>
  <c r="Z60" i="37"/>
  <c r="V65" i="37"/>
  <c r="X133" i="37"/>
  <c r="W137" i="37"/>
  <c r="Y141" i="37"/>
  <c r="Y138" i="37"/>
  <c r="T139" i="37"/>
  <c r="R133" i="37"/>
  <c r="S135" i="37"/>
  <c r="R135" i="37"/>
  <c r="Q134" i="37"/>
  <c r="S134" i="37"/>
  <c r="Q133" i="37"/>
  <c r="Q135" i="37"/>
  <c r="R134" i="37"/>
  <c r="S133" i="37"/>
  <c r="R138" i="37"/>
  <c r="T140" i="37"/>
  <c r="Z136" i="37"/>
  <c r="AA138" i="37"/>
  <c r="R136" i="37"/>
  <c r="AA139" i="37"/>
  <c r="R141" i="37"/>
  <c r="Q137" i="37"/>
  <c r="Y139" i="37"/>
  <c r="Q142" i="37"/>
  <c r="Y142" i="37"/>
  <c r="Q136" i="37"/>
  <c r="Q138" i="37"/>
  <c r="Q140" i="37"/>
  <c r="S139" i="37"/>
  <c r="AA140" i="37"/>
  <c r="V139" i="37"/>
  <c r="U142" i="37"/>
  <c r="X142" i="37"/>
  <c r="U143" i="37"/>
  <c r="X138" i="37"/>
  <c r="S142" i="37"/>
  <c r="U137" i="37"/>
  <c r="Q141" i="37"/>
  <c r="V143" i="37"/>
  <c r="Z143" i="37"/>
  <c r="Z139" i="37"/>
  <c r="R142" i="37"/>
  <c r="V141" i="37"/>
  <c r="S136" i="37"/>
  <c r="Q143" i="37"/>
  <c r="S137" i="37"/>
  <c r="Q139" i="37"/>
  <c r="Z138" i="37"/>
  <c r="X140" i="37"/>
  <c r="V136" i="37"/>
  <c r="X137" i="37"/>
  <c r="S143" i="37"/>
  <c r="S138" i="37"/>
  <c r="AA142" i="37"/>
  <c r="R140" i="37"/>
  <c r="R139" i="37"/>
  <c r="X141" i="37"/>
  <c r="U136" i="37"/>
  <c r="T137" i="37"/>
  <c r="V137" i="37"/>
  <c r="V140" i="37"/>
  <c r="Z137" i="37"/>
  <c r="R143" i="37"/>
  <c r="R137" i="37"/>
  <c r="Y137" i="37"/>
  <c r="V142" i="37"/>
  <c r="Z141" i="37"/>
  <c r="X139" i="37"/>
  <c r="V138" i="37"/>
  <c r="S140" i="37"/>
  <c r="S141" i="37"/>
  <c r="AA137" i="37"/>
  <c r="T60" i="37"/>
  <c r="S64" i="37"/>
  <c r="AA69" i="37"/>
  <c r="S68" i="37"/>
  <c r="S61" i="37"/>
  <c r="V61" i="37"/>
  <c r="Z64" i="37"/>
  <c r="AA59" i="37"/>
  <c r="Z65" i="37"/>
  <c r="U65" i="37"/>
  <c r="R69" i="37"/>
  <c r="Y60" i="37"/>
  <c r="X63" i="37"/>
  <c r="V69" i="37"/>
  <c r="V59" i="37"/>
  <c r="W138" i="37"/>
  <c r="Z133" i="37"/>
  <c r="U134" i="37"/>
  <c r="U140" i="37"/>
  <c r="T64" i="37"/>
  <c r="X135" i="37"/>
  <c r="T136" i="37"/>
  <c r="T143" i="37"/>
  <c r="T133" i="37"/>
  <c r="W139" i="37"/>
  <c r="R68" i="37"/>
  <c r="W69" i="37"/>
  <c r="R59" i="37"/>
  <c r="X66" i="37"/>
  <c r="AA61" i="37"/>
  <c r="Z63" i="37"/>
  <c r="S65" i="37"/>
  <c r="R63" i="37"/>
  <c r="S67" i="37"/>
  <c r="Z66" i="37"/>
  <c r="Q69" i="37"/>
  <c r="U61" i="37"/>
  <c r="V64" i="37"/>
  <c r="V60" i="37"/>
  <c r="I144" i="22"/>
  <c r="V134" i="37"/>
  <c r="U135" i="37"/>
  <c r="U139" i="37"/>
  <c r="Z135" i="37"/>
  <c r="U141" i="37"/>
  <c r="Y135" i="37"/>
  <c r="T59" i="37"/>
  <c r="W140" i="37"/>
  <c r="Z140" i="37"/>
  <c r="R61" i="37"/>
  <c r="S69" i="37"/>
  <c r="T62" i="37"/>
  <c r="W61" i="37"/>
  <c r="AA68" i="37"/>
  <c r="X62" i="37"/>
  <c r="R65" i="37"/>
  <c r="Y64" i="37"/>
  <c r="W67" i="37"/>
  <c r="W64" i="37"/>
  <c r="AA66" i="37"/>
  <c r="X65" i="37"/>
  <c r="Y65" i="37"/>
  <c r="X68" i="37"/>
  <c r="X136" i="37"/>
  <c r="I143" i="22"/>
  <c r="T142" i="37"/>
  <c r="AA143" i="37"/>
  <c r="AA141" i="37"/>
  <c r="T63" i="37"/>
  <c r="W134" i="37"/>
  <c r="X134" i="37"/>
  <c r="AA135" i="37"/>
  <c r="W141" i="37"/>
  <c r="T141" i="37"/>
  <c r="AA60" i="37"/>
  <c r="R66" i="37"/>
  <c r="S66" i="37"/>
  <c r="U67" i="37"/>
  <c r="U60" i="37"/>
  <c r="Y68" i="37"/>
  <c r="Y59" i="37"/>
  <c r="Z61" i="37"/>
  <c r="Q66" i="37"/>
  <c r="Q67" i="37"/>
  <c r="W68" i="37"/>
  <c r="R60" i="37"/>
  <c r="W65" i="37"/>
  <c r="G34" i="22"/>
  <c r="I34" i="22" s="1"/>
  <c r="I33" i="22"/>
  <c r="G13" i="22"/>
  <c r="I13" i="22" s="1"/>
  <c r="I12" i="22"/>
  <c r="G57" i="22"/>
  <c r="I57" i="22" s="1"/>
  <c r="I56" i="22"/>
  <c r="G145" i="22"/>
  <c r="G124" i="22"/>
  <c r="I123" i="22"/>
  <c r="F106" i="22"/>
  <c r="E106" i="22"/>
  <c r="I336" i="38" l="1"/>
  <c r="I338" i="38" s="1"/>
  <c r="G287" i="38"/>
  <c r="G267" i="38"/>
  <c r="I267" i="38"/>
  <c r="I266" i="38"/>
  <c r="G246" i="38"/>
  <c r="G230" i="38"/>
  <c r="G162" i="38"/>
  <c r="G163" i="38" s="1"/>
  <c r="I144" i="38"/>
  <c r="H145" i="38"/>
  <c r="G124" i="38"/>
  <c r="G125" i="38" s="1"/>
  <c r="G104" i="38"/>
  <c r="G105" i="38" s="1"/>
  <c r="G81" i="38"/>
  <c r="H75" i="38"/>
  <c r="I74" i="38"/>
  <c r="G37" i="38"/>
  <c r="G38" i="38" s="1"/>
  <c r="G15" i="38"/>
  <c r="G231" i="39"/>
  <c r="I231" i="39"/>
  <c r="I230" i="39"/>
  <c r="G147" i="39"/>
  <c r="I147" i="39" s="1"/>
  <c r="I148" i="39" s="1"/>
  <c r="I150" i="39" s="1"/>
  <c r="I82" i="39"/>
  <c r="I84" i="39" s="1"/>
  <c r="H105" i="39"/>
  <c r="I105" i="39" s="1"/>
  <c r="I106" i="39" s="1"/>
  <c r="I108" i="39" s="1"/>
  <c r="I104" i="39"/>
  <c r="I146" i="39"/>
  <c r="H60" i="39"/>
  <c r="I59" i="39"/>
  <c r="G207" i="38"/>
  <c r="G186" i="38"/>
  <c r="G359" i="38"/>
  <c r="I359" i="38" s="1"/>
  <c r="I358" i="38"/>
  <c r="H271" i="38"/>
  <c r="G208" i="22"/>
  <c r="G228" i="22"/>
  <c r="AE168" i="37" a="1"/>
  <c r="AE168" i="37" s="1"/>
  <c r="Q172" i="37" s="1"/>
  <c r="AE169" i="37"/>
  <c r="AE151" i="37"/>
  <c r="AE150" i="37" a="1"/>
  <c r="AE150" i="37" s="1"/>
  <c r="H206" i="22"/>
  <c r="G35" i="22"/>
  <c r="I35" i="22" s="1"/>
  <c r="G58" i="22"/>
  <c r="I58" i="22" s="1"/>
  <c r="G14" i="22"/>
  <c r="I14" i="22" s="1"/>
  <c r="G146" i="22"/>
  <c r="I145" i="22"/>
  <c r="G125" i="22"/>
  <c r="I125" i="22" s="1"/>
  <c r="I124" i="22"/>
  <c r="G288" i="38" l="1"/>
  <c r="G289" i="38" s="1"/>
  <c r="G268" i="38"/>
  <c r="I268" i="38" s="1"/>
  <c r="H272" i="38"/>
  <c r="G247" i="38"/>
  <c r="G231" i="38"/>
  <c r="G208" i="38"/>
  <c r="G187" i="38"/>
  <c r="G164" i="38"/>
  <c r="G165" i="38" s="1"/>
  <c r="I145" i="38"/>
  <c r="H146" i="38"/>
  <c r="G126" i="38"/>
  <c r="H76" i="38"/>
  <c r="I75" i="38"/>
  <c r="G16" i="38"/>
  <c r="I360" i="38"/>
  <c r="I362" i="38" s="1"/>
  <c r="I232" i="39"/>
  <c r="I234" i="39" s="1"/>
  <c r="H61" i="39"/>
  <c r="I60" i="39"/>
  <c r="I61" i="39" s="1"/>
  <c r="I63" i="39" s="1"/>
  <c r="H58" i="38"/>
  <c r="H59" i="38" s="1"/>
  <c r="H60" i="38" s="1"/>
  <c r="G209" i="22"/>
  <c r="G229" i="22"/>
  <c r="G230" i="22" s="1"/>
  <c r="AA161" i="37"/>
  <c r="AA157" i="37"/>
  <c r="Y153" i="37"/>
  <c r="W160" i="37"/>
  <c r="AA155" i="37"/>
  <c r="Y159" i="37"/>
  <c r="W159" i="37"/>
  <c r="T154" i="37"/>
  <c r="R161" i="37"/>
  <c r="S157" i="37"/>
  <c r="W158" i="37"/>
  <c r="U153" i="37"/>
  <c r="S158" i="37"/>
  <c r="X157" i="37"/>
  <c r="W162" i="37"/>
  <c r="T155" i="37"/>
  <c r="U157" i="37"/>
  <c r="X159" i="37"/>
  <c r="U156" i="37"/>
  <c r="Z157" i="37"/>
  <c r="R154" i="37"/>
  <c r="Z159" i="37"/>
  <c r="R162" i="37"/>
  <c r="R157" i="37"/>
  <c r="R153" i="37"/>
  <c r="R156" i="37"/>
  <c r="Y161" i="37"/>
  <c r="AA156" i="37"/>
  <c r="T157" i="37"/>
  <c r="Y157" i="37"/>
  <c r="W156" i="37"/>
  <c r="R160" i="37"/>
  <c r="X156" i="37"/>
  <c r="W157" i="37"/>
  <c r="T158" i="37"/>
  <c r="Z158" i="37"/>
  <c r="T156" i="37"/>
  <c r="R155" i="37"/>
  <c r="W161" i="37"/>
  <c r="Z156" i="37"/>
  <c r="S159" i="37"/>
  <c r="AA158" i="37"/>
  <c r="U162" i="37"/>
  <c r="U154" i="37"/>
  <c r="Z155" i="37"/>
  <c r="W155" i="37"/>
  <c r="R159" i="37"/>
  <c r="W154" i="37"/>
  <c r="Y156" i="37"/>
  <c r="AA159" i="37"/>
  <c r="S155" i="37"/>
  <c r="Y158" i="37"/>
  <c r="T159" i="37"/>
  <c r="R158" i="37"/>
  <c r="S161" i="37"/>
  <c r="T161" i="37"/>
  <c r="U159" i="37"/>
  <c r="Z161" i="37"/>
  <c r="V153" i="37"/>
  <c r="Y154" i="37"/>
  <c r="X154" i="37"/>
  <c r="S156" i="37"/>
  <c r="X155" i="37"/>
  <c r="Y155" i="37"/>
  <c r="S152" i="37"/>
  <c r="V160" i="37"/>
  <c r="X152" i="37"/>
  <c r="W152" i="37"/>
  <c r="Z160" i="37"/>
  <c r="U161" i="37"/>
  <c r="V162" i="37"/>
  <c r="AA160" i="37"/>
  <c r="T152" i="37"/>
  <c r="Q152" i="37"/>
  <c r="V158" i="37"/>
  <c r="V157" i="37"/>
  <c r="AA162" i="37"/>
  <c r="U160" i="37"/>
  <c r="V161" i="37"/>
  <c r="V159" i="37"/>
  <c r="S162" i="37"/>
  <c r="S154" i="37"/>
  <c r="U152" i="37"/>
  <c r="T160" i="37"/>
  <c r="V156" i="37"/>
  <c r="Z153" i="37"/>
  <c r="Y162" i="37"/>
  <c r="X162" i="37"/>
  <c r="W153" i="37"/>
  <c r="V155" i="37"/>
  <c r="Y160" i="37"/>
  <c r="Z152" i="37"/>
  <c r="AA154" i="37"/>
  <c r="S153" i="37"/>
  <c r="U158" i="37"/>
  <c r="S160" i="37"/>
  <c r="X160" i="37"/>
  <c r="T153" i="37"/>
  <c r="Z162" i="37"/>
  <c r="T162" i="37"/>
  <c r="X153" i="37"/>
  <c r="AA153" i="37"/>
  <c r="X158" i="37"/>
  <c r="R152" i="37"/>
  <c r="Z154" i="37"/>
  <c r="Y152" i="37"/>
  <c r="V154" i="37"/>
  <c r="U155" i="37"/>
  <c r="V152" i="37"/>
  <c r="AA152" i="37"/>
  <c r="X161" i="37"/>
  <c r="Q171" i="37"/>
  <c r="Q162" i="37"/>
  <c r="Q159" i="37"/>
  <c r="Q173" i="37"/>
  <c r="Q158" i="37"/>
  <c r="Q179" i="37"/>
  <c r="Q175" i="37"/>
  <c r="Q178" i="37"/>
  <c r="Q157" i="37"/>
  <c r="Q177" i="37"/>
  <c r="Q153" i="37"/>
  <c r="Q160" i="37"/>
  <c r="Q156" i="37"/>
  <c r="Q174" i="37"/>
  <c r="Q161" i="37"/>
  <c r="Q155" i="37"/>
  <c r="Q176" i="37"/>
  <c r="Q180" i="37"/>
  <c r="Z174" i="37"/>
  <c r="V175" i="37"/>
  <c r="W175" i="37"/>
  <c r="R172" i="37"/>
  <c r="AA177" i="37"/>
  <c r="Y174" i="37"/>
  <c r="T178" i="37"/>
  <c r="U179" i="37"/>
  <c r="R171" i="37"/>
  <c r="S177" i="37"/>
  <c r="X177" i="37"/>
  <c r="W178" i="37"/>
  <c r="W177" i="37"/>
  <c r="S175" i="37"/>
  <c r="S178" i="37"/>
  <c r="V173" i="37"/>
  <c r="S176" i="37"/>
  <c r="Y180" i="37"/>
  <c r="U177" i="37"/>
  <c r="T176" i="37"/>
  <c r="AA175" i="37"/>
  <c r="S180" i="37"/>
  <c r="AA178" i="37"/>
  <c r="AA176" i="37"/>
  <c r="S171" i="37"/>
  <c r="V178" i="37"/>
  <c r="R178" i="37"/>
  <c r="V174" i="37"/>
  <c r="Y173" i="37"/>
  <c r="W179" i="37"/>
  <c r="T173" i="37"/>
  <c r="AA172" i="37"/>
  <c r="AA171" i="37"/>
  <c r="U175" i="37"/>
  <c r="R180" i="37"/>
  <c r="U172" i="37"/>
  <c r="S173" i="37"/>
  <c r="AA180" i="37"/>
  <c r="R176" i="37"/>
  <c r="T180" i="37"/>
  <c r="T175" i="37"/>
  <c r="R177" i="37"/>
  <c r="W173" i="37"/>
  <c r="S179" i="37"/>
  <c r="U173" i="37"/>
  <c r="U178" i="37"/>
  <c r="Z179" i="37"/>
  <c r="U180" i="37"/>
  <c r="R174" i="37"/>
  <c r="R173" i="37"/>
  <c r="AA173" i="37"/>
  <c r="U176" i="37"/>
  <c r="R179" i="37"/>
  <c r="R175" i="37"/>
  <c r="U171" i="37"/>
  <c r="W171" i="37"/>
  <c r="Y179" i="37"/>
  <c r="S174" i="37"/>
  <c r="Z171" i="37"/>
  <c r="S172" i="37"/>
  <c r="W174" i="37"/>
  <c r="Z180" i="37"/>
  <c r="Z175" i="37"/>
  <c r="V177" i="37"/>
  <c r="AA179" i="37"/>
  <c r="W176" i="37"/>
  <c r="V171" i="37"/>
  <c r="T177" i="37"/>
  <c r="X179" i="37"/>
  <c r="T170" i="37"/>
  <c r="Z170" i="37"/>
  <c r="W180" i="37"/>
  <c r="V176" i="37"/>
  <c r="Y175" i="37"/>
  <c r="Y178" i="37"/>
  <c r="X171" i="37"/>
  <c r="X178" i="37"/>
  <c r="X173" i="37"/>
  <c r="V179" i="37"/>
  <c r="Y170" i="37"/>
  <c r="Z172" i="37"/>
  <c r="X176" i="37"/>
  <c r="U170" i="37"/>
  <c r="V172" i="37"/>
  <c r="Z176" i="37"/>
  <c r="Z173" i="37"/>
  <c r="V180" i="37"/>
  <c r="AA174" i="37"/>
  <c r="X172" i="37"/>
  <c r="W172" i="37"/>
  <c r="Y171" i="37"/>
  <c r="T171" i="37"/>
  <c r="X174" i="37"/>
  <c r="S170" i="37"/>
  <c r="Y177" i="37"/>
  <c r="Y172" i="37"/>
  <c r="Z178" i="37"/>
  <c r="AA170" i="37"/>
  <c r="R170" i="37"/>
  <c r="V170" i="37"/>
  <c r="T179" i="37"/>
  <c r="Q170" i="37"/>
  <c r="T172" i="37"/>
  <c r="X170" i="37"/>
  <c r="X175" i="37"/>
  <c r="U174" i="37"/>
  <c r="Z177" i="37"/>
  <c r="X180" i="37"/>
  <c r="W170" i="37"/>
  <c r="T174" i="37"/>
  <c r="Y176" i="37"/>
  <c r="Q154" i="37"/>
  <c r="H207" i="22"/>
  <c r="I206" i="22"/>
  <c r="G36" i="22"/>
  <c r="I36" i="22" s="1"/>
  <c r="G15" i="22"/>
  <c r="G59" i="22"/>
  <c r="I59" i="22" s="1"/>
  <c r="G147" i="22"/>
  <c r="I147" i="22" s="1"/>
  <c r="I146" i="22"/>
  <c r="G126" i="22"/>
  <c r="I126" i="22" s="1"/>
  <c r="I127" i="22" s="1"/>
  <c r="I129" i="22" s="1"/>
  <c r="W27" i="22" s="1"/>
  <c r="G290" i="38" l="1"/>
  <c r="G269" i="38"/>
  <c r="G248" i="38"/>
  <c r="G209" i="38"/>
  <c r="G188" i="38"/>
  <c r="G166" i="38"/>
  <c r="H147" i="38"/>
  <c r="I147" i="38" s="1"/>
  <c r="I146" i="38"/>
  <c r="I148" i="38" s="1"/>
  <c r="I150" i="38" s="1"/>
  <c r="H77" i="38"/>
  <c r="I76" i="38"/>
  <c r="G17" i="38"/>
  <c r="H61" i="38"/>
  <c r="I207" i="22"/>
  <c r="H208" i="22"/>
  <c r="G210" i="22"/>
  <c r="G231" i="22"/>
  <c r="G16" i="22"/>
  <c r="I15" i="22"/>
  <c r="G60" i="22"/>
  <c r="G61" i="22" s="1"/>
  <c r="G37" i="22"/>
  <c r="I37" i="22" s="1"/>
  <c r="I148" i="22"/>
  <c r="I150" i="22" s="1"/>
  <c r="X27" i="22" s="1"/>
  <c r="G291" i="38" l="1"/>
  <c r="G270" i="38"/>
  <c r="I269" i="38"/>
  <c r="G249" i="38"/>
  <c r="G210" i="38"/>
  <c r="G189" i="38"/>
  <c r="G167" i="38"/>
  <c r="I77" i="38"/>
  <c r="H78" i="38"/>
  <c r="H209" i="22"/>
  <c r="I208" i="22"/>
  <c r="I60" i="22"/>
  <c r="I61" i="22" s="1"/>
  <c r="I63" i="22" s="1"/>
  <c r="X26" i="22" s="1"/>
  <c r="G17" i="22"/>
  <c r="I17" i="22" s="1"/>
  <c r="G38" i="22"/>
  <c r="I38" i="22" s="1"/>
  <c r="I39" i="22" s="1"/>
  <c r="I41" i="22" s="1"/>
  <c r="W26" i="22" s="1"/>
  <c r="I16" i="22"/>
  <c r="G95" i="22"/>
  <c r="G96" i="22" s="1"/>
  <c r="G97" i="22" s="1"/>
  <c r="H95" i="22"/>
  <c r="H96" i="22" s="1"/>
  <c r="H97" i="22" s="1"/>
  <c r="H98" i="22" s="1"/>
  <c r="H99" i="22" s="1"/>
  <c r="H100" i="22" s="1"/>
  <c r="H101" i="22" s="1"/>
  <c r="H102" i="22" s="1"/>
  <c r="H103" i="22" s="1"/>
  <c r="H104" i="22" s="1"/>
  <c r="H105" i="22" s="1"/>
  <c r="G292" i="38" l="1"/>
  <c r="G271" i="38"/>
  <c r="I270" i="38"/>
  <c r="G250" i="38"/>
  <c r="G251" i="38" s="1"/>
  <c r="G168" i="38"/>
  <c r="H79" i="38"/>
  <c r="I78" i="38"/>
  <c r="H210" i="22"/>
  <c r="I210" i="22" s="1"/>
  <c r="I209" i="22"/>
  <c r="I96" i="22"/>
  <c r="I95" i="22"/>
  <c r="I18" i="22"/>
  <c r="I20" i="22" s="1"/>
  <c r="V26" i="22" s="1"/>
  <c r="G98" i="22"/>
  <c r="I97" i="22"/>
  <c r="I211" i="22" l="1"/>
  <c r="I213" i="22" s="1"/>
  <c r="W28" i="22" s="1"/>
  <c r="G272" i="38"/>
  <c r="I272" i="38" s="1"/>
  <c r="I271" i="38"/>
  <c r="G252" i="38"/>
  <c r="I79" i="38"/>
  <c r="H80" i="38"/>
  <c r="G99" i="22"/>
  <c r="I98" i="22"/>
  <c r="I273" i="38" l="1"/>
  <c r="I275" i="38" s="1"/>
  <c r="I80" i="38"/>
  <c r="H81" i="38"/>
  <c r="I81" i="38" s="1"/>
  <c r="I82" i="38" s="1"/>
  <c r="I84" i="38" s="1"/>
  <c r="G100" i="22"/>
  <c r="I100" i="22" s="1"/>
  <c r="I99" i="22"/>
  <c r="G101" i="22" l="1"/>
  <c r="G102" i="22" l="1"/>
  <c r="I102" i="22" s="1"/>
  <c r="I101" i="22"/>
  <c r="G103" i="22" l="1"/>
  <c r="I103" i="22" s="1"/>
  <c r="G104" i="22" l="1"/>
  <c r="I104" i="22" s="1"/>
  <c r="G105" i="22" l="1"/>
  <c r="I105" i="22" s="1"/>
  <c r="I106" i="22" s="1"/>
  <c r="I108" i="22" s="1"/>
  <c r="V27" i="22" s="1"/>
  <c r="G283" i="22"/>
  <c r="G284" i="22" s="1"/>
  <c r="G285" i="22" l="1"/>
  <c r="G286" i="22" l="1"/>
  <c r="G287" i="22" s="1"/>
  <c r="H221" i="22" l="1"/>
  <c r="H222" i="22" s="1"/>
  <c r="G179" i="22"/>
  <c r="G180" i="22" s="1"/>
  <c r="H179" i="22"/>
  <c r="H180" i="22" s="1"/>
  <c r="H181" i="22" s="1"/>
  <c r="H182" i="22" s="1"/>
  <c r="H183" i="22" s="1"/>
  <c r="H184" i="22" s="1"/>
  <c r="H185" i="22" s="1"/>
  <c r="H186" i="22" s="1"/>
  <c r="H187" i="22" s="1"/>
  <c r="H188" i="22" s="1"/>
  <c r="H189" i="22" s="1"/>
  <c r="I221" i="22" l="1"/>
  <c r="I179" i="22"/>
  <c r="H223" i="22"/>
  <c r="I223" i="22" s="1"/>
  <c r="I222" i="22"/>
  <c r="I180" i="22"/>
  <c r="G181" i="22"/>
  <c r="I181" i="22" s="1"/>
  <c r="H224" i="22" l="1"/>
  <c r="H225" i="22" s="1"/>
  <c r="G182" i="22"/>
  <c r="I182" i="22" s="1"/>
  <c r="I224" i="22" l="1"/>
  <c r="G183" i="22"/>
  <c r="I183" i="22"/>
  <c r="I225" i="22"/>
  <c r="H226" i="22"/>
  <c r="H227" i="22" l="1"/>
  <c r="I226" i="22"/>
  <c r="G184" i="22"/>
  <c r="I184" i="22" s="1"/>
  <c r="I227" i="22" l="1"/>
  <c r="H228" i="22"/>
  <c r="G185" i="22"/>
  <c r="I185" i="22" s="1"/>
  <c r="H282" i="22"/>
  <c r="I282" i="22" s="1"/>
  <c r="G288" i="22"/>
  <c r="G289" i="22" s="1"/>
  <c r="G290" i="22" s="1"/>
  <c r="G291" i="22" s="1"/>
  <c r="G292" i="22" s="1"/>
  <c r="H304" i="22"/>
  <c r="G304" i="22"/>
  <c r="G305" i="22" s="1"/>
  <c r="H283" i="22" l="1"/>
  <c r="G262" i="22"/>
  <c r="H229" i="22"/>
  <c r="I228" i="22"/>
  <c r="I304" i="22"/>
  <c r="G186" i="22"/>
  <c r="I186" i="22" s="1"/>
  <c r="G306" i="22"/>
  <c r="H305" i="22"/>
  <c r="H306" i="22" s="1"/>
  <c r="H307" i="22" s="1"/>
  <c r="H308" i="22" s="1"/>
  <c r="H309" i="22" s="1"/>
  <c r="H310" i="22" s="1"/>
  <c r="H311" i="22" s="1"/>
  <c r="H312" i="22" s="1"/>
  <c r="H313" i="22" s="1"/>
  <c r="H314" i="22" s="1"/>
  <c r="I283" i="22" l="1"/>
  <c r="H284" i="22"/>
  <c r="H230" i="22"/>
  <c r="I229" i="22"/>
  <c r="G187" i="22"/>
  <c r="I187" i="22" s="1"/>
  <c r="I305" i="22"/>
  <c r="G307" i="22"/>
  <c r="I307" i="22" s="1"/>
  <c r="I306" i="22"/>
  <c r="H285" i="22" l="1"/>
  <c r="I284" i="22"/>
  <c r="G263" i="22"/>
  <c r="H231" i="22"/>
  <c r="I231" i="22" s="1"/>
  <c r="I230" i="22"/>
  <c r="G188" i="22"/>
  <c r="I188" i="22" s="1"/>
  <c r="G308" i="22"/>
  <c r="I308" i="22" s="1"/>
  <c r="G264" i="22" l="1"/>
  <c r="I232" i="22"/>
  <c r="I234" i="22" s="1"/>
  <c r="X28" i="22" s="1"/>
  <c r="I285" i="22"/>
  <c r="H286" i="22"/>
  <c r="G189" i="22"/>
  <c r="I189" i="22" s="1"/>
  <c r="I190" i="22" s="1"/>
  <c r="I192" i="22" s="1"/>
  <c r="V28" i="22" s="1"/>
  <c r="G309" i="22"/>
  <c r="I309" i="22" s="1"/>
  <c r="I286" i="22" l="1"/>
  <c r="H287" i="22"/>
  <c r="G265" i="22"/>
  <c r="G310" i="22"/>
  <c r="I310" i="22" s="1"/>
  <c r="I287" i="22" l="1"/>
  <c r="H288" i="22"/>
  <c r="G311" i="22"/>
  <c r="I311" i="22" s="1"/>
  <c r="I288" i="22" l="1"/>
  <c r="H289" i="22"/>
  <c r="G312" i="22"/>
  <c r="I312" i="22" s="1"/>
  <c r="H290" i="22" l="1"/>
  <c r="I289" i="22"/>
  <c r="G313" i="22"/>
  <c r="H291" i="22" l="1"/>
  <c r="I290" i="22"/>
  <c r="G314" i="22"/>
  <c r="I314" i="22" s="1"/>
  <c r="I313" i="22"/>
  <c r="H349" i="22"/>
  <c r="H350" i="22" s="1"/>
  <c r="H351" i="22" s="1"/>
  <c r="H352" i="22" s="1"/>
  <c r="H353" i="22" s="1"/>
  <c r="H354" i="22" s="1"/>
  <c r="H355" i="22" s="1"/>
  <c r="H356" i="22" s="1"/>
  <c r="H357" i="22" s="1"/>
  <c r="H358" i="22" s="1"/>
  <c r="H359" i="22" s="1"/>
  <c r="G349" i="22"/>
  <c r="G350" i="22" s="1"/>
  <c r="I291" i="22" l="1"/>
  <c r="H292" i="22"/>
  <c r="I292" i="22" s="1"/>
  <c r="I349" i="22"/>
  <c r="I315" i="22"/>
  <c r="I317" i="22" s="1"/>
  <c r="G351" i="22"/>
  <c r="I350" i="22"/>
  <c r="I293" i="22" l="1"/>
  <c r="I295" i="22" s="1"/>
  <c r="G352" i="22"/>
  <c r="I351" i="22"/>
  <c r="G353" i="22" l="1"/>
  <c r="I352" i="22"/>
  <c r="G354" i="22" l="1"/>
  <c r="I353" i="22"/>
  <c r="G355" i="22" l="1"/>
  <c r="I354" i="22"/>
  <c r="G356" i="22" l="1"/>
  <c r="I355" i="22"/>
  <c r="G357" i="22" l="1"/>
  <c r="I356" i="22"/>
  <c r="G358" i="22" l="1"/>
  <c r="I357" i="22"/>
  <c r="G359" i="22" l="1"/>
  <c r="I359" i="22" s="1"/>
  <c r="I358" i="22"/>
  <c r="H10" i="38"/>
  <c r="H11" i="38"/>
  <c r="H12" i="38"/>
  <c r="H13" i="38"/>
  <c r="H14" i="38"/>
  <c r="H15" i="38"/>
  <c r="H16" i="38"/>
  <c r="H17" i="38"/>
  <c r="I17" i="38"/>
  <c r="I16" i="38"/>
  <c r="I10" i="38"/>
  <c r="I11" i="38"/>
  <c r="I12" i="38"/>
  <c r="I13" i="38"/>
  <c r="I14" i="38"/>
  <c r="I15" i="38"/>
  <c r="I18" i="38"/>
  <c r="I20" i="38"/>
  <c r="H28" i="38"/>
  <c r="H29" i="38"/>
  <c r="H30" i="38"/>
  <c r="H31" i="38"/>
  <c r="H32" i="38"/>
  <c r="H33" i="38"/>
  <c r="H34" i="38"/>
  <c r="H35" i="38"/>
  <c r="H36" i="38"/>
  <c r="H37" i="38"/>
  <c r="H38" i="38"/>
  <c r="I38" i="38"/>
  <c r="I36" i="38"/>
  <c r="I37" i="38"/>
  <c r="I34" i="38"/>
  <c r="I33" i="38"/>
  <c r="I28" i="38"/>
  <c r="I29" i="38"/>
  <c r="I30" i="38"/>
  <c r="I31" i="38"/>
  <c r="I32" i="38"/>
  <c r="I35" i="38"/>
  <c r="I39" i="38"/>
  <c r="I41" i="38"/>
  <c r="G50" i="38"/>
  <c r="I50" i="38"/>
  <c r="G51" i="38"/>
  <c r="I51" i="38"/>
  <c r="G52" i="38"/>
  <c r="I52" i="38"/>
  <c r="G53" i="38"/>
  <c r="I53" i="38"/>
  <c r="G54" i="38"/>
  <c r="I54" i="38"/>
  <c r="G55" i="38"/>
  <c r="I55" i="38"/>
  <c r="G56" i="38"/>
  <c r="I56" i="38"/>
  <c r="G57" i="38"/>
  <c r="I57" i="38"/>
  <c r="G58" i="38"/>
  <c r="I58" i="38"/>
  <c r="G59" i="38"/>
  <c r="I59" i="38"/>
  <c r="G60" i="38"/>
  <c r="I60" i="38"/>
  <c r="I61" i="38"/>
  <c r="I63" i="38"/>
  <c r="G61" i="38"/>
  <c r="H95" i="38"/>
  <c r="H96" i="38"/>
  <c r="H97" i="38"/>
  <c r="H98" i="38"/>
  <c r="H99" i="38"/>
  <c r="H100" i="38"/>
  <c r="H101" i="38"/>
  <c r="H102" i="38"/>
  <c r="H103" i="38"/>
  <c r="H104" i="38"/>
  <c r="H105" i="38"/>
  <c r="I105" i="38"/>
  <c r="I104" i="38"/>
  <c r="I101" i="38"/>
  <c r="I100" i="38"/>
  <c r="I97" i="38"/>
  <c r="I95" i="38"/>
  <c r="I99" i="38"/>
  <c r="I96" i="38"/>
  <c r="I98" i="38"/>
  <c r="I103" i="38"/>
  <c r="I102" i="38"/>
  <c r="I106" i="38"/>
  <c r="I108" i="38"/>
  <c r="H116" i="38"/>
  <c r="H117" i="38"/>
  <c r="H118" i="38"/>
  <c r="H119" i="38"/>
  <c r="H120" i="38"/>
  <c r="H121" i="38"/>
  <c r="H122" i="38"/>
  <c r="H123" i="38"/>
  <c r="H124" i="38"/>
  <c r="H125" i="38"/>
  <c r="H126" i="38"/>
  <c r="I126" i="38"/>
  <c r="I125" i="38"/>
  <c r="I124" i="38"/>
  <c r="I116" i="38"/>
  <c r="I117" i="38"/>
  <c r="I118" i="38"/>
  <c r="I119" i="38"/>
  <c r="I120" i="38"/>
  <c r="I121" i="38"/>
  <c r="I122" i="38"/>
  <c r="I123" i="38"/>
  <c r="I127" i="38"/>
  <c r="I129" i="38"/>
  <c r="H158" i="38"/>
  <c r="H159" i="38"/>
  <c r="H160" i="38"/>
  <c r="H161" i="38"/>
  <c r="H162" i="38"/>
  <c r="H163" i="38"/>
  <c r="H164" i="38"/>
  <c r="H165" i="38"/>
  <c r="H166" i="38"/>
  <c r="H167" i="38"/>
  <c r="H168" i="38"/>
  <c r="I168" i="38"/>
  <c r="I158" i="38"/>
  <c r="I159" i="38"/>
  <c r="I160" i="38"/>
  <c r="I161" i="38"/>
  <c r="I162" i="38"/>
  <c r="I163" i="38"/>
  <c r="I164" i="38"/>
  <c r="I165" i="38"/>
  <c r="I166" i="38"/>
  <c r="I167" i="38"/>
  <c r="I169" i="38"/>
  <c r="I171" i="38"/>
  <c r="H179" i="38"/>
  <c r="H180" i="38"/>
  <c r="H181" i="38"/>
  <c r="H182" i="38"/>
  <c r="H183" i="38"/>
  <c r="H184" i="38"/>
  <c r="H185" i="38"/>
  <c r="H186" i="38"/>
  <c r="H187" i="38"/>
  <c r="H188" i="38"/>
  <c r="H189" i="38"/>
  <c r="I189" i="38"/>
  <c r="I188" i="38"/>
  <c r="I187" i="38"/>
  <c r="I179" i="38"/>
  <c r="I180" i="38"/>
  <c r="I181" i="38"/>
  <c r="I182" i="38"/>
  <c r="I183" i="38"/>
  <c r="I184" i="38"/>
  <c r="I185" i="38"/>
  <c r="I186" i="38"/>
  <c r="I190" i="38"/>
  <c r="I192" i="38"/>
  <c r="H200" i="38"/>
  <c r="H201" i="38"/>
  <c r="H202" i="38"/>
  <c r="H203" i="38"/>
  <c r="H204" i="38"/>
  <c r="H205" i="38"/>
  <c r="H206" i="38"/>
  <c r="H207" i="38"/>
  <c r="H208" i="38"/>
  <c r="H209" i="38"/>
  <c r="H210" i="38"/>
  <c r="I210" i="38"/>
  <c r="I209" i="38"/>
  <c r="I200" i="38"/>
  <c r="I201" i="38"/>
  <c r="I202" i="38"/>
  <c r="I203" i="38"/>
  <c r="I204" i="38"/>
  <c r="I205" i="38"/>
  <c r="I206" i="38"/>
  <c r="I207" i="38"/>
  <c r="I208" i="38"/>
  <c r="I211" i="38"/>
  <c r="I213" i="38"/>
  <c r="H223" i="38"/>
  <c r="H224" i="38"/>
  <c r="H225" i="38"/>
  <c r="H226" i="38"/>
  <c r="H227" i="38"/>
  <c r="H228" i="38"/>
  <c r="H229" i="38"/>
  <c r="H230" i="38"/>
  <c r="H231" i="38"/>
  <c r="I231" i="38"/>
  <c r="I223" i="38"/>
  <c r="I224" i="38"/>
  <c r="I225" i="38"/>
  <c r="I226" i="38"/>
  <c r="I227" i="38"/>
  <c r="I228" i="38"/>
  <c r="I229" i="38"/>
  <c r="I230" i="38"/>
  <c r="I232" i="38"/>
  <c r="I234" i="38"/>
  <c r="H243" i="38"/>
  <c r="H244" i="38"/>
  <c r="H245" i="38"/>
  <c r="H246" i="38"/>
  <c r="H247" i="38"/>
  <c r="H248" i="38"/>
  <c r="H249" i="38"/>
  <c r="H250" i="38"/>
  <c r="H251" i="38"/>
  <c r="H252" i="38"/>
  <c r="I252" i="38"/>
  <c r="I250" i="38"/>
  <c r="I248" i="38"/>
  <c r="I247" i="38"/>
  <c r="I243" i="38"/>
  <c r="I244" i="38"/>
  <c r="I245" i="38"/>
  <c r="I246" i="38"/>
  <c r="I249" i="38"/>
  <c r="I251" i="38"/>
  <c r="I253" i="38"/>
  <c r="I255" i="38"/>
  <c r="H282" i="38"/>
  <c r="H283" i="38"/>
  <c r="H284" i="38"/>
  <c r="H285" i="38"/>
  <c r="H286" i="38"/>
  <c r="H287" i="38"/>
  <c r="H288" i="38"/>
  <c r="H289" i="38"/>
  <c r="H290" i="38"/>
  <c r="H291" i="38"/>
  <c r="H292" i="38"/>
  <c r="I292" i="38"/>
  <c r="I282" i="38"/>
  <c r="I283" i="38"/>
  <c r="I284" i="38"/>
  <c r="I285" i="38"/>
  <c r="I293" i="38" s="1"/>
  <c r="I295" i="38" s="1"/>
  <c r="I286" i="38"/>
  <c r="I287" i="38"/>
  <c r="I288" i="38"/>
  <c r="I289" i="38"/>
  <c r="I290" i="38"/>
  <c r="I291" i="38"/>
  <c r="G327" i="22"/>
  <c r="H327" i="22"/>
  <c r="H328" i="22" s="1"/>
  <c r="H329" i="22" s="1"/>
  <c r="H330" i="22" s="1"/>
  <c r="H331" i="22" s="1"/>
  <c r="H332" i="22" s="1"/>
  <c r="H333" i="22" s="1"/>
  <c r="H334" i="22" s="1"/>
  <c r="H335" i="22" s="1"/>
  <c r="I327" i="22" l="1"/>
  <c r="G328" i="22"/>
  <c r="G329" i="22" s="1"/>
  <c r="G330" i="22" s="1"/>
  <c r="I330" i="22" s="1"/>
  <c r="I360" i="22"/>
  <c r="I362" i="22" s="1"/>
  <c r="I328" i="22" l="1"/>
  <c r="I329" i="22"/>
  <c r="G331" i="22"/>
  <c r="G332" i="22" l="1"/>
  <c r="I332" i="22" s="1"/>
  <c r="I331" i="22"/>
  <c r="G333" i="22" l="1"/>
  <c r="I333" i="22" s="1"/>
  <c r="G334" i="22" l="1"/>
  <c r="I334" i="22" s="1"/>
  <c r="G335" i="22" l="1"/>
  <c r="I335" i="22" s="1"/>
  <c r="I336" i="22" s="1"/>
  <c r="I338" i="22" s="1"/>
  <c r="G71" i="22"/>
  <c r="I71" i="22" s="1"/>
  <c r="H71" i="22"/>
  <c r="H242" i="22"/>
  <c r="I242" i="22" s="1"/>
  <c r="H262" i="22"/>
  <c r="I262" i="22"/>
  <c r="H263" i="22"/>
  <c r="I263" i="22"/>
  <c r="H264" i="22"/>
  <c r="I264" i="22"/>
  <c r="H265" i="22"/>
  <c r="I265" i="22"/>
  <c r="G266" i="22"/>
  <c r="I266" i="22" s="1"/>
  <c r="H266" i="22"/>
  <c r="H267" i="22"/>
  <c r="H268" i="22"/>
  <c r="H269" i="22"/>
  <c r="H270" i="22"/>
  <c r="H271" i="22"/>
  <c r="H272" i="22"/>
  <c r="G158" i="22" l="1"/>
  <c r="G267" i="22"/>
  <c r="H243" i="22" l="1"/>
  <c r="G268" i="22"/>
  <c r="I267" i="22"/>
  <c r="G159" i="22"/>
  <c r="H244" i="22" l="1"/>
  <c r="G160" i="22"/>
  <c r="G269" i="22"/>
  <c r="I268" i="22"/>
  <c r="I270" i="22" l="1"/>
  <c r="G270" i="22"/>
  <c r="I269" i="22"/>
  <c r="G271" i="22" l="1"/>
  <c r="G272" i="22" l="1"/>
  <c r="I272" i="22"/>
  <c r="I271" i="22"/>
  <c r="I273" i="22" l="1"/>
  <c r="I275" i="22" s="1"/>
  <c r="G72" i="22"/>
  <c r="G73" i="22" l="1"/>
  <c r="G74" i="22" l="1"/>
  <c r="G243" i="22"/>
  <c r="G244" i="22" l="1"/>
  <c r="I244" i="22" s="1"/>
  <c r="I243" i="22"/>
  <c r="G75" i="22"/>
  <c r="G76" i="22" l="1"/>
  <c r="G245" i="22"/>
  <c r="G77" i="22" l="1"/>
  <c r="G78" i="22" s="1"/>
  <c r="G79" i="22" l="1"/>
  <c r="G246" i="22"/>
  <c r="G247" i="22" l="1"/>
  <c r="G80" i="22"/>
  <c r="G81" i="22" s="1"/>
  <c r="G248" i="22" l="1"/>
  <c r="G249" i="22" s="1"/>
  <c r="G250" i="22" s="1"/>
  <c r="H72" i="22"/>
  <c r="H73" i="22"/>
  <c r="H74" i="22"/>
  <c r="H75" i="22"/>
  <c r="H76" i="22"/>
  <c r="H77" i="22"/>
  <c r="H78" i="22"/>
  <c r="H79" i="22"/>
  <c r="H80" i="22"/>
  <c r="I80" i="22"/>
  <c r="I72" i="22"/>
  <c r="I73" i="22"/>
  <c r="I74" i="22"/>
  <c r="I75" i="22"/>
  <c r="I76" i="22"/>
  <c r="I77" i="22"/>
  <c r="I78" i="22"/>
  <c r="I79" i="22"/>
  <c r="H81" i="22"/>
  <c r="I81" i="22"/>
  <c r="I82" i="22"/>
  <c r="I84" i="22"/>
  <c r="Y26" i="22"/>
  <c r="H158" i="22"/>
  <c r="I158" i="22"/>
  <c r="H159" i="22"/>
  <c r="I159" i="22"/>
  <c r="H160" i="22"/>
  <c r="I160" i="22"/>
  <c r="G161" i="22"/>
  <c r="H161" i="22"/>
  <c r="I161" i="22"/>
  <c r="G162" i="22"/>
  <c r="H162" i="22"/>
  <c r="I162" i="22"/>
  <c r="G163" i="22"/>
  <c r="H163" i="22"/>
  <c r="I163" i="22"/>
  <c r="G164" i="22"/>
  <c r="H164" i="22"/>
  <c r="I164" i="22"/>
  <c r="G165" i="22"/>
  <c r="H165" i="22"/>
  <c r="I165" i="22"/>
  <c r="G166" i="22"/>
  <c r="H166" i="22"/>
  <c r="I166" i="22"/>
  <c r="G167" i="22"/>
  <c r="H167" i="22"/>
  <c r="I167" i="22"/>
  <c r="G168" i="22"/>
  <c r="H168" i="22"/>
  <c r="I168" i="22"/>
  <c r="I169" i="22"/>
  <c r="I171" i="22"/>
  <c r="Y27" i="22"/>
  <c r="G251" i="22" l="1"/>
  <c r="G252" i="22" s="1"/>
  <c r="H245" i="22"/>
  <c r="I245" i="22"/>
  <c r="H246" i="22"/>
  <c r="I246" i="22"/>
  <c r="H247" i="22"/>
  <c r="I247" i="22"/>
  <c r="H248" i="22"/>
  <c r="I248" i="22"/>
  <c r="H249" i="22"/>
  <c r="I249" i="22"/>
  <c r="H250" i="22"/>
  <c r="I250" i="22"/>
  <c r="H251" i="22"/>
  <c r="I251" i="22"/>
  <c r="H252" i="22"/>
  <c r="I252" i="22"/>
  <c r="I253" i="22"/>
  <c r="I255" i="22"/>
  <c r="Y28" i="22"/>
</calcChain>
</file>

<file path=xl/sharedStrings.xml><?xml version="1.0" encoding="utf-8"?>
<sst xmlns="http://schemas.openxmlformats.org/spreadsheetml/2006/main" count="2328" uniqueCount="220">
  <si>
    <t>Population</t>
  </si>
  <si>
    <t>Burundi</t>
  </si>
  <si>
    <t>Congo</t>
  </si>
  <si>
    <t>Egypt</t>
  </si>
  <si>
    <t>Eritrea</t>
  </si>
  <si>
    <t>Ethiopia</t>
  </si>
  <si>
    <t>Kenya</t>
  </si>
  <si>
    <t>Rwanda</t>
  </si>
  <si>
    <t>Sudan</t>
  </si>
  <si>
    <t>South Sudan</t>
  </si>
  <si>
    <t>Tanzania</t>
  </si>
  <si>
    <t>Uganda</t>
  </si>
  <si>
    <t>total</t>
  </si>
  <si>
    <t>Total</t>
  </si>
  <si>
    <t xml:space="preserve">Countries </t>
  </si>
  <si>
    <t xml:space="preserve"> </t>
  </si>
  <si>
    <t>AW %</t>
  </si>
  <si>
    <t>Population %</t>
  </si>
  <si>
    <t>Cumulative AW%</t>
  </si>
  <si>
    <t>Commulative Pop %</t>
  </si>
  <si>
    <t>Countries</t>
  </si>
  <si>
    <t>Area under Lorenz Curve (B)</t>
  </si>
  <si>
    <t>Area %</t>
  </si>
  <si>
    <t>Normalization of data</t>
  </si>
  <si>
    <t>A= min number</t>
  </si>
  <si>
    <t xml:space="preserve">B= max number </t>
  </si>
  <si>
    <t>a= min range</t>
  </si>
  <si>
    <t>a+(x-A)(b-a) / (B-A)</t>
  </si>
  <si>
    <t>Precipitation mm/y</t>
  </si>
  <si>
    <t>Actual Evapotranspiration mm/y</t>
  </si>
  <si>
    <t>P %</t>
  </si>
  <si>
    <t>Cumulative P%</t>
  </si>
  <si>
    <t>S.Sudan</t>
  </si>
  <si>
    <t>Gini C. = (1-2B)</t>
  </si>
  <si>
    <t>Gini C. =  (1-2B)</t>
  </si>
  <si>
    <t>ETa %</t>
  </si>
  <si>
    <t>Cumulative ETa%</t>
  </si>
  <si>
    <t>Gini c. =  (1-2B)</t>
  </si>
  <si>
    <t>S. Sudan</t>
  </si>
  <si>
    <t>Area (km2)</t>
  </si>
  <si>
    <t>Cropland, irrigated</t>
  </si>
  <si>
    <t>Cropland, fallow</t>
  </si>
  <si>
    <t>Gini C = (1-2B)</t>
  </si>
  <si>
    <t>Available Water (Km3/y)</t>
  </si>
  <si>
    <t>Total available water (km3/y)</t>
  </si>
  <si>
    <t>Cropland area (km2)</t>
  </si>
  <si>
    <t>Population (M)</t>
  </si>
  <si>
    <t>Precipitation (Km3/y)</t>
  </si>
  <si>
    <t>Eta (Km3/y)</t>
  </si>
  <si>
    <t>Cropland area (Km2)</t>
  </si>
  <si>
    <t xml:space="preserve">min water per capita </t>
  </si>
  <si>
    <t xml:space="preserve">min per 1 m2 cropland </t>
  </si>
  <si>
    <t>Area (Km2)</t>
  </si>
  <si>
    <t>Data for 2018</t>
  </si>
  <si>
    <t>m3/y (UN)</t>
  </si>
  <si>
    <t>Km3 to m3</t>
  </si>
  <si>
    <t>Actual ET (Km3/y)</t>
  </si>
  <si>
    <t>Internal AW (Km3/y)</t>
  </si>
  <si>
    <t>External AW (Km3/y)</t>
  </si>
  <si>
    <t>Total AW (Km3/y)</t>
  </si>
  <si>
    <t>Area in the basin (Km2)</t>
  </si>
  <si>
    <t>Country</t>
  </si>
  <si>
    <t>Km2 to m2</t>
  </si>
  <si>
    <t>Cropland, rainfed (Km2)</t>
  </si>
  <si>
    <t>Cropland, irrigated (Km2)</t>
  </si>
  <si>
    <t xml:space="preserve"> m3/y (FAO)</t>
  </si>
  <si>
    <t>min per 1 Km2 cropland</t>
  </si>
  <si>
    <t>m3/y</t>
  </si>
  <si>
    <t>Km3/y</t>
  </si>
  <si>
    <t>min water per million</t>
  </si>
  <si>
    <t>Demand Rinfed (Km3/y)</t>
  </si>
  <si>
    <t>Demand irrigated (Km3/y)</t>
  </si>
  <si>
    <t>Demand pop (Km3/y)</t>
  </si>
  <si>
    <t>Calculating (Demand - Supply) in terms of population</t>
  </si>
  <si>
    <t>D-P for rainfed (Km3)</t>
  </si>
  <si>
    <t>D-P for irrigated (Km3)</t>
  </si>
  <si>
    <t>D- Total AW for irrigated (Km3)</t>
  </si>
  <si>
    <t>D- AW for irrigated (Km3)</t>
  </si>
  <si>
    <t>Demand Crop total (Km3/y)</t>
  </si>
  <si>
    <t>D-P (Km3)</t>
  </si>
  <si>
    <t>D-Eta (Km3)</t>
  </si>
  <si>
    <t>D- AW (Km3)</t>
  </si>
  <si>
    <t>D- Total AW (Km3)</t>
  </si>
  <si>
    <t>D-P in terms of population</t>
  </si>
  <si>
    <t xml:space="preserve">b= max range </t>
  </si>
  <si>
    <t>Envy Freeness Calculation for D-P in terms of population</t>
  </si>
  <si>
    <t>km3 to m3</t>
  </si>
  <si>
    <t xml:space="preserve">Cropland, rainfed </t>
  </si>
  <si>
    <t>Land Cover Classification (Km2)</t>
  </si>
  <si>
    <t>Cropland total (Km2)</t>
  </si>
  <si>
    <t>Calculating (Demand - Supply) in terms of cropland area</t>
  </si>
  <si>
    <t>Normalized Envy Freeness Calculation for D-P in terms of population</t>
  </si>
  <si>
    <t>Envy Freeness Calculation for D-Internal_AW in terms of population</t>
  </si>
  <si>
    <t>Normalized Envy Freeness Calculation for D-Internal_AW in terms of population</t>
  </si>
  <si>
    <t>Envy Freeness Calculation for D-Total_AW in terms of population</t>
  </si>
  <si>
    <t>Normalized Envy Freeness Calculation for D-Total_AW in terms of population</t>
  </si>
  <si>
    <t>In terms of Population</t>
  </si>
  <si>
    <t>In terms of Cropland Area</t>
  </si>
  <si>
    <t>Envy Freeness Calculation for D-P in terms of Rainfed Cropland area</t>
  </si>
  <si>
    <t>Normalized Envy Freeness Calculation for D-P in terms of Rainfed Cropland area</t>
  </si>
  <si>
    <t>Envy Freeness Calculation for D-P in terms of Irrigated Cropland area</t>
  </si>
  <si>
    <t>Envy Freeness Calculation for D-AW in terms of Irrigated Cropland area</t>
  </si>
  <si>
    <t>Normalized Envy Freeness Calculation for D-P in terms of Irrigated Cropland area</t>
  </si>
  <si>
    <t>Normalized Envy Freeness Calculation for D-AW in terms of Irrigated Cropland area</t>
  </si>
  <si>
    <t>Envy Freeness Calculation for D-Total_AW in terms of Irrigated Cropland area</t>
  </si>
  <si>
    <t>Normalized Envy Freeness Calculation for D-Total_AW in terms of Irrigated Cropland area</t>
  </si>
  <si>
    <t>Total_AW%</t>
  </si>
  <si>
    <t>Cumulative of Total_AW%</t>
  </si>
  <si>
    <t>Total_AW% (Km3/y)</t>
  </si>
  <si>
    <t>In terms of Area of the country in the basin</t>
  </si>
  <si>
    <t>Gini C. of precipitation (P) in terms of population</t>
  </si>
  <si>
    <t>Gini C. of actual evapotranspiration (ETa) in terms of population</t>
  </si>
  <si>
    <t>ETa (Km3/y)</t>
  </si>
  <si>
    <t>Gini C. of total available water (Total_AW) in terms of population</t>
  </si>
  <si>
    <t>Gini C. of precipitation (P) in terms of cropland area</t>
  </si>
  <si>
    <t>Gini C. of actual evapotranspiration (ETa) in terms of cropland area</t>
  </si>
  <si>
    <t>Gini C. of total available water (Total_AW) in terms of cropland area</t>
  </si>
  <si>
    <t>Envy Freeness Calculation for D-ETa in terms of population</t>
  </si>
  <si>
    <t>Normalized Envy Freeness Calculation for D-ETa in terms of population</t>
  </si>
  <si>
    <t>Gini C. of internal available water (AW) in terms of population</t>
  </si>
  <si>
    <t>Gini C. of internal available water (AW) in terms of cropland area</t>
  </si>
  <si>
    <t xml:space="preserve"> Water equally divided to the population</t>
  </si>
  <si>
    <t xml:space="preserve">Scenario 2: Total available water divided equally per capita/per area in the basin </t>
  </si>
  <si>
    <t>Population (D-Taw)</t>
  </si>
  <si>
    <t>Irrigatet cropland (D-Taw)</t>
  </si>
  <si>
    <t xml:space="preserve"> T_aw per Population</t>
  </si>
  <si>
    <t>T_aw per cropland area</t>
  </si>
  <si>
    <t>Gini C. of total available water (Total_AW) equally divided in terms of cropland area</t>
  </si>
  <si>
    <t>Gini C. of total available water (Total_AW) equally divided in terms of population</t>
  </si>
  <si>
    <t>Population in the basin (million)</t>
  </si>
  <si>
    <t>Gini C. of total available water (Total_AW) divided to total population of countries</t>
  </si>
  <si>
    <t xml:space="preserve">Scenario 1: Total available water divided equally per capita/per area in the basin </t>
  </si>
  <si>
    <t xml:space="preserve">Scenario 3: Total available water divided to population growth by 2050 </t>
  </si>
  <si>
    <t xml:space="preserve">In terms of cropland  area </t>
  </si>
  <si>
    <t>Gini C. of precipitation (P) in terms of country area in the basin</t>
  </si>
  <si>
    <t xml:space="preserve"> Area (Km2)</t>
  </si>
  <si>
    <t>Cumulative Pop %</t>
  </si>
  <si>
    <t>Cumulative Area %</t>
  </si>
  <si>
    <t>Gini C. of total available water (Total_AW) in terms of country area in the basin</t>
  </si>
  <si>
    <t>Gini C. of internal available water (AW) in terms of country area in the basin</t>
  </si>
  <si>
    <t>Gini C. of actual evapotranspiration (ETa) in terms of country area in the basin</t>
  </si>
  <si>
    <t xml:space="preserve">Scenario 2: Total available water divided equally  to 11 countries in the basin </t>
  </si>
  <si>
    <t>Scenario 2</t>
  </si>
  <si>
    <t>Scenario 1</t>
  </si>
  <si>
    <t xml:space="preserve">countries </t>
  </si>
  <si>
    <t xml:space="preserve">Total_AW </t>
  </si>
  <si>
    <t xml:space="preserve">Total AW equally divided to 11 countries </t>
  </si>
  <si>
    <t>Gini C. of total available water (Total_AW) divided to 11 countries in terms of population</t>
  </si>
  <si>
    <t>Gini C. of total available water (Total_AW) equally divided to 11 countries (area)</t>
  </si>
  <si>
    <t xml:space="preserve"> Area (km2)</t>
  </si>
  <si>
    <t>Data for 2017</t>
  </si>
  <si>
    <t>Cropland area</t>
  </si>
  <si>
    <t>Precipitation</t>
  </si>
  <si>
    <t>Internal AW</t>
  </si>
  <si>
    <t>Total AW</t>
  </si>
  <si>
    <t>Eta</t>
  </si>
  <si>
    <t xml:space="preserve">Country area </t>
  </si>
  <si>
    <t>Precipitation km3/y</t>
  </si>
  <si>
    <t>Actual Evapotranspiration km3/y</t>
  </si>
  <si>
    <t>Available water km3/y</t>
  </si>
  <si>
    <t>No</t>
  </si>
  <si>
    <t>C_P</t>
  </si>
  <si>
    <t>C_Eta</t>
  </si>
  <si>
    <t>C_pop</t>
  </si>
  <si>
    <t>C_AW</t>
  </si>
  <si>
    <t>C_TAW</t>
  </si>
  <si>
    <t>C_Pop</t>
  </si>
  <si>
    <t>Growth rate</t>
  </si>
  <si>
    <t>Total available water km3/y</t>
  </si>
  <si>
    <t>C_area</t>
  </si>
  <si>
    <t>Country order based on each variable for population criterion</t>
  </si>
  <si>
    <t>Country order based on each variable for cropland area criterion</t>
  </si>
  <si>
    <t>Country order based on each variable for country area criterion</t>
  </si>
  <si>
    <t>C_CLA</t>
  </si>
  <si>
    <t> A finite amount of water resources stands to be used by a population that is  increasing by 2–3% annually.</t>
  </si>
  <si>
    <t>The Nile countries’ national socio-economic and political capacity to find alternatives to present water use trends is limited.</t>
  </si>
  <si>
    <t>There is no agreement on water allocation between the riparian countries that  is accepted by all. Egypt and Sudan uphold the principle of “acquired rights”  and the validity of the Agreement of 959, the upstream countries seek to negotiate a new Nile waters agreement</t>
  </si>
  <si>
    <t>International investment in water resource development has been blocked, due  to disagreement between the countries.</t>
  </si>
  <si>
    <t>The downstream countries are concerned about a decrease in water flow due  to upstream water resource development.</t>
  </si>
  <si>
    <t>The upstream countries are concerned about the downstream countries hindering their water resource development.</t>
  </si>
  <si>
    <t>There have been diplomatic tensions and instances of threatening and concerned rhetoric between the countries of the Nile, especially between Egypt and Ethiopia.</t>
  </si>
  <si>
    <t>Treaty between Ethiopia and the Great Britain on the Delineation of the Frontier between Ethiopia and Sudan: Addis Ababa. Ethiopia, 15th May 1902.</t>
  </si>
  <si>
    <t>ILA (2004) The Berlin rules on water resources Report of the Seventy-First Conference, Berlin (London: International Law Association).</t>
  </si>
  <si>
    <t>Protocols between Great Britain and Italy on the demarcation of their respective spheres of influence in East Africa:</t>
  </si>
  <si>
    <t>Date</t>
  </si>
  <si>
    <t xml:space="preserve"> 15th April 1891</t>
  </si>
  <si>
    <t xml:space="preserve"> Rome, Italy,</t>
  </si>
  <si>
    <t>Signatoreies</t>
  </si>
  <si>
    <t>15th May 1902</t>
  </si>
  <si>
    <t>7th May 1929</t>
  </si>
  <si>
    <t>8th November 1959</t>
  </si>
  <si>
    <t>1st July 1993</t>
  </si>
  <si>
    <t>14th May 2010</t>
  </si>
  <si>
    <t xml:space="preserve">Addis Ababa. Ethiopia, </t>
  </si>
  <si>
    <t>Agreement between Great Britain and the independent State of the Congo</t>
  </si>
  <si>
    <t xml:space="preserve"> 9th May 1906</t>
  </si>
  <si>
    <t>London, UK,</t>
  </si>
  <si>
    <t>Agreement between the Great Britain, France and Italy respecting Abyssinia/ Ethiopia</t>
  </si>
  <si>
    <t xml:space="preserve"> 13th December 1906</t>
  </si>
  <si>
    <t>Exchange of Notes between Great Britain and Italy respecting concessions for a barrage at Lake Tsana and a railway across Abyssinia from Eritrea to ItalianSomali land</t>
  </si>
  <si>
    <t xml:space="preserve"> 20th December 1925</t>
  </si>
  <si>
    <t xml:space="preserve"> Rome Italy</t>
  </si>
  <si>
    <t>Exchange of Notes between her Majesty’s Government in the United Kingdom and the Egyptian Government on the use of the waters of the Nile for Irrigation</t>
  </si>
  <si>
    <t>Cairo. Egypt,</t>
  </si>
  <si>
    <t>Exchange of notes constituting an agreement between the government of the United Kingdom of Great Britain and Northern Ireland and the Government of Egypt regarding the construction of the Owen Falls Dam, Uganda</t>
  </si>
  <si>
    <t>Cairo, Egypt</t>
  </si>
  <si>
    <t>Agreement between the republic of Sudan and the United Arab republic on the full utilization of the waters of the Nile</t>
  </si>
  <si>
    <t xml:space="preserve">Cairo. Egypt, </t>
  </si>
  <si>
    <t xml:space="preserve">ILA (International Law Association) Helsinki Rules on the Uses of the Waters of International Rivers Report of the Fifty-Second Conference, Helsinki, pp. 447–533 </t>
  </si>
  <si>
    <t>London: ILA</t>
  </si>
  <si>
    <t>Framework for General Cooperation between Ethiopia and the Arab Republic of Egypt</t>
  </si>
  <si>
    <t xml:space="preserve">Agreement on the Nile River basin cooperative Framework (CFA). </t>
  </si>
  <si>
    <t>Entebbe, Uganda</t>
  </si>
  <si>
    <t>Agreements</t>
  </si>
  <si>
    <t>Challenges</t>
  </si>
  <si>
    <t xml:space="preserve">Total </t>
  </si>
  <si>
    <t>Population in the basin (M)</t>
  </si>
  <si>
    <t>External generated water</t>
  </si>
  <si>
    <t>Total availabe water (internal+external)</t>
  </si>
  <si>
    <t>Internally generated available water 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</si>
</sst>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 #,##0.00_-;_-* &quot;-&quot;??_-;_-@_-"/>
    <numFmt numFmtId="164" formatCode="_(* #,##0.00_);_(* \(#,##0.00\);_(* &quot;-&quot;??_);_(@_)"/>
    <numFmt numFmtId="165" formatCode="_-* #,##0_-;\-* #,##0_-;_-* &quot;-&quot;??_-;_-@"/>
    <numFmt numFmtId="166" formatCode="0.000"/>
    <numFmt numFmtId="167" formatCode="0.0000"/>
    <numFmt numFmtId="168" formatCode="_-* #,##0_-;\-* #,##0_-;_-* &quot;-&quot;??_-;_-@_-"/>
    <numFmt numFmtId="169" formatCode="_-* #,##0.0_-;\-* #,##0.0_-;_-* &quot;-&quot;??_-;_-@_-"/>
    <numFmt numFmtId="170" formatCode="_-* #,##0_-;\-* #,##0_-;_-* &quot;-&quot;?_-;_-@_-"/>
    <numFmt numFmtId="171" formatCode="0.0"/>
    <numFmt numFmtId="172" formatCode="_(* #,##0.0000_);_(* \(#,##0.0000\);_(* &quot;-&quot;??_);_(@_)"/>
    <numFmt numFmtId="173" formatCode="_-* #,##0.00_-;\-* #,##0.00_-;_-* &quot;-&quot;??_-;_-@"/>
  </numFmts>
  <fonts count="12" x14ac:knownFonts="1">
    <font>
      <sz val="10"/>
      <color rgb="FF000000"/>
      <name val="Arial"/>
      <scheme val="minor"/>
    </font>
    <font>
      <sz val="10"/>
      <color theme="1"/>
      <name val="Arial"/>
      <family val="2"/>
      <scheme val="minor"/>
    </font>
    <font>
      <sz val="10"/>
      <color theme="1"/>
      <name val="Arial"/>
      <family val="2"/>
    </font>
    <font>
      <b/>
      <sz val="12"/>
      <color theme="1"/>
      <name val="Arial"/>
      <family val="2"/>
    </font>
    <font>
      <b/>
      <sz val="10"/>
      <color theme="1"/>
      <name val="Arial"/>
      <family val="2"/>
    </font>
    <font>
      <sz val="10"/>
      <color rgb="FF000000"/>
      <name val="Arial"/>
      <family val="2"/>
      <scheme val="minor"/>
    </font>
    <font>
      <b/>
      <sz val="10"/>
      <color rgb="FF000000"/>
      <name val="Arial"/>
      <family val="2"/>
      <scheme val="minor"/>
    </font>
    <font>
      <b/>
      <sz val="10"/>
      <color theme="1"/>
      <name val="Arial"/>
      <family val="2"/>
      <scheme val="minor"/>
    </font>
    <font>
      <sz val="10"/>
      <color rgb="FF000000"/>
      <name val="Arial"/>
      <family val="2"/>
      <scheme val="minor"/>
    </font>
    <font>
      <b/>
      <sz val="12"/>
      <color rgb="FF000000"/>
      <name val="Arial"/>
      <family val="2"/>
      <scheme val="minor"/>
    </font>
    <font>
      <sz val="12"/>
      <color rgb="FF000000"/>
      <name val="Times New Roman"/>
      <family val="1"/>
    </font>
    <font>
      <sz val="10"/>
      <color rgb="FF000000"/>
      <name val="Times New Roman"/>
      <family val="1"/>
    </font>
  </fonts>
  <fills count="11">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s>
  <borders count="12">
    <border>
      <left/>
      <right/>
      <top/>
      <bottom/>
      <diagonal/>
    </border>
    <border>
      <left/>
      <right/>
      <top/>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right style="thin">
        <color indexed="64"/>
      </right>
      <top style="medium">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
      <left/>
      <right/>
      <top style="thin">
        <color indexed="64"/>
      </top>
      <bottom style="thin">
        <color indexed="64"/>
      </bottom>
      <diagonal/>
    </border>
  </borders>
  <cellStyleXfs count="2">
    <xf numFmtId="0" fontId="0" fillId="0" borderId="0"/>
    <xf numFmtId="43" fontId="8" fillId="0" borderId="0" applyFont="0" applyFill="0" applyBorder="0" applyAlignment="0" applyProtection="0"/>
  </cellStyleXfs>
  <cellXfs count="221">
    <xf numFmtId="0" fontId="0" fillId="0" borderId="0" xfId="0" applyFont="1" applyAlignment="1"/>
    <xf numFmtId="165" fontId="2" fillId="0" borderId="0" xfId="0" applyNumberFormat="1" applyFont="1"/>
    <xf numFmtId="0" fontId="0" fillId="0" borderId="0" xfId="0" applyFont="1" applyAlignment="1"/>
    <xf numFmtId="0" fontId="5" fillId="0" borderId="0" xfId="0" applyFont="1" applyAlignment="1"/>
    <xf numFmtId="0" fontId="0" fillId="0" borderId="1" xfId="0" applyFont="1" applyFill="1" applyBorder="1" applyAlignment="1"/>
    <xf numFmtId="0" fontId="0" fillId="0" borderId="1" xfId="0" applyFont="1" applyBorder="1" applyAlignment="1"/>
    <xf numFmtId="165" fontId="2" fillId="0" borderId="2" xfId="0" applyNumberFormat="1" applyFont="1" applyFill="1" applyBorder="1"/>
    <xf numFmtId="0" fontId="0" fillId="0" borderId="2" xfId="0" applyFont="1" applyFill="1" applyBorder="1" applyAlignment="1"/>
    <xf numFmtId="0" fontId="0" fillId="0" borderId="0" xfId="0" applyFont="1" applyAlignment="1">
      <alignment horizontal="center" vertical="center"/>
    </xf>
    <xf numFmtId="167" fontId="0" fillId="0" borderId="1" xfId="0" applyNumberFormat="1" applyFont="1" applyFill="1" applyBorder="1" applyAlignment="1"/>
    <xf numFmtId="0" fontId="0" fillId="0" borderId="0" xfId="0"/>
    <xf numFmtId="168" fontId="0" fillId="0" borderId="0" xfId="1" applyNumberFormat="1" applyFont="1"/>
    <xf numFmtId="43" fontId="0" fillId="0" borderId="0" xfId="1" applyNumberFormat="1" applyFont="1"/>
    <xf numFmtId="0" fontId="5" fillId="0" borderId="0" xfId="0" applyFont="1"/>
    <xf numFmtId="168" fontId="0" fillId="0" borderId="0" xfId="1" applyNumberFormat="1" applyFont="1" applyAlignment="1"/>
    <xf numFmtId="168" fontId="0" fillId="0" borderId="0" xfId="0" applyNumberFormat="1" applyFont="1" applyAlignment="1"/>
    <xf numFmtId="0" fontId="0" fillId="0" borderId="0" xfId="0" applyFont="1" applyAlignment="1">
      <alignment horizontal="center" vertical="center" wrapText="1"/>
    </xf>
    <xf numFmtId="1" fontId="0" fillId="0" borderId="0" xfId="0" applyNumberFormat="1" applyFont="1" applyAlignment="1"/>
    <xf numFmtId="0" fontId="6" fillId="0" borderId="0" xfId="0" applyFont="1" applyAlignment="1"/>
    <xf numFmtId="43" fontId="0" fillId="0" borderId="0" xfId="1" applyFont="1" applyAlignment="1"/>
    <xf numFmtId="165" fontId="0" fillId="0" borderId="0" xfId="0" applyNumberFormat="1" applyFont="1" applyAlignment="1"/>
    <xf numFmtId="0" fontId="4" fillId="0" borderId="1" xfId="0" applyFont="1" applyFill="1" applyBorder="1"/>
    <xf numFmtId="0" fontId="4" fillId="0" borderId="3" xfId="0" applyFont="1" applyFill="1" applyBorder="1"/>
    <xf numFmtId="0" fontId="0" fillId="0" borderId="3" xfId="0" applyFont="1" applyBorder="1" applyAlignment="1"/>
    <xf numFmtId="0" fontId="5" fillId="0" borderId="3" xfId="0" applyFont="1" applyFill="1" applyBorder="1" applyAlignment="1"/>
    <xf numFmtId="0" fontId="7" fillId="0" borderId="1" xfId="0" applyFont="1" applyFill="1" applyBorder="1" applyAlignment="1">
      <alignment horizontal="center" vertical="center" wrapText="1"/>
    </xf>
    <xf numFmtId="0" fontId="1" fillId="0" borderId="1" xfId="0" applyFont="1" applyFill="1" applyBorder="1"/>
    <xf numFmtId="166" fontId="1" fillId="0" borderId="1" xfId="0" applyNumberFormat="1" applyFont="1" applyFill="1" applyBorder="1"/>
    <xf numFmtId="167" fontId="1" fillId="0" borderId="1" xfId="0" applyNumberFormat="1" applyFont="1" applyFill="1" applyBorder="1"/>
    <xf numFmtId="165" fontId="2" fillId="0" borderId="1" xfId="0" applyNumberFormat="1" applyFont="1" applyFill="1" applyBorder="1"/>
    <xf numFmtId="0" fontId="6" fillId="0"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165" fontId="2" fillId="0" borderId="3" xfId="0" applyNumberFormat="1" applyFont="1" applyFill="1" applyBorder="1"/>
    <xf numFmtId="166" fontId="1" fillId="0" borderId="3" xfId="0" applyNumberFormat="1" applyFont="1" applyFill="1" applyBorder="1"/>
    <xf numFmtId="167" fontId="1" fillId="0" borderId="3" xfId="0" applyNumberFormat="1" applyFont="1" applyFill="1" applyBorder="1"/>
    <xf numFmtId="0" fontId="6" fillId="0" borderId="2" xfId="0" applyFont="1" applyFill="1" applyBorder="1" applyAlignment="1"/>
    <xf numFmtId="0" fontId="6"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6" fillId="0" borderId="3" xfId="0" applyFont="1" applyFill="1" applyBorder="1" applyAlignment="1"/>
    <xf numFmtId="0" fontId="1" fillId="0" borderId="3" xfId="0" applyFont="1" applyFill="1" applyBorder="1"/>
    <xf numFmtId="0" fontId="0" fillId="0" borderId="3" xfId="0" applyFont="1" applyFill="1" applyBorder="1" applyAlignment="1"/>
    <xf numFmtId="0" fontId="6" fillId="0" borderId="0" xfId="0" applyFont="1" applyAlignment="1">
      <alignment wrapText="1"/>
    </xf>
    <xf numFmtId="0" fontId="0" fillId="0" borderId="0" xfId="0" applyFont="1" applyAlignment="1">
      <alignment wrapText="1"/>
    </xf>
    <xf numFmtId="0" fontId="6" fillId="0" borderId="3" xfId="0" applyFont="1" applyBorder="1" applyAlignment="1"/>
    <xf numFmtId="168" fontId="2" fillId="0" borderId="1" xfId="1" applyNumberFormat="1" applyFont="1" applyFill="1" applyBorder="1" applyAlignment="1">
      <alignment horizontal="right"/>
    </xf>
    <xf numFmtId="43" fontId="0" fillId="0" borderId="0" xfId="0" applyNumberFormat="1" applyFont="1" applyAlignment="1"/>
    <xf numFmtId="43" fontId="0" fillId="0" borderId="0" xfId="1" applyFont="1"/>
    <xf numFmtId="169" fontId="0" fillId="0" borderId="0" xfId="1" applyNumberFormat="1" applyFont="1"/>
    <xf numFmtId="0" fontId="6" fillId="0" borderId="1" xfId="0" applyFont="1" applyFill="1" applyBorder="1" applyAlignment="1"/>
    <xf numFmtId="0" fontId="5" fillId="2" borderId="2" xfId="0" applyFont="1" applyFill="1" applyBorder="1" applyAlignment="1"/>
    <xf numFmtId="2" fontId="1" fillId="0" borderId="1" xfId="0" applyNumberFormat="1" applyFont="1" applyFill="1" applyBorder="1"/>
    <xf numFmtId="2" fontId="0" fillId="0" borderId="1" xfId="0" applyNumberFormat="1" applyFont="1" applyFill="1" applyBorder="1" applyAlignment="1"/>
    <xf numFmtId="2" fontId="1" fillId="0" borderId="3" xfId="0" applyNumberFormat="1" applyFont="1" applyFill="1" applyBorder="1"/>
    <xf numFmtId="2" fontId="0" fillId="0" borderId="3" xfId="0" applyNumberFormat="1" applyFont="1" applyFill="1" applyBorder="1" applyAlignment="1"/>
    <xf numFmtId="2" fontId="0" fillId="0" borderId="2" xfId="0" applyNumberFormat="1" applyFont="1" applyFill="1" applyBorder="1" applyAlignment="1"/>
    <xf numFmtId="0" fontId="6" fillId="0" borderId="0" xfId="0" applyFont="1" applyBorder="1" applyAlignment="1"/>
    <xf numFmtId="2" fontId="0" fillId="0" borderId="1" xfId="0" applyNumberFormat="1" applyFont="1" applyBorder="1" applyAlignment="1"/>
    <xf numFmtId="2" fontId="5" fillId="0" borderId="3" xfId="0" applyNumberFormat="1" applyFont="1" applyFill="1" applyBorder="1" applyAlignment="1"/>
    <xf numFmtId="2" fontId="5" fillId="2" borderId="3" xfId="0" applyNumberFormat="1" applyFont="1" applyFill="1" applyBorder="1" applyAlignment="1"/>
    <xf numFmtId="2" fontId="0" fillId="2" borderId="3" xfId="0" applyNumberFormat="1" applyFont="1" applyFill="1" applyBorder="1" applyAlignment="1"/>
    <xf numFmtId="2" fontId="1" fillId="0" borderId="2" xfId="0" applyNumberFormat="1" applyFont="1" applyFill="1" applyBorder="1"/>
    <xf numFmtId="2" fontId="0" fillId="0" borderId="0" xfId="0" applyNumberFormat="1" applyFont="1" applyAlignment="1"/>
    <xf numFmtId="2" fontId="0" fillId="2" borderId="2" xfId="0" applyNumberFormat="1" applyFont="1" applyFill="1" applyBorder="1" applyAlignment="1"/>
    <xf numFmtId="0" fontId="3" fillId="0" borderId="1" xfId="0" applyFont="1" applyBorder="1" applyAlignment="1">
      <alignment horizontal="center"/>
    </xf>
    <xf numFmtId="0" fontId="0" fillId="0" borderId="0" xfId="0" applyFont="1" applyAlignment="1">
      <alignment horizontal="center" vertical="top" wrapText="1"/>
    </xf>
    <xf numFmtId="0" fontId="6" fillId="0" borderId="0" xfId="0" applyFont="1" applyAlignment="1">
      <alignment horizontal="center" vertical="top" wrapText="1"/>
    </xf>
    <xf numFmtId="0" fontId="5" fillId="0" borderId="1" xfId="0" applyFont="1" applyBorder="1" applyAlignment="1"/>
    <xf numFmtId="0" fontId="6" fillId="0" borderId="1" xfId="0" applyFont="1" applyBorder="1" applyAlignment="1"/>
    <xf numFmtId="0" fontId="2" fillId="0" borderId="2" xfId="0" applyFont="1" applyFill="1" applyBorder="1" applyAlignment="1">
      <alignment vertical="center" wrapText="1"/>
    </xf>
    <xf numFmtId="0" fontId="4" fillId="0" borderId="2" xfId="0" applyFont="1" applyFill="1" applyBorder="1"/>
    <xf numFmtId="0" fontId="6" fillId="0" borderId="1" xfId="0" applyFont="1" applyBorder="1" applyAlignment="1">
      <alignment horizontal="center" vertical="center" wrapText="1"/>
    </xf>
    <xf numFmtId="168" fontId="0" fillId="0" borderId="1" xfId="1" applyNumberFormat="1" applyFont="1" applyBorder="1" applyAlignment="1"/>
    <xf numFmtId="43" fontId="0" fillId="0" borderId="1" xfId="1" applyNumberFormat="1" applyFont="1" applyBorder="1" applyAlignment="1"/>
    <xf numFmtId="169" fontId="0" fillId="0" borderId="1" xfId="1" applyNumberFormat="1" applyFont="1" applyBorder="1" applyAlignment="1"/>
    <xf numFmtId="172" fontId="5" fillId="0" borderId="0" xfId="0" applyNumberFormat="1" applyFont="1" applyAlignment="1"/>
    <xf numFmtId="164" fontId="0" fillId="0" borderId="0" xfId="0" applyNumberFormat="1" applyFont="1" applyAlignment="1"/>
    <xf numFmtId="169" fontId="0" fillId="0" borderId="0" xfId="0" applyNumberFormat="1" applyFont="1" applyAlignment="1"/>
    <xf numFmtId="0" fontId="4" fillId="0" borderId="1" xfId="0" applyFont="1" applyFill="1" applyBorder="1" applyAlignment="1">
      <alignment vertical="center"/>
    </xf>
    <xf numFmtId="0" fontId="4" fillId="0" borderId="3" xfId="0" applyFont="1" applyFill="1" applyBorder="1" applyAlignment="1">
      <alignment vertical="center"/>
    </xf>
    <xf numFmtId="0" fontId="4" fillId="3" borderId="3" xfId="0" applyFont="1" applyFill="1" applyBorder="1"/>
    <xf numFmtId="168" fontId="0" fillId="5" borderId="1" xfId="1" applyNumberFormat="1" applyFont="1" applyFill="1" applyBorder="1" applyAlignment="1"/>
    <xf numFmtId="168" fontId="0" fillId="5" borderId="3" xfId="1" applyNumberFormat="1" applyFont="1" applyFill="1" applyBorder="1" applyAlignment="1"/>
    <xf numFmtId="0" fontId="6" fillId="5"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0" xfId="0" applyFont="1" applyFill="1" applyAlignment="1"/>
    <xf numFmtId="168" fontId="0" fillId="2" borderId="0" xfId="1" applyNumberFormat="1" applyFont="1" applyFill="1" applyAlignment="1"/>
    <xf numFmtId="168" fontId="0" fillId="2" borderId="1" xfId="1" applyNumberFormat="1" applyFont="1" applyFill="1" applyBorder="1" applyAlignment="1"/>
    <xf numFmtId="168" fontId="0" fillId="2" borderId="0" xfId="0" applyNumberFormat="1" applyFont="1" applyFill="1" applyAlignment="1"/>
    <xf numFmtId="0" fontId="6" fillId="2" borderId="3" xfId="0" applyFont="1" applyFill="1" applyBorder="1" applyAlignment="1"/>
    <xf numFmtId="168" fontId="0" fillId="2" borderId="3" xfId="1" applyNumberFormat="1" applyFont="1" applyFill="1" applyBorder="1" applyAlignment="1"/>
    <xf numFmtId="169" fontId="0" fillId="2" borderId="0" xfId="0" applyNumberFormat="1" applyFont="1" applyFill="1" applyAlignment="1"/>
    <xf numFmtId="168" fontId="0" fillId="2" borderId="3" xfId="0" applyNumberFormat="1" applyFont="1" applyFill="1" applyBorder="1" applyAlignment="1"/>
    <xf numFmtId="169" fontId="0" fillId="2" borderId="3" xfId="0" applyNumberFormat="1" applyFont="1" applyFill="1" applyBorder="1" applyAlignment="1"/>
    <xf numFmtId="170" fontId="0" fillId="2" borderId="0" xfId="0" applyNumberFormat="1" applyFont="1" applyFill="1" applyAlignment="1"/>
    <xf numFmtId="170" fontId="0" fillId="2" borderId="3" xfId="0" applyNumberFormat="1" applyFont="1" applyFill="1" applyBorder="1" applyAlignment="1"/>
    <xf numFmtId="0" fontId="2" fillId="4" borderId="1" xfId="0" applyFont="1" applyFill="1" applyBorder="1" applyAlignment="1">
      <alignment vertical="center"/>
    </xf>
    <xf numFmtId="0" fontId="4" fillId="4" borderId="1" xfId="0" applyFont="1" applyFill="1" applyBorder="1" applyAlignment="1">
      <alignment vertical="center" wrapText="1"/>
    </xf>
    <xf numFmtId="165" fontId="2" fillId="5" borderId="1" xfId="0" applyNumberFormat="1" applyFont="1" applyFill="1" applyBorder="1"/>
    <xf numFmtId="165" fontId="2" fillId="5" borderId="3" xfId="0" applyNumberFormat="1" applyFont="1" applyFill="1" applyBorder="1"/>
    <xf numFmtId="171" fontId="2" fillId="0" borderId="1" xfId="0" applyNumberFormat="1" applyFont="1" applyFill="1" applyBorder="1" applyAlignment="1">
      <alignment horizontal="right"/>
    </xf>
    <xf numFmtId="171" fontId="2" fillId="0" borderId="3" xfId="0" applyNumberFormat="1" applyFont="1" applyFill="1" applyBorder="1" applyAlignment="1">
      <alignment horizontal="right"/>
    </xf>
    <xf numFmtId="0" fontId="6" fillId="0" borderId="1" xfId="0" applyFont="1" applyBorder="1" applyAlignment="1">
      <alignment wrapText="1"/>
    </xf>
    <xf numFmtId="43" fontId="0" fillId="0" borderId="1" xfId="0" applyNumberFormat="1" applyFont="1" applyBorder="1" applyAlignment="1"/>
    <xf numFmtId="168" fontId="0" fillId="0" borderId="1" xfId="0" applyNumberFormat="1" applyFont="1" applyBorder="1" applyAlignment="1"/>
    <xf numFmtId="0" fontId="6" fillId="0" borderId="0" xfId="0" applyFont="1" applyAlignment="1">
      <alignment horizontal="left" vertical="center" wrapText="1"/>
    </xf>
    <xf numFmtId="0" fontId="6" fillId="0" borderId="0" xfId="0" applyFont="1" applyAlignment="1">
      <alignment horizontal="left" vertical="center"/>
    </xf>
    <xf numFmtId="0" fontId="0" fillId="0" borderId="0" xfId="0" applyFont="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center" vertical="center"/>
    </xf>
    <xf numFmtId="0" fontId="6" fillId="2" borderId="3" xfId="0" applyFont="1" applyFill="1" applyBorder="1" applyAlignment="1">
      <alignment horizontal="center" vertical="center"/>
    </xf>
    <xf numFmtId="0" fontId="0" fillId="0" borderId="0" xfId="0" applyFont="1" applyFill="1" applyAlignment="1">
      <alignment horizontal="center" vertical="center" wrapText="1"/>
    </xf>
    <xf numFmtId="173" fontId="2" fillId="0" borderId="2" xfId="0" applyNumberFormat="1" applyFont="1" applyFill="1" applyBorder="1"/>
    <xf numFmtId="0" fontId="5" fillId="2" borderId="1" xfId="0" applyFont="1" applyFill="1" applyBorder="1" applyAlignment="1"/>
    <xf numFmtId="2" fontId="0" fillId="2" borderId="1" xfId="0" applyNumberFormat="1" applyFont="1" applyFill="1" applyBorder="1" applyAlignment="1"/>
    <xf numFmtId="43" fontId="0" fillId="2" borderId="1" xfId="0" applyNumberFormat="1" applyFont="1" applyFill="1" applyBorder="1" applyAlignment="1">
      <alignment horizontal="center" vertical="center" wrapText="1"/>
    </xf>
    <xf numFmtId="43" fontId="0" fillId="2" borderId="3" xfId="0" applyNumberFormat="1" applyFont="1" applyFill="1" applyBorder="1" applyAlignment="1">
      <alignment horizontal="center" vertical="center" wrapText="1"/>
    </xf>
    <xf numFmtId="0" fontId="6" fillId="2" borderId="0" xfId="0" applyFont="1" applyFill="1" applyBorder="1" applyAlignment="1"/>
    <xf numFmtId="0" fontId="9" fillId="8" borderId="0" xfId="0" applyFont="1" applyFill="1" applyAlignment="1">
      <alignment vertical="center"/>
    </xf>
    <xf numFmtId="0" fontId="0" fillId="8" borderId="0" xfId="0" applyFont="1" applyFill="1" applyAlignment="1"/>
    <xf numFmtId="43" fontId="0" fillId="2" borderId="0" xfId="0" applyNumberFormat="1" applyFont="1" applyFill="1" applyAlignment="1"/>
    <xf numFmtId="0" fontId="6" fillId="2" borderId="2" xfId="0" applyFont="1" applyFill="1" applyBorder="1" applyAlignment="1">
      <alignment horizontal="center" vertical="center" wrapText="1"/>
    </xf>
    <xf numFmtId="43" fontId="0" fillId="2" borderId="3" xfId="0" applyNumberFormat="1" applyFont="1" applyFill="1" applyBorder="1" applyAlignment="1"/>
    <xf numFmtId="43" fontId="0" fillId="2" borderId="2" xfId="0" applyNumberFormat="1" applyFont="1" applyFill="1" applyBorder="1" applyAlignment="1"/>
    <xf numFmtId="1" fontId="0" fillId="0" borderId="3" xfId="0" applyNumberFormat="1" applyFont="1" applyBorder="1" applyAlignment="1"/>
    <xf numFmtId="1" fontId="0" fillId="2" borderId="2" xfId="0" applyNumberFormat="1" applyFont="1" applyFill="1" applyBorder="1" applyAlignment="1"/>
    <xf numFmtId="0" fontId="6" fillId="0" borderId="3" xfId="0" applyFont="1" applyBorder="1" applyAlignment="1">
      <alignment horizontal="center"/>
    </xf>
    <xf numFmtId="0" fontId="3" fillId="0" borderId="1" xfId="0" applyFont="1" applyBorder="1" applyAlignment="1">
      <alignment horizontal="center"/>
    </xf>
    <xf numFmtId="2" fontId="5" fillId="2" borderId="1" xfId="0" applyNumberFormat="1" applyFont="1" applyFill="1" applyBorder="1" applyAlignment="1"/>
    <xf numFmtId="0" fontId="5" fillId="0" borderId="1" xfId="0" applyFont="1" applyFill="1" applyBorder="1" applyAlignment="1"/>
    <xf numFmtId="171" fontId="0" fillId="2" borderId="0" xfId="0" applyNumberFormat="1" applyFont="1" applyFill="1" applyAlignment="1"/>
    <xf numFmtId="1" fontId="0" fillId="0" borderId="0" xfId="0" applyNumberFormat="1" applyFont="1" applyBorder="1" applyAlignment="1"/>
    <xf numFmtId="0" fontId="6" fillId="0" borderId="1" xfId="0" applyFont="1" applyFill="1" applyBorder="1" applyAlignment="1">
      <alignment horizontal="center"/>
    </xf>
    <xf numFmtId="0" fontId="4" fillId="3" borderId="2" xfId="0" applyFont="1" applyFill="1" applyBorder="1"/>
    <xf numFmtId="168" fontId="0" fillId="2" borderId="0" xfId="1" applyNumberFormat="1" applyFont="1" applyFill="1" applyBorder="1" applyAlignment="1"/>
    <xf numFmtId="0" fontId="6" fillId="0" borderId="3" xfId="0" applyFont="1" applyBorder="1" applyAlignment="1">
      <alignment wrapText="1"/>
    </xf>
    <xf numFmtId="2" fontId="0" fillId="0" borderId="3" xfId="0" applyNumberFormat="1" applyFont="1" applyBorder="1" applyAlignment="1"/>
    <xf numFmtId="0" fontId="6" fillId="0" borderId="3" xfId="0" applyFont="1" applyBorder="1" applyAlignment="1">
      <alignment horizontal="center" wrapText="1"/>
    </xf>
    <xf numFmtId="0" fontId="4" fillId="0" borderId="2" xfId="0" applyFont="1" applyFill="1" applyBorder="1" applyAlignment="1">
      <alignment vertical="center"/>
    </xf>
    <xf numFmtId="166" fontId="0" fillId="0" borderId="0" xfId="0" applyNumberFormat="1" applyFont="1" applyAlignment="1"/>
    <xf numFmtId="169" fontId="0" fillId="0" borderId="0" xfId="1" applyNumberFormat="1" applyFont="1" applyAlignment="1"/>
    <xf numFmtId="0" fontId="2" fillId="0" borderId="1" xfId="0" applyFont="1" applyFill="1" applyBorder="1"/>
    <xf numFmtId="2" fontId="2" fillId="0" borderId="1" xfId="0" applyNumberFormat="1" applyFont="1" applyFill="1" applyBorder="1"/>
    <xf numFmtId="0" fontId="2" fillId="0" borderId="3" xfId="0" applyFont="1" applyFill="1" applyBorder="1"/>
    <xf numFmtId="2" fontId="2" fillId="0" borderId="3" xfId="0" applyNumberFormat="1" applyFont="1" applyFill="1" applyBorder="1"/>
    <xf numFmtId="2" fontId="2" fillId="5" borderId="1" xfId="0" applyNumberFormat="1" applyFont="1" applyFill="1" applyBorder="1"/>
    <xf numFmtId="2" fontId="2" fillId="5" borderId="3" xfId="0" applyNumberFormat="1" applyFont="1" applyFill="1" applyBorder="1"/>
    <xf numFmtId="0" fontId="0" fillId="0" borderId="3" xfId="0" applyFont="1" applyBorder="1" applyAlignment="1">
      <alignment horizontal="center" vertical="center"/>
    </xf>
    <xf numFmtId="0" fontId="0" fillId="0" borderId="0" xfId="0" applyFont="1" applyFill="1" applyAlignment="1"/>
    <xf numFmtId="2" fontId="5" fillId="0" borderId="0" xfId="0" applyNumberFormat="1" applyFont="1" applyFill="1" applyAlignment="1"/>
    <xf numFmtId="0" fontId="6" fillId="5" borderId="2" xfId="0" applyFont="1" applyFill="1" applyBorder="1" applyAlignment="1"/>
    <xf numFmtId="0" fontId="6" fillId="5" borderId="5" xfId="0" applyFont="1" applyFill="1" applyBorder="1" applyAlignment="1"/>
    <xf numFmtId="2" fontId="2" fillId="5" borderId="6" xfId="0" applyNumberFormat="1" applyFont="1" applyFill="1" applyBorder="1"/>
    <xf numFmtId="2" fontId="2" fillId="5" borderId="7" xfId="0" applyNumberFormat="1" applyFont="1" applyFill="1" applyBorder="1"/>
    <xf numFmtId="0" fontId="6" fillId="5" borderId="8" xfId="0" applyFont="1" applyFill="1" applyBorder="1" applyAlignment="1"/>
    <xf numFmtId="0" fontId="2" fillId="5" borderId="9" xfId="0" applyFont="1" applyFill="1" applyBorder="1"/>
    <xf numFmtId="0" fontId="2" fillId="5" borderId="10" xfId="0" applyFont="1" applyFill="1" applyBorder="1"/>
    <xf numFmtId="0" fontId="6" fillId="0" borderId="8" xfId="0" applyFont="1" applyFill="1" applyBorder="1" applyAlignment="1"/>
    <xf numFmtId="0" fontId="2" fillId="0" borderId="9" xfId="0" applyFont="1" applyFill="1" applyBorder="1"/>
    <xf numFmtId="0" fontId="2" fillId="0" borderId="10" xfId="0" applyFont="1" applyFill="1" applyBorder="1"/>
    <xf numFmtId="0" fontId="5" fillId="0" borderId="0" xfId="0" applyFont="1" applyAlignment="1">
      <alignment horizontal="left" vertical="center"/>
    </xf>
    <xf numFmtId="0" fontId="6" fillId="0" borderId="11" xfId="0" applyFont="1" applyBorder="1" applyAlignment="1"/>
    <xf numFmtId="0" fontId="0" fillId="0" borderId="4" xfId="0" applyFont="1" applyBorder="1" applyAlignment="1"/>
    <xf numFmtId="166" fontId="0" fillId="0" borderId="4" xfId="0" applyNumberFormat="1" applyFont="1" applyBorder="1" applyAlignment="1"/>
    <xf numFmtId="169" fontId="0" fillId="0" borderId="4" xfId="1" applyNumberFormat="1" applyFont="1" applyBorder="1" applyAlignment="1"/>
    <xf numFmtId="0" fontId="6" fillId="0" borderId="4" xfId="0" applyFont="1" applyBorder="1" applyAlignment="1"/>
    <xf numFmtId="168" fontId="6" fillId="0" borderId="0" xfId="1" applyNumberFormat="1" applyFont="1" applyAlignment="1"/>
    <xf numFmtId="168" fontId="6" fillId="0" borderId="11" xfId="1" applyNumberFormat="1" applyFont="1" applyBorder="1" applyAlignment="1"/>
    <xf numFmtId="1" fontId="6" fillId="0" borderId="11" xfId="1" applyNumberFormat="1" applyFont="1" applyBorder="1" applyAlignment="1"/>
    <xf numFmtId="168" fontId="6" fillId="0" borderId="4" xfId="1" applyNumberFormat="1" applyFont="1" applyBorder="1" applyAlignment="1"/>
    <xf numFmtId="168" fontId="0" fillId="0" borderId="4" xfId="1" applyNumberFormat="1" applyFont="1" applyBorder="1" applyAlignment="1"/>
    <xf numFmtId="168" fontId="0" fillId="0" borderId="1" xfId="1" applyNumberFormat="1" applyFont="1" applyFill="1" applyBorder="1" applyAlignment="1"/>
    <xf numFmtId="168" fontId="0" fillId="0" borderId="4" xfId="1" applyNumberFormat="1" applyFont="1" applyFill="1" applyBorder="1" applyAlignment="1"/>
    <xf numFmtId="1" fontId="6" fillId="0" borderId="11" xfId="1" applyNumberFormat="1" applyFont="1" applyFill="1" applyBorder="1" applyAlignment="1"/>
    <xf numFmtId="0" fontId="6" fillId="5" borderId="3" xfId="0" applyFont="1" applyFill="1" applyBorder="1" applyAlignment="1"/>
    <xf numFmtId="0" fontId="6" fillId="5" borderId="7" xfId="0" applyFont="1" applyFill="1" applyBorder="1" applyAlignment="1"/>
    <xf numFmtId="0" fontId="6" fillId="5" borderId="10" xfId="0" applyFont="1" applyFill="1" applyBorder="1" applyAlignment="1"/>
    <xf numFmtId="0" fontId="6" fillId="0" borderId="10" xfId="0" applyFont="1" applyFill="1" applyBorder="1" applyAlignment="1"/>
    <xf numFmtId="0" fontId="10" fillId="0" borderId="0" xfId="0" applyFont="1" applyAlignment="1">
      <alignment horizontal="justify" vertical="center"/>
    </xf>
    <xf numFmtId="0" fontId="11" fillId="0" borderId="1" xfId="0" applyNumberFormat="1" applyFont="1" applyBorder="1" applyAlignment="1"/>
    <xf numFmtId="0" fontId="11" fillId="0" borderId="1" xfId="0" applyFont="1" applyBorder="1" applyAlignment="1">
      <alignment wrapText="1"/>
    </xf>
    <xf numFmtId="0" fontId="11" fillId="0" borderId="1" xfId="0" applyFont="1" applyBorder="1" applyAlignment="1"/>
    <xf numFmtId="0" fontId="11" fillId="0" borderId="4" xfId="0" applyFont="1" applyBorder="1" applyAlignment="1"/>
    <xf numFmtId="0" fontId="10" fillId="0" borderId="1" xfId="0" applyFont="1" applyBorder="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4" xfId="0" applyFont="1" applyBorder="1" applyAlignment="1"/>
    <xf numFmtId="0" fontId="10" fillId="0" borderId="1" xfId="0" applyNumberFormat="1" applyFont="1" applyBorder="1" applyAlignment="1"/>
    <xf numFmtId="0" fontId="10" fillId="0" borderId="1" xfId="0" applyFont="1" applyBorder="1" applyAlignment="1"/>
    <xf numFmtId="0" fontId="10" fillId="0" borderId="1"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left"/>
    </xf>
    <xf numFmtId="0" fontId="0" fillId="0" borderId="11" xfId="0" applyFont="1" applyBorder="1" applyAlignment="1"/>
    <xf numFmtId="168" fontId="0" fillId="0" borderId="11" xfId="0" applyNumberFormat="1" applyFont="1" applyBorder="1" applyAlignment="1"/>
    <xf numFmtId="168" fontId="0" fillId="0" borderId="4" xfId="0" applyNumberFormat="1" applyFont="1" applyBorder="1" applyAlignment="1"/>
    <xf numFmtId="0" fontId="5" fillId="0" borderId="11" xfId="0" applyFont="1" applyBorder="1" applyAlignment="1"/>
    <xf numFmtId="168" fontId="0" fillId="9" borderId="1" xfId="1" applyNumberFormat="1" applyFont="1" applyFill="1" applyBorder="1" applyAlignment="1"/>
    <xf numFmtId="168" fontId="0" fillId="9" borderId="3" xfId="1" applyNumberFormat="1" applyFont="1" applyFill="1" applyBorder="1" applyAlignment="1"/>
    <xf numFmtId="168" fontId="0" fillId="9" borderId="0" xfId="0" applyNumberFormat="1" applyFont="1" applyFill="1" applyAlignment="1"/>
    <xf numFmtId="168" fontId="0" fillId="10" borderId="0" xfId="0" applyNumberFormat="1" applyFont="1" applyFill="1" applyAlignment="1"/>
    <xf numFmtId="168" fontId="0" fillId="10" borderId="3" xfId="1" applyNumberFormat="1" applyFont="1" applyFill="1" applyBorder="1" applyAlignment="1"/>
    <xf numFmtId="0" fontId="6" fillId="6" borderId="1" xfId="0" applyFont="1" applyFill="1" applyBorder="1" applyAlignment="1">
      <alignment horizontal="center"/>
    </xf>
    <xf numFmtId="0" fontId="6" fillId="0" borderId="1" xfId="0" applyFont="1" applyFill="1" applyBorder="1" applyAlignment="1">
      <alignment horizontal="center"/>
    </xf>
    <xf numFmtId="0" fontId="6" fillId="6" borderId="1" xfId="0" applyFont="1" applyFill="1" applyBorder="1" applyAlignment="1">
      <alignment horizontal="center" wrapText="1"/>
    </xf>
    <xf numFmtId="0" fontId="6" fillId="7" borderId="2" xfId="0" applyFont="1" applyFill="1" applyBorder="1" applyAlignment="1">
      <alignment horizontal="center"/>
    </xf>
    <xf numFmtId="168" fontId="6" fillId="2" borderId="3" xfId="1" applyNumberFormat="1"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center"/>
    </xf>
    <xf numFmtId="168" fontId="6" fillId="2" borderId="2" xfId="1" applyNumberFormat="1" applyFont="1" applyFill="1" applyBorder="1" applyAlignment="1">
      <alignment horizontal="center"/>
    </xf>
    <xf numFmtId="0" fontId="6" fillId="0" borderId="2" xfId="0" applyFont="1" applyBorder="1" applyAlignment="1">
      <alignment horizontal="center"/>
    </xf>
    <xf numFmtId="0" fontId="3" fillId="0" borderId="3" xfId="0" applyFont="1" applyBorder="1" applyAlignment="1">
      <alignment horizontal="center"/>
    </xf>
    <xf numFmtId="0" fontId="9" fillId="8" borderId="0" xfId="0" applyFont="1" applyFill="1" applyAlignment="1">
      <alignment horizontal="center" vertical="center"/>
    </xf>
    <xf numFmtId="0" fontId="9" fillId="7" borderId="0" xfId="0" applyFont="1" applyFill="1" applyAlignment="1">
      <alignment horizontal="center" vertical="center"/>
    </xf>
    <xf numFmtId="0" fontId="3" fillId="0" borderId="1" xfId="0" applyFont="1" applyBorder="1" applyAlignment="1">
      <alignment horizontal="center"/>
    </xf>
    <xf numFmtId="0" fontId="6" fillId="0" borderId="0" xfId="0" applyFont="1" applyAlignment="1">
      <alignment horizontal="right" wrapText="1"/>
    </xf>
    <xf numFmtId="0" fontId="6" fillId="0" borderId="3" xfId="0" applyFont="1" applyBorder="1" applyAlignment="1">
      <alignment horizontal="center"/>
    </xf>
    <xf numFmtId="0" fontId="6" fillId="0" borderId="0" xfId="0" applyFont="1" applyAlignment="1">
      <alignment horizontal="center"/>
    </xf>
    <xf numFmtId="168" fontId="6" fillId="0" borderId="11" xfId="1" applyNumberFormat="1" applyFont="1" applyBorder="1" applyAlignment="1">
      <alignment horizontal="center"/>
    </xf>
    <xf numFmtId="0" fontId="6" fillId="6" borderId="0" xfId="0" applyFont="1" applyFill="1" applyAlignment="1">
      <alignment horizontal="center" vertical="center"/>
    </xf>
    <xf numFmtId="168" fontId="0" fillId="0" borderId="0" xfId="1" applyNumberFormat="1" applyFont="1" applyAlignment="1">
      <alignment horizontal="left" vertical="center"/>
    </xf>
    <xf numFmtId="43" fontId="0" fillId="0" borderId="0" xfId="1" applyNumberFormat="1" applyFont="1" applyAlignment="1"/>
    <xf numFmtId="0" fontId="6" fillId="0" borderId="3" xfId="0" applyFont="1" applyBorder="1" applyAlignment="1">
      <alignment horizontal="left" vertical="center"/>
    </xf>
  </cellXfs>
  <cellStyles count="2">
    <cellStyle name="Comma" xfId="1" builtinId="3"/>
    <cellStyle name="Normal" xfId="0" builtinId="0"/>
  </cellStyles>
  <dxfs count="226">
    <dxf>
      <font>
        <strike val="0"/>
        <outline val="0"/>
        <shadow val="0"/>
        <u val="none"/>
        <vertAlign val="baseline"/>
        <sz val="12"/>
        <color rgb="FF000000"/>
        <name val="Times New Roman"/>
        <family val="1"/>
        <scheme val="none"/>
      </font>
      <alignment horizontal="left" vertical="bottom" textRotation="0" indent="0" justifyLastLine="0" shrinkToFit="0" readingOrder="0"/>
    </dxf>
    <dxf>
      <font>
        <b val="0"/>
        <i val="0"/>
        <strike val="0"/>
        <condense val="0"/>
        <extend val="0"/>
        <outline val="0"/>
        <shadow val="0"/>
        <u val="none"/>
        <vertAlign val="baseline"/>
        <sz val="12"/>
        <color rgb="FF000000"/>
        <name val="Times New Roman"/>
        <family val="1"/>
        <scheme val="none"/>
      </font>
      <alignment horizontal="left" vertical="bottom"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alignment horizontal="general" vertical="bottom" textRotation="0" wrapText="0" indent="0" justifyLastLine="0" shrinkToFit="0" readingOrder="0"/>
    </dxf>
    <dxf>
      <font>
        <strike val="0"/>
        <outline val="0"/>
        <shadow val="0"/>
        <u val="none"/>
        <vertAlign val="baseline"/>
        <sz val="10"/>
        <color rgb="FF000000"/>
        <name val="Times New Roman"/>
        <family val="1"/>
        <scheme val="none"/>
      </font>
    </dxf>
    <dxf>
      <border>
        <bottom style="thin">
          <color indexed="64"/>
        </bottom>
      </border>
    </dxf>
    <dxf>
      <font>
        <b val="0"/>
        <i val="0"/>
        <strike val="0"/>
        <condense val="0"/>
        <extend val="0"/>
        <outline val="0"/>
        <shadow val="0"/>
        <u val="none"/>
        <vertAlign val="baseline"/>
        <sz val="10"/>
        <color rgb="FF000000"/>
        <name val="Times New Roman"/>
        <family val="1"/>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Times New Roman"/>
        <family val="1"/>
        <scheme val="none"/>
      </font>
      <alignment horizontal="general" vertical="bottom" textRotation="0" wrapText="0" indent="0" justifyLastLine="0" shrinkToFit="0" readingOrder="0"/>
    </dxf>
    <dxf>
      <font>
        <strike val="0"/>
        <outline val="0"/>
        <shadow val="0"/>
        <u val="none"/>
        <vertAlign val="baseline"/>
        <sz val="10"/>
        <color rgb="FF000000"/>
        <name val="Times New Roman"/>
        <family val="1"/>
        <scheme val="none"/>
      </font>
    </dxf>
    <dxf>
      <border>
        <bottom style="thin">
          <color indexed="64"/>
        </bottom>
      </border>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ill>
        <patternFill patternType="solid">
          <fgColor indexed="64"/>
          <bgColor theme="2"/>
        </patternFill>
      </fill>
    </dxf>
    <dxf>
      <fill>
        <patternFill patternType="solid">
          <fgColor indexed="64"/>
          <bgColor theme="2"/>
        </patternFill>
      </fill>
    </dxf>
    <dxf>
      <fill>
        <patternFill patternType="none">
          <fgColor rgb="FF000000"/>
          <bgColor auto="1"/>
        </patternFill>
      </fill>
    </dxf>
    <dxf>
      <fill>
        <patternFill patternType="solid">
          <fgColor rgb="FF000000"/>
          <bgColor rgb="FFFFFFFF"/>
        </patternFill>
      </fill>
    </dxf>
    <dxf>
      <border>
        <bottom style="thin">
          <color rgb="FF000000"/>
        </bottom>
      </border>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ill>
        <patternFill patternType="solid">
          <fgColor indexed="64"/>
          <bgColor theme="2"/>
        </patternFill>
      </fill>
    </dxf>
    <dxf>
      <fill>
        <patternFill patternType="solid">
          <fgColor indexed="64"/>
          <bgColor theme="2"/>
        </patternFill>
      </fill>
    </dxf>
    <dxf>
      <fill>
        <patternFill patternType="none">
          <fgColor rgb="FF000000"/>
          <bgColor auto="1"/>
        </patternFill>
      </fill>
    </dxf>
    <dxf>
      <fill>
        <patternFill patternType="solid">
          <fgColor rgb="FF000000"/>
          <bgColor rgb="FFFFFFFF"/>
        </patternFill>
      </fill>
    </dxf>
    <dxf>
      <border>
        <bottom style="thin">
          <color rgb="FF000000"/>
        </bottom>
      </border>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ill>
        <patternFill patternType="solid">
          <fgColor indexed="64"/>
          <bgColor theme="2"/>
        </patternFill>
      </fill>
    </dxf>
    <dxf>
      <fill>
        <patternFill patternType="solid">
          <fgColor indexed="64"/>
          <bgColor theme="2"/>
        </patternFill>
      </fill>
    </dxf>
    <dxf>
      <fill>
        <patternFill patternType="none">
          <fgColor rgb="FF000000"/>
          <bgColor auto="1"/>
        </patternFill>
      </fill>
    </dxf>
    <dxf>
      <fill>
        <patternFill patternType="solid">
          <fgColor rgb="FF000000"/>
          <bgColor rgb="FFFFFFFF"/>
        </patternFill>
      </fill>
    </dxf>
    <dxf>
      <border>
        <bottom style="thin">
          <color rgb="FF000000"/>
        </bottom>
      </border>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ill>
        <patternFill patternType="solid">
          <fgColor indexed="64"/>
          <bgColor theme="2"/>
        </patternFill>
      </fill>
    </dxf>
    <dxf>
      <fill>
        <patternFill patternType="solid">
          <fgColor indexed="64"/>
          <bgColor theme="2"/>
        </patternFill>
      </fill>
    </dxf>
    <dxf>
      <fill>
        <patternFill patternType="none">
          <fgColor rgb="FF000000"/>
          <bgColor auto="1"/>
        </patternFill>
      </fill>
    </dxf>
    <dxf>
      <fill>
        <patternFill patternType="solid">
          <fgColor rgb="FF000000"/>
          <bgColor rgb="FFFFFFFF"/>
        </patternFill>
      </fill>
    </dxf>
    <dxf>
      <border>
        <bottom style="thin">
          <color rgb="FF000000"/>
        </bottom>
      </border>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ill>
        <patternFill patternType="solid">
          <fgColor indexed="64"/>
          <bgColor theme="2"/>
        </patternFill>
      </fill>
    </dxf>
    <dxf>
      <fill>
        <patternFill patternType="solid">
          <fgColor indexed="64"/>
          <bgColor theme="2"/>
        </patternFill>
      </fill>
    </dxf>
    <dxf>
      <fill>
        <patternFill patternType="none">
          <fgColor rgb="FF000000"/>
          <bgColor auto="1"/>
        </patternFill>
      </fill>
    </dxf>
    <dxf>
      <fill>
        <patternFill patternType="solid">
          <fgColor rgb="FF000000"/>
          <bgColor rgb="FFFFFFFF"/>
        </patternFill>
      </fill>
    </dxf>
    <dxf>
      <border>
        <bottom style="thin">
          <color rgb="FF000000"/>
        </bottom>
      </border>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ill>
        <patternFill patternType="solid">
          <fgColor indexed="64"/>
          <bgColor theme="2"/>
        </patternFill>
      </fill>
    </dxf>
    <dxf>
      <fill>
        <patternFill patternType="solid">
          <fgColor indexed="64"/>
          <bgColor theme="2"/>
        </patternFill>
      </fill>
    </dxf>
    <dxf>
      <fill>
        <patternFill patternType="none">
          <fgColor rgb="FF000000"/>
          <bgColor auto="1"/>
        </patternFill>
      </fill>
    </dxf>
    <dxf>
      <fill>
        <patternFill patternType="solid">
          <fgColor rgb="FF000000"/>
          <bgColor rgb="FFFFFFFF"/>
        </patternFill>
      </fill>
    </dxf>
    <dxf>
      <border>
        <bottom style="thin">
          <color rgb="FF000000"/>
        </bottom>
      </border>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ill>
        <patternFill patternType="solid">
          <fgColor indexed="64"/>
          <bgColor theme="2"/>
        </patternFill>
      </fill>
    </dxf>
    <dxf>
      <fill>
        <patternFill patternType="solid">
          <fgColor indexed="64"/>
          <bgColor theme="2"/>
        </patternFill>
      </fill>
    </dxf>
    <dxf>
      <fill>
        <patternFill patternType="none">
          <fgColor rgb="FF000000"/>
          <bgColor auto="1"/>
        </patternFill>
      </fill>
    </dxf>
    <dxf>
      <fill>
        <patternFill patternType="solid">
          <fgColor rgb="FF000000"/>
          <bgColor rgb="FFFFFFFF"/>
        </patternFill>
      </fill>
    </dxf>
    <dxf>
      <border>
        <bottom style="thin">
          <color rgb="FF000000"/>
        </bottom>
      </border>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ill>
        <patternFill patternType="solid">
          <fgColor indexed="64"/>
          <bgColor theme="2"/>
        </patternFill>
      </fill>
    </dxf>
    <dxf>
      <fill>
        <patternFill patternType="solid">
          <fgColor indexed="64"/>
          <bgColor theme="2"/>
        </patternFill>
      </fill>
    </dxf>
    <dxf>
      <fill>
        <patternFill patternType="none">
          <fgColor rgb="FF000000"/>
          <bgColor auto="1"/>
        </patternFill>
      </fill>
    </dxf>
    <dxf>
      <fill>
        <patternFill patternType="solid">
          <fgColor rgb="FF000000"/>
          <bgColor rgb="FFFFFFFF"/>
        </patternFill>
      </fill>
    </dxf>
    <dxf>
      <border>
        <bottom style="thin">
          <color rgb="FF000000"/>
        </bottom>
      </border>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ill>
        <patternFill patternType="solid">
          <fgColor indexed="64"/>
          <bgColor theme="2"/>
        </patternFill>
      </fill>
    </dxf>
    <dxf>
      <fill>
        <patternFill patternType="solid">
          <fgColor indexed="64"/>
          <bgColor theme="2"/>
        </patternFill>
      </fill>
    </dxf>
    <dxf>
      <fill>
        <patternFill patternType="none">
          <fgColor rgb="FF000000"/>
          <bgColor auto="1"/>
        </patternFill>
      </fill>
    </dxf>
    <dxf>
      <fill>
        <patternFill patternType="solid">
          <fgColor rgb="FF000000"/>
          <bgColor rgb="FFFFFFFF"/>
        </patternFill>
      </fill>
    </dxf>
    <dxf>
      <border>
        <bottom style="thin">
          <color rgb="FF000000"/>
        </bottom>
      </border>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5" formatCode="_-* #,##0_-;\-* #,##0_-;_-* &quot;-&quot;??_-;_-@"/>
      <fill>
        <patternFill patternType="solid">
          <fgColor indexed="64"/>
          <bgColor theme="0" tint="-4.9989318521683403E-2"/>
        </patternFill>
      </fill>
      <alignment horizontal="general" vertical="bottom" textRotation="0" wrapText="0" indent="0" justifyLastLine="0" shrinkToFit="0" readingOrder="0"/>
    </dxf>
    <dxf>
      <fill>
        <patternFill patternType="solid">
          <fgColor indexed="64"/>
          <bgColor theme="2"/>
        </patternFill>
      </fill>
    </dxf>
    <dxf>
      <fill>
        <patternFill patternType="solid">
          <fgColor indexed="64"/>
          <bgColor theme="2"/>
        </patternFill>
      </fill>
    </dxf>
    <dxf>
      <fill>
        <patternFill patternType="none">
          <fgColor rgb="FF000000"/>
          <bgColor auto="1"/>
        </patternFill>
      </fill>
    </dxf>
    <dxf>
      <fill>
        <patternFill patternType="solid">
          <fgColor rgb="FF000000"/>
          <bgColor rgb="FFFFFFFF"/>
        </patternFill>
      </fill>
    </dxf>
    <dxf>
      <border>
        <bottom style="thin">
          <color rgb="FF000000"/>
        </bottom>
      </border>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ill>
        <patternFill patternType="solid">
          <fgColor rgb="FFD9E2F3"/>
          <bgColor rgb="FFD9E2F3"/>
        </patternFill>
      </fill>
    </dxf>
    <dxf>
      <fill>
        <patternFill patternType="solid">
          <fgColor rgb="FFECECEC"/>
          <bgColor rgb="FFECECEC"/>
        </patternFill>
      </fill>
    </dxf>
    <dxf>
      <fill>
        <patternFill patternType="solid">
          <fgColor theme="6"/>
          <bgColor theme="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theme="6"/>
          <bgColor theme="6"/>
        </patternFill>
      </fill>
    </dxf>
    <dxf>
      <fill>
        <patternFill patternType="solid">
          <fgColor rgb="FFD9E2F3"/>
          <bgColor rgb="FFD9E2F3"/>
        </patternFill>
      </fill>
    </dxf>
    <dxf>
      <fill>
        <patternFill patternType="solid">
          <fgColor rgb="FFECECEC"/>
          <bgColor rgb="FFECECEC"/>
        </patternFill>
      </fill>
    </dxf>
    <dxf>
      <fill>
        <patternFill patternType="solid">
          <fgColor theme="6"/>
          <bgColor theme="6"/>
        </patternFill>
      </fill>
    </dxf>
    <dxf>
      <fill>
        <patternFill patternType="solid">
          <fgColor rgb="FFD9E2F3"/>
          <bgColor rgb="FFD9E2F3"/>
        </patternFill>
      </fill>
    </dxf>
    <dxf>
      <fill>
        <patternFill patternType="solid">
          <fgColor rgb="FFECECEC"/>
          <bgColor rgb="FFECECEC"/>
        </patternFill>
      </fill>
    </dxf>
    <dxf>
      <fill>
        <patternFill patternType="solid">
          <fgColor theme="6"/>
          <bgColor theme="6"/>
        </patternFill>
      </fill>
    </dxf>
    <dxf>
      <fill>
        <patternFill patternType="solid">
          <fgColor rgb="FFD9E2F3"/>
          <bgColor rgb="FFD9E2F3"/>
        </patternFill>
      </fill>
    </dxf>
    <dxf>
      <fill>
        <patternFill patternType="solid">
          <fgColor rgb="FFECECEC"/>
          <bgColor rgb="FFECECEC"/>
        </patternFill>
      </fill>
    </dxf>
    <dxf>
      <fill>
        <patternFill patternType="solid">
          <fgColor theme="6"/>
          <bgColor theme="6"/>
        </patternFill>
      </fill>
    </dxf>
  </dxfs>
  <tableStyles count="15">
    <tableStyle name="Countries_2-style" pivot="0" count="3" xr9:uid="{00000000-0011-0000-FFFF-FFFF00000000}">
      <tableStyleElement type="headerRow" dxfId="225"/>
      <tableStyleElement type="firstRowStripe" dxfId="224"/>
      <tableStyleElement type="secondRowStripe" dxfId="223"/>
    </tableStyle>
    <tableStyle name="Countries_2-style 2" pivot="0" count="3" xr9:uid="{00000000-0011-0000-FFFF-FFFF01000000}">
      <tableStyleElement type="headerRow" dxfId="222"/>
      <tableStyleElement type="firstRowStripe" dxfId="221"/>
      <tableStyleElement type="secondRowStripe" dxfId="220"/>
    </tableStyle>
    <tableStyle name="Countries_2-style 3" pivot="0" count="3" xr9:uid="{00000000-0011-0000-FFFF-FFFF02000000}">
      <tableStyleElement type="headerRow" dxfId="219"/>
      <tableStyleElement type="firstRowStripe" dxfId="218"/>
      <tableStyleElement type="secondRowStripe" dxfId="217"/>
    </tableStyle>
    <tableStyle name="Countries_2-style 4" pivot="0" count="4" xr9:uid="{00000000-0011-0000-FFFF-FFFF03000000}">
      <tableStyleElement type="headerRow" dxfId="216"/>
      <tableStyleElement type="totalRow" dxfId="215"/>
      <tableStyleElement type="firstRowStripe" dxfId="214"/>
      <tableStyleElement type="secondRowStripe" dxfId="213"/>
    </tableStyle>
    <tableStyle name="Gini Pop 11-style" pivot="0" count="3" xr9:uid="{00000000-0011-0000-FFFF-FFFF04000000}">
      <tableStyleElement type="headerRow" dxfId="212"/>
      <tableStyleElement type="firstRowStripe" dxfId="211"/>
      <tableStyleElement type="secondRowStripe" dxfId="210"/>
    </tableStyle>
    <tableStyle name="Gini Pop 11-style 2" pivot="0" count="3" xr9:uid="{00000000-0011-0000-FFFF-FFFF05000000}">
      <tableStyleElement type="headerRow" dxfId="209"/>
      <tableStyleElement type="firstRowStripe" dxfId="208"/>
      <tableStyleElement type="secondRowStripe" dxfId="207"/>
    </tableStyle>
    <tableStyle name="Gini Pop 11-style 3" pivot="0" count="3" xr9:uid="{00000000-0011-0000-FFFF-FFFF06000000}">
      <tableStyleElement type="headerRow" dxfId="206"/>
      <tableStyleElement type="firstRowStripe" dxfId="205"/>
      <tableStyleElement type="secondRowStripe" dxfId="204"/>
    </tableStyle>
    <tableStyle name="Gini Area_11-style" pivot="0" count="3" xr9:uid="{00000000-0011-0000-FFFF-FFFF07000000}">
      <tableStyleElement type="headerRow" dxfId="203"/>
      <tableStyleElement type="firstRowStripe" dxfId="202"/>
      <tableStyleElement type="secondRowStripe" dxfId="201"/>
    </tableStyle>
    <tableStyle name="Gini Area_11-style 2" pivot="0" count="3" xr9:uid="{00000000-0011-0000-FFFF-FFFF08000000}">
      <tableStyleElement type="headerRow" dxfId="200"/>
      <tableStyleElement type="firstRowStripe" dxfId="199"/>
      <tableStyleElement type="secondRowStripe" dxfId="198"/>
    </tableStyle>
    <tableStyle name="Gini Area_11-style 3" pivot="0" count="3" xr9:uid="{00000000-0011-0000-FFFF-FFFF09000000}">
      <tableStyleElement type="headerRow" dxfId="197"/>
      <tableStyleElement type="firstRowStripe" dxfId="196"/>
      <tableStyleElement type="secondRowStripe" dxfId="195"/>
    </tableStyle>
    <tableStyle name="U_pop_11-style" pivot="0" count="3" xr9:uid="{00000000-0011-0000-FFFF-FFFF0A000000}">
      <tableStyleElement type="headerRow" dxfId="194"/>
      <tableStyleElement type="firstRowStripe" dxfId="193"/>
      <tableStyleElement type="secondRowStripe" dxfId="192"/>
    </tableStyle>
    <tableStyle name="U_area_11-style" pivot="0" count="3" xr9:uid="{00000000-0011-0000-FFFF-FFFF0B000000}">
      <tableStyleElement type="headerRow" dxfId="191"/>
      <tableStyleElement type="firstRowStripe" dxfId="190"/>
      <tableStyleElement type="secondRowStripe" dxfId="189"/>
    </tableStyle>
    <tableStyle name="Envy_pop_11-style" pivot="0" count="3" xr9:uid="{00000000-0011-0000-FFFF-FFFF0C000000}">
      <tableStyleElement type="headerRow" dxfId="188"/>
      <tableStyleElement type="firstRowStripe" dxfId="187"/>
      <tableStyleElement type="secondRowStripe" dxfId="186"/>
    </tableStyle>
    <tableStyle name="Envy_area_11-style" pivot="0" count="3" xr9:uid="{00000000-0011-0000-FFFF-FFFF0D000000}">
      <tableStyleElement type="headerRow" dxfId="185"/>
      <tableStyleElement type="firstRowStripe" dxfId="184"/>
      <tableStyleElement type="secondRowStripe" dxfId="183"/>
    </tableStyle>
    <tableStyle name="Sheet23-style" pivot="0" count="3" xr9:uid="{00000000-0011-0000-FFFF-FFFF0E000000}">
      <tableStyleElement type="headerRow" dxfId="182"/>
      <tableStyleElement type="firstRowStripe" dxfId="181"/>
      <tableStyleElement type="secondRowStripe" dxfId="18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5.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56.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57.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8.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59.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_rels/chart60.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_rels/chart61.xml.rels><?xml version="1.0" encoding="UTF-8" standalone="yes"?>
<Relationships xmlns="http://schemas.openxmlformats.org/package/2006/relationships"><Relationship Id="rId2" Type="http://schemas.microsoft.com/office/2011/relationships/chartColorStyle" Target="colors61.xml"/><Relationship Id="rId1" Type="http://schemas.microsoft.com/office/2011/relationships/chartStyle" Target="style6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Gini_2017!$H$94:$H$105</c:f>
              <c:numCache>
                <c:formatCode>0.00</c:formatCode>
                <c:ptCount val="12"/>
                <c:pt idx="0">
                  <c:v>0</c:v>
                </c:pt>
                <c:pt idx="1">
                  <c:v>1.3686107021111144E-2</c:v>
                </c:pt>
                <c:pt idx="2">
                  <c:v>2.19891933226572E-2</c:v>
                </c:pt>
                <c:pt idx="3">
                  <c:v>8.3569604051158444E-2</c:v>
                </c:pt>
                <c:pt idx="4">
                  <c:v>0.1624694209746404</c:v>
                </c:pt>
                <c:pt idx="5">
                  <c:v>0.17112022506241087</c:v>
                </c:pt>
                <c:pt idx="6">
                  <c:v>0.23416997150873392</c:v>
                </c:pt>
                <c:pt idx="7">
                  <c:v>0.50754581011078792</c:v>
                </c:pt>
                <c:pt idx="8">
                  <c:v>0.52290089340757784</c:v>
                </c:pt>
                <c:pt idx="9">
                  <c:v>0.64959326365623726</c:v>
                </c:pt>
                <c:pt idx="10">
                  <c:v>0.672790426143412</c:v>
                </c:pt>
                <c:pt idx="11">
                  <c:v>1</c:v>
                </c:pt>
              </c:numCache>
            </c:numRef>
          </c:xVal>
          <c:yVal>
            <c:numRef>
              <c:f>Gini_2017!$H$94:$H$105</c:f>
              <c:numCache>
                <c:formatCode>0.00</c:formatCode>
                <c:ptCount val="12"/>
                <c:pt idx="0">
                  <c:v>0</c:v>
                </c:pt>
                <c:pt idx="1">
                  <c:v>1.3686107021111144E-2</c:v>
                </c:pt>
                <c:pt idx="2">
                  <c:v>2.19891933226572E-2</c:v>
                </c:pt>
                <c:pt idx="3">
                  <c:v>8.3569604051158444E-2</c:v>
                </c:pt>
                <c:pt idx="4">
                  <c:v>0.1624694209746404</c:v>
                </c:pt>
                <c:pt idx="5">
                  <c:v>0.17112022506241087</c:v>
                </c:pt>
                <c:pt idx="6">
                  <c:v>0.23416997150873392</c:v>
                </c:pt>
                <c:pt idx="7">
                  <c:v>0.50754581011078792</c:v>
                </c:pt>
                <c:pt idx="8">
                  <c:v>0.52290089340757784</c:v>
                </c:pt>
                <c:pt idx="9">
                  <c:v>0.64959326365623726</c:v>
                </c:pt>
                <c:pt idx="10">
                  <c:v>0.672790426143412</c:v>
                </c:pt>
                <c:pt idx="11">
                  <c:v>1</c:v>
                </c:pt>
              </c:numCache>
            </c:numRef>
          </c:yVal>
          <c:smooth val="1"/>
          <c:extLst>
            <c:ext xmlns:c16="http://schemas.microsoft.com/office/drawing/2014/chart" uri="{C3380CC4-5D6E-409C-BE32-E72D297353CC}">
              <c16:uniqueId val="{00000000-9E65-4C02-ABF9-C909965D5101}"/>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9E65-4C02-ABF9-C909965D5101}"/>
              </c:ext>
            </c:extLst>
          </c:dPt>
          <c:xVal>
            <c:numRef>
              <c:f>Gini_2017!$H$94:$H$105</c:f>
              <c:numCache>
                <c:formatCode>0.00</c:formatCode>
                <c:ptCount val="12"/>
                <c:pt idx="0">
                  <c:v>0</c:v>
                </c:pt>
                <c:pt idx="1">
                  <c:v>1.3686107021111144E-2</c:v>
                </c:pt>
                <c:pt idx="2">
                  <c:v>2.19891933226572E-2</c:v>
                </c:pt>
                <c:pt idx="3">
                  <c:v>8.3569604051158444E-2</c:v>
                </c:pt>
                <c:pt idx="4">
                  <c:v>0.1624694209746404</c:v>
                </c:pt>
                <c:pt idx="5">
                  <c:v>0.17112022506241087</c:v>
                </c:pt>
                <c:pt idx="6">
                  <c:v>0.23416997150873392</c:v>
                </c:pt>
                <c:pt idx="7">
                  <c:v>0.50754581011078792</c:v>
                </c:pt>
                <c:pt idx="8">
                  <c:v>0.52290089340757784</c:v>
                </c:pt>
                <c:pt idx="9">
                  <c:v>0.64959326365623726</c:v>
                </c:pt>
                <c:pt idx="10">
                  <c:v>0.672790426143412</c:v>
                </c:pt>
                <c:pt idx="11">
                  <c:v>1</c:v>
                </c:pt>
              </c:numCache>
            </c:numRef>
          </c:xVal>
          <c:yVal>
            <c:numRef>
              <c:f>Gini_2017!$G$94:$G$105</c:f>
              <c:numCache>
                <c:formatCode>0.00</c:formatCode>
                <c:ptCount val="12"/>
                <c:pt idx="0">
                  <c:v>0</c:v>
                </c:pt>
                <c:pt idx="1">
                  <c:v>1.6224065801728926E-3</c:v>
                </c:pt>
                <c:pt idx="2">
                  <c:v>8.5337488862051308E-3</c:v>
                </c:pt>
                <c:pt idx="3">
                  <c:v>1.6015984339316631E-2</c:v>
                </c:pt>
                <c:pt idx="4">
                  <c:v>2.6254221901517355E-2</c:v>
                </c:pt>
                <c:pt idx="5">
                  <c:v>3.7640558755767384E-2</c:v>
                </c:pt>
                <c:pt idx="6">
                  <c:v>7.2667451991973026E-2</c:v>
                </c:pt>
                <c:pt idx="7">
                  <c:v>0.13524129298114196</c:v>
                </c:pt>
                <c:pt idx="8">
                  <c:v>0.2757067296209304</c:v>
                </c:pt>
                <c:pt idx="9">
                  <c:v>0.46965007539927839</c:v>
                </c:pt>
                <c:pt idx="10">
                  <c:v>0.70197873421734569</c:v>
                </c:pt>
                <c:pt idx="11">
                  <c:v>0.99999999999999989</c:v>
                </c:pt>
              </c:numCache>
            </c:numRef>
          </c:yVal>
          <c:smooth val="0"/>
          <c:extLst>
            <c:ext xmlns:c16="http://schemas.microsoft.com/office/drawing/2014/chart" uri="{C3380CC4-5D6E-409C-BE32-E72D297353CC}">
              <c16:uniqueId val="{00000002-9E65-4C02-ABF9-C909965D5101}"/>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Precipitation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01861863580613"/>
          <c:y val="0.1566342980154827"/>
          <c:w val="0.54960252622417904"/>
          <c:h val="0.65904922055244786"/>
        </c:manualLayout>
      </c:layout>
      <c:scatterChart>
        <c:scatterStyle val="smoothMarker"/>
        <c:varyColors val="0"/>
        <c:ser>
          <c:idx val="1"/>
          <c:order val="1"/>
          <c:tx>
            <c:v>Equality Line</c:v>
          </c:tx>
          <c:spPr>
            <a:ln w="19050" cap="rnd">
              <a:solidFill>
                <a:schemeClr val="accent2"/>
              </a:solidFill>
              <a:round/>
            </a:ln>
            <a:effectLst/>
          </c:spPr>
          <c:marker>
            <c:symbol val="none"/>
          </c:marker>
          <c:xVal>
            <c:numRef>
              <c:f>Gini_2017!$H$115:$H$126</c:f>
              <c:numCache>
                <c:formatCode>0.00</c:formatCode>
                <c:ptCount val="12"/>
                <c:pt idx="0">
                  <c:v>0</c:v>
                </c:pt>
                <c:pt idx="1">
                  <c:v>8.3030863015460567E-3</c:v>
                </c:pt>
                <c:pt idx="2">
                  <c:v>1.6953890389316533E-2</c:v>
                </c:pt>
                <c:pt idx="3">
                  <c:v>9.5853707312798506E-2</c:v>
                </c:pt>
                <c:pt idx="4">
                  <c:v>0.10953981433390965</c:v>
                </c:pt>
                <c:pt idx="5">
                  <c:v>0.1711202250624109</c:v>
                </c:pt>
                <c:pt idx="6">
                  <c:v>0.19431738754958564</c:v>
                </c:pt>
                <c:pt idx="7">
                  <c:v>0.52152696140617361</c:v>
                </c:pt>
                <c:pt idx="8">
                  <c:v>0.53688204470296352</c:v>
                </c:pt>
                <c:pt idx="9">
                  <c:v>0.59993179114928652</c:v>
                </c:pt>
                <c:pt idx="10">
                  <c:v>0.72662416139794594</c:v>
                </c:pt>
                <c:pt idx="11">
                  <c:v>1</c:v>
                </c:pt>
              </c:numCache>
            </c:numRef>
          </c:xVal>
          <c:yVal>
            <c:numRef>
              <c:f>Gini_2017!$H$115:$H$126</c:f>
              <c:numCache>
                <c:formatCode>0.00</c:formatCode>
                <c:ptCount val="12"/>
                <c:pt idx="0">
                  <c:v>0</c:v>
                </c:pt>
                <c:pt idx="1">
                  <c:v>8.3030863015460567E-3</c:v>
                </c:pt>
                <c:pt idx="2">
                  <c:v>1.6953890389316533E-2</c:v>
                </c:pt>
                <c:pt idx="3">
                  <c:v>9.5853707312798506E-2</c:v>
                </c:pt>
                <c:pt idx="4">
                  <c:v>0.10953981433390965</c:v>
                </c:pt>
                <c:pt idx="5">
                  <c:v>0.1711202250624109</c:v>
                </c:pt>
                <c:pt idx="6">
                  <c:v>0.19431738754958564</c:v>
                </c:pt>
                <c:pt idx="7">
                  <c:v>0.52152696140617361</c:v>
                </c:pt>
                <c:pt idx="8">
                  <c:v>0.53688204470296352</c:v>
                </c:pt>
                <c:pt idx="9">
                  <c:v>0.59993179114928652</c:v>
                </c:pt>
                <c:pt idx="10">
                  <c:v>0.72662416139794594</c:v>
                </c:pt>
                <c:pt idx="11">
                  <c:v>1</c:v>
                </c:pt>
              </c:numCache>
            </c:numRef>
          </c:yVal>
          <c:smooth val="1"/>
          <c:extLst>
            <c:ext xmlns:c16="http://schemas.microsoft.com/office/drawing/2014/chart" uri="{C3380CC4-5D6E-409C-BE32-E72D297353CC}">
              <c16:uniqueId val="{00000000-0B47-444B-8A88-44A0B922447F}"/>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0B47-444B-8A88-44A0B922447F}"/>
              </c:ext>
            </c:extLst>
          </c:dPt>
          <c:xVal>
            <c:numRef>
              <c:f>Gini_2017!$H$115:$H$126</c:f>
              <c:numCache>
                <c:formatCode>0.00</c:formatCode>
                <c:ptCount val="12"/>
                <c:pt idx="0">
                  <c:v>0</c:v>
                </c:pt>
                <c:pt idx="1">
                  <c:v>8.3030863015460567E-3</c:v>
                </c:pt>
                <c:pt idx="2">
                  <c:v>1.6953890389316533E-2</c:v>
                </c:pt>
                <c:pt idx="3">
                  <c:v>9.5853707312798506E-2</c:v>
                </c:pt>
                <c:pt idx="4">
                  <c:v>0.10953981433390965</c:v>
                </c:pt>
                <c:pt idx="5">
                  <c:v>0.1711202250624109</c:v>
                </c:pt>
                <c:pt idx="6">
                  <c:v>0.19431738754958564</c:v>
                </c:pt>
                <c:pt idx="7">
                  <c:v>0.52152696140617361</c:v>
                </c:pt>
                <c:pt idx="8">
                  <c:v>0.53688204470296352</c:v>
                </c:pt>
                <c:pt idx="9">
                  <c:v>0.59993179114928652</c:v>
                </c:pt>
                <c:pt idx="10">
                  <c:v>0.72662416139794594</c:v>
                </c:pt>
                <c:pt idx="11">
                  <c:v>1</c:v>
                </c:pt>
              </c:numCache>
            </c:numRef>
          </c:xVal>
          <c:yVal>
            <c:numRef>
              <c:f>Gini_2017!$G$115:$G$126</c:f>
              <c:numCache>
                <c:formatCode>0.00</c:formatCode>
                <c:ptCount val="12"/>
                <c:pt idx="0">
                  <c:v>0</c:v>
                </c:pt>
                <c:pt idx="1">
                  <c:v>5.2999093049631314E-3</c:v>
                </c:pt>
                <c:pt idx="2">
                  <c:v>1.1764115874623525E-2</c:v>
                </c:pt>
                <c:pt idx="3">
                  <c:v>2.1200626048673787E-2</c:v>
                </c:pt>
                <c:pt idx="4">
                  <c:v>3.3560975242154255E-2</c:v>
                </c:pt>
                <c:pt idx="5">
                  <c:v>6.1108530255808799E-2</c:v>
                </c:pt>
                <c:pt idx="6">
                  <c:v>9.109586517054033E-2</c:v>
                </c:pt>
                <c:pt idx="7">
                  <c:v>0.14509025520478358</c:v>
                </c:pt>
                <c:pt idx="8">
                  <c:v>0.27648140963360179</c:v>
                </c:pt>
                <c:pt idx="9">
                  <c:v>0.44423734960873451</c:v>
                </c:pt>
                <c:pt idx="10">
                  <c:v>0.65136000022667062</c:v>
                </c:pt>
                <c:pt idx="11">
                  <c:v>1</c:v>
                </c:pt>
              </c:numCache>
            </c:numRef>
          </c:yVal>
          <c:smooth val="0"/>
          <c:extLst>
            <c:ext xmlns:c16="http://schemas.microsoft.com/office/drawing/2014/chart" uri="{C3380CC4-5D6E-409C-BE32-E72D297353CC}">
              <c16:uniqueId val="{00000002-0B47-444B-8A88-44A0B922447F}"/>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ETa</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Gini_2017!$H$136:$H$147</c:f>
              <c:numCache>
                <c:formatCode>0.00</c:formatCode>
                <c:ptCount val="12"/>
                <c:pt idx="0">
                  <c:v>0</c:v>
                </c:pt>
                <c:pt idx="1">
                  <c:v>0.327209573856588</c:v>
                </c:pt>
                <c:pt idx="2">
                  <c:v>0.34256465715337797</c:v>
                </c:pt>
                <c:pt idx="3">
                  <c:v>0.40561440359970102</c:v>
                </c:pt>
                <c:pt idx="4">
                  <c:v>0.48451422052318299</c:v>
                </c:pt>
                <c:pt idx="5">
                  <c:v>0.50771138301035779</c:v>
                </c:pt>
                <c:pt idx="6">
                  <c:v>0.56929179373885908</c:v>
                </c:pt>
                <c:pt idx="7">
                  <c:v>0.57759488004040516</c:v>
                </c:pt>
                <c:pt idx="8">
                  <c:v>0.59128098706151633</c:v>
                </c:pt>
                <c:pt idx="9">
                  <c:v>0.86465682566357027</c:v>
                </c:pt>
                <c:pt idx="10">
                  <c:v>0.9913491959122297</c:v>
                </c:pt>
                <c:pt idx="11">
                  <c:v>1.0000000000000002</c:v>
                </c:pt>
              </c:numCache>
            </c:numRef>
          </c:xVal>
          <c:yVal>
            <c:numRef>
              <c:f>Gini_2017!$H$136:$H$147</c:f>
              <c:numCache>
                <c:formatCode>0.00</c:formatCode>
                <c:ptCount val="12"/>
                <c:pt idx="0">
                  <c:v>0</c:v>
                </c:pt>
                <c:pt idx="1">
                  <c:v>0.327209573856588</c:v>
                </c:pt>
                <c:pt idx="2">
                  <c:v>0.34256465715337797</c:v>
                </c:pt>
                <c:pt idx="3">
                  <c:v>0.40561440359970102</c:v>
                </c:pt>
                <c:pt idx="4">
                  <c:v>0.48451422052318299</c:v>
                </c:pt>
                <c:pt idx="5">
                  <c:v>0.50771138301035779</c:v>
                </c:pt>
                <c:pt idx="6">
                  <c:v>0.56929179373885908</c:v>
                </c:pt>
                <c:pt idx="7">
                  <c:v>0.57759488004040516</c:v>
                </c:pt>
                <c:pt idx="8">
                  <c:v>0.59128098706151633</c:v>
                </c:pt>
                <c:pt idx="9">
                  <c:v>0.86465682566357027</c:v>
                </c:pt>
                <c:pt idx="10">
                  <c:v>0.9913491959122297</c:v>
                </c:pt>
                <c:pt idx="11">
                  <c:v>1.0000000000000002</c:v>
                </c:pt>
              </c:numCache>
            </c:numRef>
          </c:yVal>
          <c:smooth val="1"/>
          <c:extLst>
            <c:ext xmlns:c16="http://schemas.microsoft.com/office/drawing/2014/chart" uri="{C3380CC4-5D6E-409C-BE32-E72D297353CC}">
              <c16:uniqueId val="{00000000-25B4-4232-8964-113FA20A238F}"/>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25B4-4232-8964-113FA20A238F}"/>
              </c:ext>
            </c:extLst>
          </c:dPt>
          <c:xVal>
            <c:numRef>
              <c:f>Gini_2017!$H$136:$H$147</c:f>
              <c:numCache>
                <c:formatCode>0.00</c:formatCode>
                <c:ptCount val="12"/>
                <c:pt idx="0">
                  <c:v>0</c:v>
                </c:pt>
                <c:pt idx="1">
                  <c:v>0.327209573856588</c:v>
                </c:pt>
                <c:pt idx="2">
                  <c:v>0.34256465715337797</c:v>
                </c:pt>
                <c:pt idx="3">
                  <c:v>0.40561440359970102</c:v>
                </c:pt>
                <c:pt idx="4">
                  <c:v>0.48451422052318299</c:v>
                </c:pt>
                <c:pt idx="5">
                  <c:v>0.50771138301035779</c:v>
                </c:pt>
                <c:pt idx="6">
                  <c:v>0.56929179373885908</c:v>
                </c:pt>
                <c:pt idx="7">
                  <c:v>0.57759488004040516</c:v>
                </c:pt>
                <c:pt idx="8">
                  <c:v>0.59128098706151633</c:v>
                </c:pt>
                <c:pt idx="9">
                  <c:v>0.86465682566357027</c:v>
                </c:pt>
                <c:pt idx="10">
                  <c:v>0.9913491959122297</c:v>
                </c:pt>
                <c:pt idx="11">
                  <c:v>1.0000000000000002</c:v>
                </c:pt>
              </c:numCache>
            </c:numRef>
          </c:xVal>
          <c:yVal>
            <c:numRef>
              <c:f>Gini_2017!$G$136:$G$147</c:f>
              <c:numCache>
                <c:formatCode>0.00</c:formatCode>
                <c:ptCount val="12"/>
                <c:pt idx="0">
                  <c:v>0</c:v>
                </c:pt>
                <c:pt idx="1">
                  <c:v>0</c:v>
                </c:pt>
                <c:pt idx="2">
                  <c:v>0</c:v>
                </c:pt>
                <c:pt idx="3">
                  <c:v>0</c:v>
                </c:pt>
                <c:pt idx="4">
                  <c:v>0</c:v>
                </c:pt>
                <c:pt idx="5">
                  <c:v>7.5433856413997481E-3</c:v>
                </c:pt>
                <c:pt idx="6">
                  <c:v>1.7266325876753193E-2</c:v>
                </c:pt>
                <c:pt idx="7">
                  <c:v>3.3322901571884077E-2</c:v>
                </c:pt>
                <c:pt idx="8">
                  <c:v>0.11202401131199832</c:v>
                </c:pt>
                <c:pt idx="9">
                  <c:v>0.22111542998848044</c:v>
                </c:pt>
                <c:pt idx="10">
                  <c:v>0.35758044200230887</c:v>
                </c:pt>
                <c:pt idx="11">
                  <c:v>1</c:v>
                </c:pt>
              </c:numCache>
            </c:numRef>
          </c:yVal>
          <c:smooth val="0"/>
          <c:extLst>
            <c:ext xmlns:c16="http://schemas.microsoft.com/office/drawing/2014/chart" uri="{C3380CC4-5D6E-409C-BE32-E72D297353CC}">
              <c16:uniqueId val="{00000002-25B4-4232-8964-113FA20A238F}"/>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Gini_2017!$H$157:$H$168</c:f>
              <c:numCache>
                <c:formatCode>0.00</c:formatCode>
                <c:ptCount val="12"/>
                <c:pt idx="0">
                  <c:v>0</c:v>
                </c:pt>
                <c:pt idx="1">
                  <c:v>8.6508040877704764E-3</c:v>
                </c:pt>
                <c:pt idx="2">
                  <c:v>8.7550621011252439E-2</c:v>
                </c:pt>
                <c:pt idx="3">
                  <c:v>9.5853707312798492E-2</c:v>
                </c:pt>
                <c:pt idx="4">
                  <c:v>0.11905086979997323</c:v>
                </c:pt>
                <c:pt idx="5">
                  <c:v>0.44626044365656126</c:v>
                </c:pt>
                <c:pt idx="6">
                  <c:v>0.50931019010288425</c:v>
                </c:pt>
                <c:pt idx="7">
                  <c:v>0.57089060083138554</c:v>
                </c:pt>
                <c:pt idx="8">
                  <c:v>0.8442664394334396</c:v>
                </c:pt>
                <c:pt idx="9">
                  <c:v>0.85795254645455077</c:v>
                </c:pt>
                <c:pt idx="10">
                  <c:v>0.98464491670321019</c:v>
                </c:pt>
                <c:pt idx="11">
                  <c:v>1.0000000000000002</c:v>
                </c:pt>
              </c:numCache>
            </c:numRef>
          </c:xVal>
          <c:yVal>
            <c:numRef>
              <c:f>Gini_2017!$H$157:$H$168</c:f>
              <c:numCache>
                <c:formatCode>0.00</c:formatCode>
                <c:ptCount val="12"/>
                <c:pt idx="0">
                  <c:v>0</c:v>
                </c:pt>
                <c:pt idx="1">
                  <c:v>8.6508040877704764E-3</c:v>
                </c:pt>
                <c:pt idx="2">
                  <c:v>8.7550621011252439E-2</c:v>
                </c:pt>
                <c:pt idx="3">
                  <c:v>9.5853707312798492E-2</c:v>
                </c:pt>
                <c:pt idx="4">
                  <c:v>0.11905086979997323</c:v>
                </c:pt>
                <c:pt idx="5">
                  <c:v>0.44626044365656126</c:v>
                </c:pt>
                <c:pt idx="6">
                  <c:v>0.50931019010288425</c:v>
                </c:pt>
                <c:pt idx="7">
                  <c:v>0.57089060083138554</c:v>
                </c:pt>
                <c:pt idx="8">
                  <c:v>0.8442664394334396</c:v>
                </c:pt>
                <c:pt idx="9">
                  <c:v>0.85795254645455077</c:v>
                </c:pt>
                <c:pt idx="10">
                  <c:v>0.98464491670321019</c:v>
                </c:pt>
                <c:pt idx="11">
                  <c:v>1.0000000000000002</c:v>
                </c:pt>
              </c:numCache>
            </c:numRef>
          </c:yVal>
          <c:smooth val="1"/>
          <c:extLst>
            <c:ext xmlns:c16="http://schemas.microsoft.com/office/drawing/2014/chart" uri="{C3380CC4-5D6E-409C-BE32-E72D297353CC}">
              <c16:uniqueId val="{00000000-5700-4E77-A4CA-D13DFEB2A4CA}"/>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5700-4E77-A4CA-D13DFEB2A4CA}"/>
              </c:ext>
            </c:extLst>
          </c:dPt>
          <c:xVal>
            <c:numRef>
              <c:f>Gini_2017!$H$157:$H$168</c:f>
              <c:numCache>
                <c:formatCode>0.00</c:formatCode>
                <c:ptCount val="12"/>
                <c:pt idx="0">
                  <c:v>0</c:v>
                </c:pt>
                <c:pt idx="1">
                  <c:v>8.6508040877704764E-3</c:v>
                </c:pt>
                <c:pt idx="2">
                  <c:v>8.7550621011252439E-2</c:v>
                </c:pt>
                <c:pt idx="3">
                  <c:v>9.5853707312798492E-2</c:v>
                </c:pt>
                <c:pt idx="4">
                  <c:v>0.11905086979997323</c:v>
                </c:pt>
                <c:pt idx="5">
                  <c:v>0.44626044365656126</c:v>
                </c:pt>
                <c:pt idx="6">
                  <c:v>0.50931019010288425</c:v>
                </c:pt>
                <c:pt idx="7">
                  <c:v>0.57089060083138554</c:v>
                </c:pt>
                <c:pt idx="8">
                  <c:v>0.8442664394334396</c:v>
                </c:pt>
                <c:pt idx="9">
                  <c:v>0.85795254645455077</c:v>
                </c:pt>
                <c:pt idx="10">
                  <c:v>0.98464491670321019</c:v>
                </c:pt>
                <c:pt idx="11">
                  <c:v>1.0000000000000002</c:v>
                </c:pt>
              </c:numCache>
            </c:numRef>
          </c:xVal>
          <c:yVal>
            <c:numRef>
              <c:f>Gini_2017!$G$157:$G$168</c:f>
              <c:numCache>
                <c:formatCode>0.00</c:formatCode>
                <c:ptCount val="12"/>
                <c:pt idx="0">
                  <c:v>0</c:v>
                </c:pt>
                <c:pt idx="1">
                  <c:v>0</c:v>
                </c:pt>
                <c:pt idx="2">
                  <c:v>0</c:v>
                </c:pt>
                <c:pt idx="3">
                  <c:v>6.9246761283121381E-3</c:v>
                </c:pt>
                <c:pt idx="4">
                  <c:v>1.836016618863625E-2</c:v>
                </c:pt>
                <c:pt idx="5">
                  <c:v>3.7000854407720704E-2</c:v>
                </c:pt>
                <c:pt idx="6">
                  <c:v>9.3051769326178202E-2</c:v>
                </c:pt>
                <c:pt idx="7">
                  <c:v>0.15538933565941676</c:v>
                </c:pt>
                <c:pt idx="8">
                  <c:v>0.25257969044592188</c:v>
                </c:pt>
                <c:pt idx="9">
                  <c:v>0.39110010130953654</c:v>
                </c:pt>
                <c:pt idx="10">
                  <c:v>0.54246891681467435</c:v>
                </c:pt>
                <c:pt idx="11">
                  <c:v>1</c:v>
                </c:pt>
              </c:numCache>
            </c:numRef>
          </c:yVal>
          <c:smooth val="0"/>
          <c:extLst>
            <c:ext xmlns:c16="http://schemas.microsoft.com/office/drawing/2014/chart" uri="{C3380CC4-5D6E-409C-BE32-E72D297353CC}">
              <c16:uniqueId val="{00000002-5700-4E77-A4CA-D13DFEB2A4CA}"/>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BC00-4D32-8DF0-97E0034DD760}"/>
              </c:ext>
            </c:extLst>
          </c:dPt>
          <c:xVal>
            <c:numRef>
              <c:f>Gini_2017!$H$6:$H$17</c:f>
              <c:numCache>
                <c:formatCode>0.00</c:formatCode>
                <c:ptCount val="12"/>
                <c:pt idx="0">
                  <c:v>0</c:v>
                </c:pt>
                <c:pt idx="1">
                  <c:v>0.31383459282660014</c:v>
                </c:pt>
                <c:pt idx="2">
                  <c:v>0.31865767550688429</c:v>
                </c:pt>
                <c:pt idx="3">
                  <c:v>0.34172287556186171</c:v>
                </c:pt>
                <c:pt idx="4">
                  <c:v>0.38444067484891736</c:v>
                </c:pt>
                <c:pt idx="5">
                  <c:v>0.39892852569062953</c:v>
                </c:pt>
                <c:pt idx="6">
                  <c:v>0.47273674565859564</c:v>
                </c:pt>
                <c:pt idx="7">
                  <c:v>0.51758473013830553</c:v>
                </c:pt>
                <c:pt idx="8">
                  <c:v>0.67429750228954144</c:v>
                </c:pt>
                <c:pt idx="9">
                  <c:v>0.81255797831521348</c:v>
                </c:pt>
                <c:pt idx="10">
                  <c:v>0.9592286998578432</c:v>
                </c:pt>
                <c:pt idx="11">
                  <c:v>0.99999999999999989</c:v>
                </c:pt>
              </c:numCache>
            </c:numRef>
          </c:xVal>
          <c:yVal>
            <c:numRef>
              <c:f>Gini_2017!$G$6:$G$17</c:f>
              <c:numCache>
                <c:formatCode>0.00</c:formatCode>
                <c:ptCount val="12"/>
                <c:pt idx="0">
                  <c:v>0</c:v>
                </c:pt>
                <c:pt idx="1">
                  <c:v>1.6224065801728926E-3</c:v>
                </c:pt>
                <c:pt idx="2">
                  <c:v>8.5337488862051308E-3</c:v>
                </c:pt>
                <c:pt idx="3">
                  <c:v>1.6015984339316631E-2</c:v>
                </c:pt>
                <c:pt idx="4">
                  <c:v>2.6254221901517355E-2</c:v>
                </c:pt>
                <c:pt idx="5">
                  <c:v>3.7640558755767384E-2</c:v>
                </c:pt>
                <c:pt idx="6">
                  <c:v>7.2667451991973026E-2</c:v>
                </c:pt>
                <c:pt idx="7">
                  <c:v>0.13524129298114196</c:v>
                </c:pt>
                <c:pt idx="8">
                  <c:v>0.2757067296209304</c:v>
                </c:pt>
                <c:pt idx="9">
                  <c:v>0.46965007539927839</c:v>
                </c:pt>
                <c:pt idx="10">
                  <c:v>0.70197873421734569</c:v>
                </c:pt>
                <c:pt idx="11">
                  <c:v>0.99999999999999989</c:v>
                </c:pt>
              </c:numCache>
            </c:numRef>
          </c:yVal>
          <c:smooth val="1"/>
          <c:extLst>
            <c:ext xmlns:c16="http://schemas.microsoft.com/office/drawing/2014/chart" uri="{C3380CC4-5D6E-409C-BE32-E72D297353CC}">
              <c16:uniqueId val="{00000001-BC00-4D32-8DF0-97E0034DD760}"/>
            </c:ext>
          </c:extLst>
        </c:ser>
        <c:ser>
          <c:idx val="1"/>
          <c:order val="1"/>
          <c:tx>
            <c:v>Equality Line</c:v>
          </c:tx>
          <c:spPr>
            <a:ln w="19050" cap="rnd">
              <a:solidFill>
                <a:schemeClr val="accent2"/>
              </a:solidFill>
              <a:round/>
            </a:ln>
            <a:effectLst/>
          </c:spPr>
          <c:marker>
            <c:symbol val="none"/>
          </c:marker>
          <c:xVal>
            <c:numRef>
              <c:f>Gini_2017!$H$6:$H$17</c:f>
              <c:numCache>
                <c:formatCode>0.00</c:formatCode>
                <c:ptCount val="12"/>
                <c:pt idx="0">
                  <c:v>0</c:v>
                </c:pt>
                <c:pt idx="1">
                  <c:v>0.31383459282660014</c:v>
                </c:pt>
                <c:pt idx="2">
                  <c:v>0.31865767550688429</c:v>
                </c:pt>
                <c:pt idx="3">
                  <c:v>0.34172287556186171</c:v>
                </c:pt>
                <c:pt idx="4">
                  <c:v>0.38444067484891736</c:v>
                </c:pt>
                <c:pt idx="5">
                  <c:v>0.39892852569062953</c:v>
                </c:pt>
                <c:pt idx="6">
                  <c:v>0.47273674565859564</c:v>
                </c:pt>
                <c:pt idx="7">
                  <c:v>0.51758473013830553</c:v>
                </c:pt>
                <c:pt idx="8">
                  <c:v>0.67429750228954144</c:v>
                </c:pt>
                <c:pt idx="9">
                  <c:v>0.81255797831521348</c:v>
                </c:pt>
                <c:pt idx="10">
                  <c:v>0.9592286998578432</c:v>
                </c:pt>
                <c:pt idx="11">
                  <c:v>0.99999999999999989</c:v>
                </c:pt>
              </c:numCache>
            </c:numRef>
          </c:xVal>
          <c:yVal>
            <c:numRef>
              <c:f>Gini_2017!$H$6:$H$17</c:f>
              <c:numCache>
                <c:formatCode>0.00</c:formatCode>
                <c:ptCount val="12"/>
                <c:pt idx="0">
                  <c:v>0</c:v>
                </c:pt>
                <c:pt idx="1">
                  <c:v>0.31383459282660014</c:v>
                </c:pt>
                <c:pt idx="2">
                  <c:v>0.31865767550688429</c:v>
                </c:pt>
                <c:pt idx="3">
                  <c:v>0.34172287556186171</c:v>
                </c:pt>
                <c:pt idx="4">
                  <c:v>0.38444067484891736</c:v>
                </c:pt>
                <c:pt idx="5">
                  <c:v>0.39892852569062953</c:v>
                </c:pt>
                <c:pt idx="6">
                  <c:v>0.47273674565859564</c:v>
                </c:pt>
                <c:pt idx="7">
                  <c:v>0.51758473013830553</c:v>
                </c:pt>
                <c:pt idx="8">
                  <c:v>0.67429750228954144</c:v>
                </c:pt>
                <c:pt idx="9">
                  <c:v>0.81255797831521348</c:v>
                </c:pt>
                <c:pt idx="10">
                  <c:v>0.9592286998578432</c:v>
                </c:pt>
                <c:pt idx="11">
                  <c:v>0.99999999999999989</c:v>
                </c:pt>
              </c:numCache>
            </c:numRef>
          </c:yVal>
          <c:smooth val="1"/>
          <c:extLst>
            <c:ext xmlns:c16="http://schemas.microsoft.com/office/drawing/2014/chart" uri="{C3380CC4-5D6E-409C-BE32-E72D297353CC}">
              <c16:uniqueId val="{00000002-BC00-4D32-8DF0-97E0034DD760}"/>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Precipitation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4231-49D3-8678-331140543E46}"/>
              </c:ext>
            </c:extLst>
          </c:dPt>
          <c:xVal>
            <c:numRef>
              <c:f>Gini_2017!$H$27:$H$38</c:f>
              <c:numCache>
                <c:formatCode>0.00</c:formatCode>
                <c:ptCount val="12"/>
                <c:pt idx="0">
                  <c:v>0</c:v>
                </c:pt>
                <c:pt idx="1">
                  <c:v>4.8230826802841548E-3</c:v>
                </c:pt>
                <c:pt idx="2">
                  <c:v>2.788828273526155E-2</c:v>
                </c:pt>
                <c:pt idx="3">
                  <c:v>7.0606082022317218E-2</c:v>
                </c:pt>
                <c:pt idx="4">
                  <c:v>8.5093932864029373E-2</c:v>
                </c:pt>
                <c:pt idx="5">
                  <c:v>0.15890215283199549</c:v>
                </c:pt>
                <c:pt idx="6">
                  <c:v>0.47273674565859564</c:v>
                </c:pt>
                <c:pt idx="7">
                  <c:v>0.51758473013830553</c:v>
                </c:pt>
                <c:pt idx="8">
                  <c:v>0.67429750228954144</c:v>
                </c:pt>
                <c:pt idx="9">
                  <c:v>0.82096822383217116</c:v>
                </c:pt>
                <c:pt idx="10">
                  <c:v>0.9592286998578432</c:v>
                </c:pt>
                <c:pt idx="11">
                  <c:v>0.99999999999999989</c:v>
                </c:pt>
              </c:numCache>
            </c:numRef>
          </c:xVal>
          <c:yVal>
            <c:numRef>
              <c:f>Gini_2017!$G$27:$G$38</c:f>
              <c:numCache>
                <c:formatCode>0.00</c:formatCode>
                <c:ptCount val="12"/>
                <c:pt idx="0">
                  <c:v>0</c:v>
                </c:pt>
                <c:pt idx="1">
                  <c:v>5.2999093049631314E-3</c:v>
                </c:pt>
                <c:pt idx="2">
                  <c:v>1.1764115874623525E-2</c:v>
                </c:pt>
                <c:pt idx="3">
                  <c:v>2.1200626048673787E-2</c:v>
                </c:pt>
                <c:pt idx="4">
                  <c:v>3.3560975242154255E-2</c:v>
                </c:pt>
                <c:pt idx="5">
                  <c:v>6.1108530255808799E-2</c:v>
                </c:pt>
                <c:pt idx="6">
                  <c:v>9.109586517054033E-2</c:v>
                </c:pt>
                <c:pt idx="7">
                  <c:v>0.14509025520478358</c:v>
                </c:pt>
                <c:pt idx="8">
                  <c:v>0.27648140963360179</c:v>
                </c:pt>
                <c:pt idx="9">
                  <c:v>0.44423734960873451</c:v>
                </c:pt>
                <c:pt idx="10">
                  <c:v>0.65136000022667062</c:v>
                </c:pt>
                <c:pt idx="11">
                  <c:v>1</c:v>
                </c:pt>
              </c:numCache>
            </c:numRef>
          </c:yVal>
          <c:smooth val="1"/>
          <c:extLst>
            <c:ext xmlns:c16="http://schemas.microsoft.com/office/drawing/2014/chart" uri="{C3380CC4-5D6E-409C-BE32-E72D297353CC}">
              <c16:uniqueId val="{00000001-4231-49D3-8678-331140543E46}"/>
            </c:ext>
          </c:extLst>
        </c:ser>
        <c:ser>
          <c:idx val="2"/>
          <c:order val="1"/>
          <c:tx>
            <c:v>Equality Line</c:v>
          </c:tx>
          <c:spPr>
            <a:ln w="19050" cap="rnd">
              <a:solidFill>
                <a:schemeClr val="accent2"/>
              </a:solidFill>
              <a:round/>
            </a:ln>
            <a:effectLst/>
          </c:spPr>
          <c:marker>
            <c:symbol val="none"/>
          </c:marker>
          <c:xVal>
            <c:numRef>
              <c:f>Gini_2017!$H$27:$H$38</c:f>
              <c:numCache>
                <c:formatCode>0.00</c:formatCode>
                <c:ptCount val="12"/>
                <c:pt idx="0">
                  <c:v>0</c:v>
                </c:pt>
                <c:pt idx="1">
                  <c:v>4.8230826802841548E-3</c:v>
                </c:pt>
                <c:pt idx="2">
                  <c:v>2.788828273526155E-2</c:v>
                </c:pt>
                <c:pt idx="3">
                  <c:v>7.0606082022317218E-2</c:v>
                </c:pt>
                <c:pt idx="4">
                  <c:v>8.5093932864029373E-2</c:v>
                </c:pt>
                <c:pt idx="5">
                  <c:v>0.15890215283199549</c:v>
                </c:pt>
                <c:pt idx="6">
                  <c:v>0.47273674565859564</c:v>
                </c:pt>
                <c:pt idx="7">
                  <c:v>0.51758473013830553</c:v>
                </c:pt>
                <c:pt idx="8">
                  <c:v>0.67429750228954144</c:v>
                </c:pt>
                <c:pt idx="9">
                  <c:v>0.82096822383217116</c:v>
                </c:pt>
                <c:pt idx="10">
                  <c:v>0.9592286998578432</c:v>
                </c:pt>
                <c:pt idx="11">
                  <c:v>0.99999999999999989</c:v>
                </c:pt>
              </c:numCache>
            </c:numRef>
          </c:xVal>
          <c:yVal>
            <c:numRef>
              <c:f>Gini_2017!$H$27:$H$38</c:f>
              <c:numCache>
                <c:formatCode>0.00</c:formatCode>
                <c:ptCount val="12"/>
                <c:pt idx="0">
                  <c:v>0</c:v>
                </c:pt>
                <c:pt idx="1">
                  <c:v>4.8230826802841548E-3</c:v>
                </c:pt>
                <c:pt idx="2">
                  <c:v>2.788828273526155E-2</c:v>
                </c:pt>
                <c:pt idx="3">
                  <c:v>7.0606082022317218E-2</c:v>
                </c:pt>
                <c:pt idx="4">
                  <c:v>8.5093932864029373E-2</c:v>
                </c:pt>
                <c:pt idx="5">
                  <c:v>0.15890215283199549</c:v>
                </c:pt>
                <c:pt idx="6">
                  <c:v>0.47273674565859564</c:v>
                </c:pt>
                <c:pt idx="7">
                  <c:v>0.51758473013830553</c:v>
                </c:pt>
                <c:pt idx="8">
                  <c:v>0.67429750228954144</c:v>
                </c:pt>
                <c:pt idx="9">
                  <c:v>0.82096822383217116</c:v>
                </c:pt>
                <c:pt idx="10">
                  <c:v>0.9592286998578432</c:v>
                </c:pt>
                <c:pt idx="11">
                  <c:v>0.99999999999999989</c:v>
                </c:pt>
              </c:numCache>
            </c:numRef>
          </c:yVal>
          <c:smooth val="1"/>
          <c:extLst>
            <c:ext xmlns:c16="http://schemas.microsoft.com/office/drawing/2014/chart" uri="{C3380CC4-5D6E-409C-BE32-E72D297353CC}">
              <c16:uniqueId val="{00000002-4231-49D3-8678-331140543E46}"/>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ETa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#REF!$H$6:$H$17</c:f>
            </c:numRef>
          </c:xVal>
          <c:yVal>
            <c:numRef>
              <c:f>#REF!$H$6:$H$17</c:f>
              <c:numCache>
                <c:formatCode>General</c:formatCode>
                <c:ptCount val="1"/>
                <c:pt idx="0">
                  <c:v>1</c:v>
                </c:pt>
              </c:numCache>
            </c:numRef>
          </c:yVal>
          <c:smooth val="1"/>
          <c:extLst>
            <c:ext xmlns:c16="http://schemas.microsoft.com/office/drawing/2014/chart" uri="{C3380CC4-5D6E-409C-BE32-E72D297353CC}">
              <c16:uniqueId val="{00000000-C090-4BD4-8984-5601F3D2145E}"/>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C090-4BD4-8984-5601F3D2145E}"/>
              </c:ext>
            </c:extLst>
          </c:dPt>
          <c:xVal>
            <c:numRef>
              <c:f>#REF!$H$6:$H$17</c:f>
            </c:numRef>
          </c:xVal>
          <c:yVal>
            <c:numRef>
              <c:f>#REF!$G$6:$G$17</c:f>
              <c:numCache>
                <c:formatCode>General</c:formatCode>
                <c:ptCount val="1"/>
                <c:pt idx="0">
                  <c:v>1</c:v>
                </c:pt>
              </c:numCache>
            </c:numRef>
          </c:yVal>
          <c:smooth val="0"/>
          <c:extLst>
            <c:ext xmlns:c16="http://schemas.microsoft.com/office/drawing/2014/chart" uri="{C3380CC4-5D6E-409C-BE32-E72D297353CC}">
              <c16:uniqueId val="{00000002-C090-4BD4-8984-5601F3D2145E}"/>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Gini_2017!$H$49:$H$60</c:f>
              <c:numCache>
                <c:formatCode>0.00</c:formatCode>
                <c:ptCount val="12"/>
                <c:pt idx="0">
                  <c:v>0</c:v>
                </c:pt>
                <c:pt idx="1">
                  <c:v>1.4487850841712153E-2</c:v>
                </c:pt>
                <c:pt idx="2">
                  <c:v>0.32832244366831231</c:v>
                </c:pt>
                <c:pt idx="3">
                  <c:v>0.46658291969398441</c:v>
                </c:pt>
                <c:pt idx="4">
                  <c:v>0.50735421983614104</c:v>
                </c:pt>
                <c:pt idx="5">
                  <c:v>0.5500720191231967</c:v>
                </c:pt>
                <c:pt idx="6">
                  <c:v>0.57313721917817406</c:v>
                </c:pt>
                <c:pt idx="7">
                  <c:v>0.57796030185845826</c:v>
                </c:pt>
                <c:pt idx="8">
                  <c:v>0.65176852182642442</c:v>
                </c:pt>
                <c:pt idx="9">
                  <c:v>0.80848129397766033</c:v>
                </c:pt>
                <c:pt idx="10">
                  <c:v>0.85332927845737028</c:v>
                </c:pt>
                <c:pt idx="11">
                  <c:v>1</c:v>
                </c:pt>
              </c:numCache>
            </c:numRef>
          </c:xVal>
          <c:yVal>
            <c:numRef>
              <c:f>Gini_2017!$H$49:$H$60</c:f>
              <c:numCache>
                <c:formatCode>0.00</c:formatCode>
                <c:ptCount val="12"/>
                <c:pt idx="0">
                  <c:v>0</c:v>
                </c:pt>
                <c:pt idx="1">
                  <c:v>1.4487850841712153E-2</c:v>
                </c:pt>
                <c:pt idx="2">
                  <c:v>0.32832244366831231</c:v>
                </c:pt>
                <c:pt idx="3">
                  <c:v>0.46658291969398441</c:v>
                </c:pt>
                <c:pt idx="4">
                  <c:v>0.50735421983614104</c:v>
                </c:pt>
                <c:pt idx="5">
                  <c:v>0.5500720191231967</c:v>
                </c:pt>
                <c:pt idx="6">
                  <c:v>0.57313721917817406</c:v>
                </c:pt>
                <c:pt idx="7">
                  <c:v>0.57796030185845826</c:v>
                </c:pt>
                <c:pt idx="8">
                  <c:v>0.65176852182642442</c:v>
                </c:pt>
                <c:pt idx="9">
                  <c:v>0.80848129397766033</c:v>
                </c:pt>
                <c:pt idx="10">
                  <c:v>0.85332927845737028</c:v>
                </c:pt>
                <c:pt idx="11">
                  <c:v>1</c:v>
                </c:pt>
              </c:numCache>
            </c:numRef>
          </c:yVal>
          <c:smooth val="1"/>
          <c:extLst>
            <c:ext xmlns:c16="http://schemas.microsoft.com/office/drawing/2014/chart" uri="{C3380CC4-5D6E-409C-BE32-E72D297353CC}">
              <c16:uniqueId val="{00000000-8556-4336-A5A8-52E11BE304D5}"/>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8556-4336-A5A8-52E11BE304D5}"/>
              </c:ext>
            </c:extLst>
          </c:dPt>
          <c:xVal>
            <c:numRef>
              <c:f>Gini_2017!$H$49:$H$60</c:f>
              <c:numCache>
                <c:formatCode>0.00</c:formatCode>
                <c:ptCount val="12"/>
                <c:pt idx="0">
                  <c:v>0</c:v>
                </c:pt>
                <c:pt idx="1">
                  <c:v>1.4487850841712153E-2</c:v>
                </c:pt>
                <c:pt idx="2">
                  <c:v>0.32832244366831231</c:v>
                </c:pt>
                <c:pt idx="3">
                  <c:v>0.46658291969398441</c:v>
                </c:pt>
                <c:pt idx="4">
                  <c:v>0.50735421983614104</c:v>
                </c:pt>
                <c:pt idx="5">
                  <c:v>0.5500720191231967</c:v>
                </c:pt>
                <c:pt idx="6">
                  <c:v>0.57313721917817406</c:v>
                </c:pt>
                <c:pt idx="7">
                  <c:v>0.57796030185845826</c:v>
                </c:pt>
                <c:pt idx="8">
                  <c:v>0.65176852182642442</c:v>
                </c:pt>
                <c:pt idx="9">
                  <c:v>0.80848129397766033</c:v>
                </c:pt>
                <c:pt idx="10">
                  <c:v>0.85332927845737028</c:v>
                </c:pt>
                <c:pt idx="11">
                  <c:v>1</c:v>
                </c:pt>
              </c:numCache>
            </c:numRef>
          </c:xVal>
          <c:yVal>
            <c:numRef>
              <c:f>Gini_2017!$G$49:$G$60</c:f>
              <c:numCache>
                <c:formatCode>0.00</c:formatCode>
                <c:ptCount val="12"/>
                <c:pt idx="0">
                  <c:v>0</c:v>
                </c:pt>
                <c:pt idx="1">
                  <c:v>0</c:v>
                </c:pt>
                <c:pt idx="2">
                  <c:v>0</c:v>
                </c:pt>
                <c:pt idx="3">
                  <c:v>0</c:v>
                </c:pt>
                <c:pt idx="4">
                  <c:v>0</c:v>
                </c:pt>
                <c:pt idx="5">
                  <c:v>7.5433856413997481E-3</c:v>
                </c:pt>
                <c:pt idx="6">
                  <c:v>1.7266325876753193E-2</c:v>
                </c:pt>
                <c:pt idx="7">
                  <c:v>3.3322901571884077E-2</c:v>
                </c:pt>
                <c:pt idx="8">
                  <c:v>0.11202401131199832</c:v>
                </c:pt>
                <c:pt idx="9">
                  <c:v>0.22111542998848044</c:v>
                </c:pt>
                <c:pt idx="10">
                  <c:v>0.35758044200230887</c:v>
                </c:pt>
                <c:pt idx="11">
                  <c:v>1</c:v>
                </c:pt>
              </c:numCache>
            </c:numRef>
          </c:yVal>
          <c:smooth val="0"/>
          <c:extLst>
            <c:ext xmlns:c16="http://schemas.microsoft.com/office/drawing/2014/chart" uri="{C3380CC4-5D6E-409C-BE32-E72D297353CC}">
              <c16:uniqueId val="{00000002-8556-4336-A5A8-52E11BE304D5}"/>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Gini_2017!$H$70:$H$81</c:f>
              <c:numCache>
                <c:formatCode>0.00</c:formatCode>
                <c:ptCount val="12"/>
                <c:pt idx="0">
                  <c:v>0</c:v>
                </c:pt>
                <c:pt idx="1">
                  <c:v>1.4487850841712153E-2</c:v>
                </c:pt>
                <c:pt idx="2">
                  <c:v>5.5259150983868813E-2</c:v>
                </c:pt>
                <c:pt idx="3">
                  <c:v>7.8324351038846204E-2</c:v>
                </c:pt>
                <c:pt idx="4">
                  <c:v>8.3147433719130359E-2</c:v>
                </c:pt>
                <c:pt idx="5">
                  <c:v>0.12586523300618602</c:v>
                </c:pt>
                <c:pt idx="6">
                  <c:v>0.19967345297415212</c:v>
                </c:pt>
                <c:pt idx="7">
                  <c:v>0.33793392899982422</c:v>
                </c:pt>
                <c:pt idx="8">
                  <c:v>0.38278191347953416</c:v>
                </c:pt>
                <c:pt idx="9">
                  <c:v>0.69661650630613425</c:v>
                </c:pt>
                <c:pt idx="10">
                  <c:v>0.85332927845737017</c:v>
                </c:pt>
                <c:pt idx="11">
                  <c:v>1</c:v>
                </c:pt>
              </c:numCache>
            </c:numRef>
          </c:xVal>
          <c:yVal>
            <c:numRef>
              <c:f>Gini_2017!$H$70:$H$81</c:f>
              <c:numCache>
                <c:formatCode>0.00</c:formatCode>
                <c:ptCount val="12"/>
                <c:pt idx="0">
                  <c:v>0</c:v>
                </c:pt>
                <c:pt idx="1">
                  <c:v>1.4487850841712153E-2</c:v>
                </c:pt>
                <c:pt idx="2">
                  <c:v>5.5259150983868813E-2</c:v>
                </c:pt>
                <c:pt idx="3">
                  <c:v>7.8324351038846204E-2</c:v>
                </c:pt>
                <c:pt idx="4">
                  <c:v>8.3147433719130359E-2</c:v>
                </c:pt>
                <c:pt idx="5">
                  <c:v>0.12586523300618602</c:v>
                </c:pt>
                <c:pt idx="6">
                  <c:v>0.19967345297415212</c:v>
                </c:pt>
                <c:pt idx="7">
                  <c:v>0.33793392899982422</c:v>
                </c:pt>
                <c:pt idx="8">
                  <c:v>0.38278191347953416</c:v>
                </c:pt>
                <c:pt idx="9">
                  <c:v>0.69661650630613425</c:v>
                </c:pt>
                <c:pt idx="10">
                  <c:v>0.85332927845737017</c:v>
                </c:pt>
                <c:pt idx="11">
                  <c:v>1</c:v>
                </c:pt>
              </c:numCache>
            </c:numRef>
          </c:yVal>
          <c:smooth val="1"/>
          <c:extLst>
            <c:ext xmlns:c16="http://schemas.microsoft.com/office/drawing/2014/chart" uri="{C3380CC4-5D6E-409C-BE32-E72D297353CC}">
              <c16:uniqueId val="{00000000-8706-4A1E-B031-84D5305FF7BC}"/>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8706-4A1E-B031-84D5305FF7BC}"/>
              </c:ext>
            </c:extLst>
          </c:dPt>
          <c:xVal>
            <c:numRef>
              <c:f>Gini_2017!$H$70:$H$81</c:f>
              <c:numCache>
                <c:formatCode>0.00</c:formatCode>
                <c:ptCount val="12"/>
                <c:pt idx="0">
                  <c:v>0</c:v>
                </c:pt>
                <c:pt idx="1">
                  <c:v>1.4487850841712153E-2</c:v>
                </c:pt>
                <c:pt idx="2">
                  <c:v>5.5259150983868813E-2</c:v>
                </c:pt>
                <c:pt idx="3">
                  <c:v>7.8324351038846204E-2</c:v>
                </c:pt>
                <c:pt idx="4">
                  <c:v>8.3147433719130359E-2</c:v>
                </c:pt>
                <c:pt idx="5">
                  <c:v>0.12586523300618602</c:v>
                </c:pt>
                <c:pt idx="6">
                  <c:v>0.19967345297415212</c:v>
                </c:pt>
                <c:pt idx="7">
                  <c:v>0.33793392899982422</c:v>
                </c:pt>
                <c:pt idx="8">
                  <c:v>0.38278191347953416</c:v>
                </c:pt>
                <c:pt idx="9">
                  <c:v>0.69661650630613425</c:v>
                </c:pt>
                <c:pt idx="10">
                  <c:v>0.85332927845737017</c:v>
                </c:pt>
                <c:pt idx="11">
                  <c:v>1</c:v>
                </c:pt>
              </c:numCache>
            </c:numRef>
          </c:xVal>
          <c:yVal>
            <c:numRef>
              <c:f>Gini_2017!$G$70:$G$81</c:f>
              <c:numCache>
                <c:formatCode>0.00</c:formatCode>
                <c:ptCount val="12"/>
                <c:pt idx="0">
                  <c:v>0</c:v>
                </c:pt>
                <c:pt idx="1">
                  <c:v>0</c:v>
                </c:pt>
                <c:pt idx="2">
                  <c:v>0</c:v>
                </c:pt>
                <c:pt idx="3">
                  <c:v>6.9246761283121381E-3</c:v>
                </c:pt>
                <c:pt idx="4">
                  <c:v>1.836016618863625E-2</c:v>
                </c:pt>
                <c:pt idx="5">
                  <c:v>3.7000854407720704E-2</c:v>
                </c:pt>
                <c:pt idx="6">
                  <c:v>9.3051769326178202E-2</c:v>
                </c:pt>
                <c:pt idx="7">
                  <c:v>0.15538933565941676</c:v>
                </c:pt>
                <c:pt idx="8">
                  <c:v>0.25257969044592188</c:v>
                </c:pt>
                <c:pt idx="9">
                  <c:v>0.39110010130953654</c:v>
                </c:pt>
                <c:pt idx="10">
                  <c:v>0.54246891681467435</c:v>
                </c:pt>
                <c:pt idx="11">
                  <c:v>1</c:v>
                </c:pt>
              </c:numCache>
            </c:numRef>
          </c:yVal>
          <c:smooth val="0"/>
          <c:extLst>
            <c:ext xmlns:c16="http://schemas.microsoft.com/office/drawing/2014/chart" uri="{C3380CC4-5D6E-409C-BE32-E72D297353CC}">
              <c16:uniqueId val="{00000002-8706-4A1E-B031-84D5305FF7BC}"/>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1.6122160326311905E-2"/>
              <c:y val="0.1433927801895390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Gini_2017!$H$157:$H$168</c:f>
              <c:numCache>
                <c:formatCode>0.00</c:formatCode>
                <c:ptCount val="12"/>
                <c:pt idx="0">
                  <c:v>0</c:v>
                </c:pt>
                <c:pt idx="1">
                  <c:v>8.6508040877704764E-3</c:v>
                </c:pt>
                <c:pt idx="2">
                  <c:v>8.7550621011252439E-2</c:v>
                </c:pt>
                <c:pt idx="3">
                  <c:v>9.5853707312798492E-2</c:v>
                </c:pt>
                <c:pt idx="4">
                  <c:v>0.11905086979997323</c:v>
                </c:pt>
                <c:pt idx="5">
                  <c:v>0.44626044365656126</c:v>
                </c:pt>
                <c:pt idx="6">
                  <c:v>0.50931019010288425</c:v>
                </c:pt>
                <c:pt idx="7">
                  <c:v>0.57089060083138554</c:v>
                </c:pt>
                <c:pt idx="8">
                  <c:v>0.8442664394334396</c:v>
                </c:pt>
                <c:pt idx="9">
                  <c:v>0.85795254645455077</c:v>
                </c:pt>
                <c:pt idx="10">
                  <c:v>0.98464491670321019</c:v>
                </c:pt>
                <c:pt idx="11">
                  <c:v>1.0000000000000002</c:v>
                </c:pt>
              </c:numCache>
            </c:numRef>
          </c:xVal>
          <c:yVal>
            <c:numRef>
              <c:f>Gini_2017!$H$157:$H$168</c:f>
              <c:numCache>
                <c:formatCode>0.00</c:formatCode>
                <c:ptCount val="12"/>
                <c:pt idx="0">
                  <c:v>0</c:v>
                </c:pt>
                <c:pt idx="1">
                  <c:v>8.6508040877704764E-3</c:v>
                </c:pt>
                <c:pt idx="2">
                  <c:v>8.7550621011252439E-2</c:v>
                </c:pt>
                <c:pt idx="3">
                  <c:v>9.5853707312798492E-2</c:v>
                </c:pt>
                <c:pt idx="4">
                  <c:v>0.11905086979997323</c:v>
                </c:pt>
                <c:pt idx="5">
                  <c:v>0.44626044365656126</c:v>
                </c:pt>
                <c:pt idx="6">
                  <c:v>0.50931019010288425</c:v>
                </c:pt>
                <c:pt idx="7">
                  <c:v>0.57089060083138554</c:v>
                </c:pt>
                <c:pt idx="8">
                  <c:v>0.8442664394334396</c:v>
                </c:pt>
                <c:pt idx="9">
                  <c:v>0.85795254645455077</c:v>
                </c:pt>
                <c:pt idx="10">
                  <c:v>0.98464491670321019</c:v>
                </c:pt>
                <c:pt idx="11">
                  <c:v>1.0000000000000002</c:v>
                </c:pt>
              </c:numCache>
            </c:numRef>
          </c:yVal>
          <c:smooth val="1"/>
          <c:extLst>
            <c:ext xmlns:c16="http://schemas.microsoft.com/office/drawing/2014/chart" uri="{C3380CC4-5D6E-409C-BE32-E72D297353CC}">
              <c16:uniqueId val="{00000000-F14C-472A-A154-12620B362782}"/>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F14C-472A-A154-12620B362782}"/>
              </c:ext>
            </c:extLst>
          </c:dPt>
          <c:xVal>
            <c:numRef>
              <c:f>Gini_2017!$H$281:$H$292</c:f>
              <c:numCache>
                <c:formatCode>0.00</c:formatCode>
                <c:ptCount val="12"/>
                <c:pt idx="0">
                  <c:v>0</c:v>
                </c:pt>
                <c:pt idx="1">
                  <c:v>8.6508040877704747E-3</c:v>
                </c:pt>
                <c:pt idx="2">
                  <c:v>0.13534317433642989</c:v>
                </c:pt>
                <c:pt idx="3">
                  <c:v>0.14364626063797595</c:v>
                </c:pt>
                <c:pt idx="4">
                  <c:v>0.15900134393476589</c:v>
                </c:pt>
                <c:pt idx="5">
                  <c:v>0.22205109038108894</c:v>
                </c:pt>
                <c:pt idx="6">
                  <c:v>0.28363150110959018</c:v>
                </c:pt>
                <c:pt idx="7">
                  <c:v>0.36253131803307215</c:v>
                </c:pt>
                <c:pt idx="8">
                  <c:v>0.63590715663512609</c:v>
                </c:pt>
                <c:pt idx="9">
                  <c:v>0.64959326365623726</c:v>
                </c:pt>
                <c:pt idx="10">
                  <c:v>0.97680283751282515</c:v>
                </c:pt>
                <c:pt idx="11">
                  <c:v>0.99999999999999989</c:v>
                </c:pt>
              </c:numCache>
            </c:numRef>
          </c:xVal>
          <c:yVal>
            <c:numRef>
              <c:f>Gini_2017!$G$281:$G$292</c:f>
              <c:numCache>
                <c:formatCode>0.00</c:formatCode>
                <c:ptCount val="12"/>
                <c:pt idx="0">
                  <c:v>0</c:v>
                </c:pt>
                <c:pt idx="1">
                  <c:v>1.3686107021111144E-2</c:v>
                </c:pt>
                <c:pt idx="2">
                  <c:v>2.1989193322657197E-2</c:v>
                </c:pt>
                <c:pt idx="3">
                  <c:v>8.356960405115843E-2</c:v>
                </c:pt>
                <c:pt idx="4">
                  <c:v>9.22204081389289E-2</c:v>
                </c:pt>
                <c:pt idx="5">
                  <c:v>0.36559624674098284</c:v>
                </c:pt>
                <c:pt idx="6">
                  <c:v>0.4286459931873059</c:v>
                </c:pt>
                <c:pt idx="7">
                  <c:v>0.45184315567448063</c:v>
                </c:pt>
                <c:pt idx="8">
                  <c:v>0.77905272953106852</c:v>
                </c:pt>
                <c:pt idx="9">
                  <c:v>0.79440781282785844</c:v>
                </c:pt>
                <c:pt idx="10">
                  <c:v>0.87330762975134046</c:v>
                </c:pt>
                <c:pt idx="11">
                  <c:v>0.99999999999999989</c:v>
                </c:pt>
              </c:numCache>
            </c:numRef>
          </c:yVal>
          <c:smooth val="0"/>
          <c:extLst>
            <c:ext xmlns:c16="http://schemas.microsoft.com/office/drawing/2014/chart" uri="{C3380CC4-5D6E-409C-BE32-E72D297353CC}">
              <c16:uniqueId val="{00000002-F14C-472A-A154-12620B362782}"/>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Gini_2017!$H$70:$H$81</c:f>
              <c:numCache>
                <c:formatCode>0.00</c:formatCode>
                <c:ptCount val="12"/>
                <c:pt idx="0">
                  <c:v>0</c:v>
                </c:pt>
                <c:pt idx="1">
                  <c:v>1.4487850841712153E-2</c:v>
                </c:pt>
                <c:pt idx="2">
                  <c:v>5.5259150983868813E-2</c:v>
                </c:pt>
                <c:pt idx="3">
                  <c:v>7.8324351038846204E-2</c:v>
                </c:pt>
                <c:pt idx="4">
                  <c:v>8.3147433719130359E-2</c:v>
                </c:pt>
                <c:pt idx="5">
                  <c:v>0.12586523300618602</c:v>
                </c:pt>
                <c:pt idx="6">
                  <c:v>0.19967345297415212</c:v>
                </c:pt>
                <c:pt idx="7">
                  <c:v>0.33793392899982422</c:v>
                </c:pt>
                <c:pt idx="8">
                  <c:v>0.38278191347953416</c:v>
                </c:pt>
                <c:pt idx="9">
                  <c:v>0.69661650630613425</c:v>
                </c:pt>
                <c:pt idx="10">
                  <c:v>0.85332927845737017</c:v>
                </c:pt>
                <c:pt idx="11">
                  <c:v>1</c:v>
                </c:pt>
              </c:numCache>
            </c:numRef>
          </c:xVal>
          <c:yVal>
            <c:numRef>
              <c:f>Gini_2017!$H$70:$H$81</c:f>
              <c:numCache>
                <c:formatCode>0.00</c:formatCode>
                <c:ptCount val="12"/>
                <c:pt idx="0">
                  <c:v>0</c:v>
                </c:pt>
                <c:pt idx="1">
                  <c:v>1.4487850841712153E-2</c:v>
                </c:pt>
                <c:pt idx="2">
                  <c:v>5.5259150983868813E-2</c:v>
                </c:pt>
                <c:pt idx="3">
                  <c:v>7.8324351038846204E-2</c:v>
                </c:pt>
                <c:pt idx="4">
                  <c:v>8.3147433719130359E-2</c:v>
                </c:pt>
                <c:pt idx="5">
                  <c:v>0.12586523300618602</c:v>
                </c:pt>
                <c:pt idx="6">
                  <c:v>0.19967345297415212</c:v>
                </c:pt>
                <c:pt idx="7">
                  <c:v>0.33793392899982422</c:v>
                </c:pt>
                <c:pt idx="8">
                  <c:v>0.38278191347953416</c:v>
                </c:pt>
                <c:pt idx="9">
                  <c:v>0.69661650630613425</c:v>
                </c:pt>
                <c:pt idx="10">
                  <c:v>0.85332927845737017</c:v>
                </c:pt>
                <c:pt idx="11">
                  <c:v>1</c:v>
                </c:pt>
              </c:numCache>
            </c:numRef>
          </c:yVal>
          <c:smooth val="1"/>
          <c:extLst>
            <c:ext xmlns:c16="http://schemas.microsoft.com/office/drawing/2014/chart" uri="{C3380CC4-5D6E-409C-BE32-E72D297353CC}">
              <c16:uniqueId val="{00000000-446D-4907-8275-45BFC6E616EF}"/>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446D-4907-8275-45BFC6E616EF}"/>
              </c:ext>
            </c:extLst>
          </c:dPt>
          <c:xVal>
            <c:numRef>
              <c:f>Gini_2017!$H$261:$H$272</c:f>
              <c:numCache>
                <c:formatCode>0.00</c:formatCode>
                <c:ptCount val="12"/>
                <c:pt idx="0">
                  <c:v>0</c:v>
                </c:pt>
                <c:pt idx="1">
                  <c:v>1.448785084171215E-2</c:v>
                </c:pt>
                <c:pt idx="2">
                  <c:v>0.16115857238434189</c:v>
                </c:pt>
                <c:pt idx="3">
                  <c:v>0.16598165506462603</c:v>
                </c:pt>
                <c:pt idx="4">
                  <c:v>0.20675295520678269</c:v>
                </c:pt>
                <c:pt idx="5">
                  <c:v>0.28056117517474877</c:v>
                </c:pt>
                <c:pt idx="6">
                  <c:v>0.32540915965445871</c:v>
                </c:pt>
                <c:pt idx="7">
                  <c:v>0.46366963568013075</c:v>
                </c:pt>
                <c:pt idx="8">
                  <c:v>0.62038240783136667</c:v>
                </c:pt>
                <c:pt idx="9">
                  <c:v>0.64344760788634403</c:v>
                </c:pt>
                <c:pt idx="10">
                  <c:v>0.95728220071294412</c:v>
                </c:pt>
                <c:pt idx="11">
                  <c:v>0.99999999999999978</c:v>
                </c:pt>
              </c:numCache>
            </c:numRef>
          </c:xVal>
          <c:yVal>
            <c:numRef>
              <c:f>Gini_2017!$G$261:$G$272</c:f>
              <c:numCache>
                <c:formatCode>0.00</c:formatCode>
                <c:ptCount val="12"/>
                <c:pt idx="0">
                  <c:v>0</c:v>
                </c:pt>
                <c:pt idx="1">
                  <c:v>2.3065200054977399E-2</c:v>
                </c:pt>
                <c:pt idx="2">
                  <c:v>3.7553050896689553E-2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yVal>
          <c:smooth val="0"/>
          <c:extLst>
            <c:ext xmlns:c16="http://schemas.microsoft.com/office/drawing/2014/chart" uri="{C3380CC4-5D6E-409C-BE32-E72D297353CC}">
              <c16:uniqueId val="{00000002-446D-4907-8275-45BFC6E616EF}"/>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2.4106839487888897E-2"/>
              <c:y val="0.213799288086293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Gini_2017!$H$70:$H$81</c:f>
              <c:numCache>
                <c:formatCode>0.00</c:formatCode>
                <c:ptCount val="12"/>
                <c:pt idx="0">
                  <c:v>0</c:v>
                </c:pt>
                <c:pt idx="1">
                  <c:v>1.4487850841712153E-2</c:v>
                </c:pt>
                <c:pt idx="2">
                  <c:v>5.5259150983868813E-2</c:v>
                </c:pt>
                <c:pt idx="3">
                  <c:v>7.8324351038846204E-2</c:v>
                </c:pt>
                <c:pt idx="4">
                  <c:v>8.3147433719130359E-2</c:v>
                </c:pt>
                <c:pt idx="5">
                  <c:v>0.12586523300618602</c:v>
                </c:pt>
                <c:pt idx="6">
                  <c:v>0.19967345297415212</c:v>
                </c:pt>
                <c:pt idx="7">
                  <c:v>0.33793392899982422</c:v>
                </c:pt>
                <c:pt idx="8">
                  <c:v>0.38278191347953416</c:v>
                </c:pt>
                <c:pt idx="9">
                  <c:v>0.69661650630613425</c:v>
                </c:pt>
                <c:pt idx="10">
                  <c:v>0.85332927845737017</c:v>
                </c:pt>
                <c:pt idx="11">
                  <c:v>1</c:v>
                </c:pt>
              </c:numCache>
            </c:numRef>
          </c:xVal>
          <c:yVal>
            <c:numRef>
              <c:f>Gini_2017!$H$70:$H$81</c:f>
              <c:numCache>
                <c:formatCode>0.00</c:formatCode>
                <c:ptCount val="12"/>
                <c:pt idx="0">
                  <c:v>0</c:v>
                </c:pt>
                <c:pt idx="1">
                  <c:v>1.4487850841712153E-2</c:v>
                </c:pt>
                <c:pt idx="2">
                  <c:v>5.5259150983868813E-2</c:v>
                </c:pt>
                <c:pt idx="3">
                  <c:v>7.8324351038846204E-2</c:v>
                </c:pt>
                <c:pt idx="4">
                  <c:v>8.3147433719130359E-2</c:v>
                </c:pt>
                <c:pt idx="5">
                  <c:v>0.12586523300618602</c:v>
                </c:pt>
                <c:pt idx="6">
                  <c:v>0.19967345297415212</c:v>
                </c:pt>
                <c:pt idx="7">
                  <c:v>0.33793392899982422</c:v>
                </c:pt>
                <c:pt idx="8">
                  <c:v>0.38278191347953416</c:v>
                </c:pt>
                <c:pt idx="9">
                  <c:v>0.69661650630613425</c:v>
                </c:pt>
                <c:pt idx="10">
                  <c:v>0.85332927845737017</c:v>
                </c:pt>
                <c:pt idx="11">
                  <c:v>1</c:v>
                </c:pt>
              </c:numCache>
            </c:numRef>
          </c:yVal>
          <c:smooth val="1"/>
          <c:extLst>
            <c:ext xmlns:c16="http://schemas.microsoft.com/office/drawing/2014/chart" uri="{C3380CC4-5D6E-409C-BE32-E72D297353CC}">
              <c16:uniqueId val="{00000000-E237-404F-BEE6-897D8323E22A}"/>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E237-404F-BEE6-897D8323E22A}"/>
              </c:ext>
            </c:extLst>
          </c:dPt>
          <c:xVal>
            <c:numRef>
              <c:f>Gini_2017!$H$303:$H$314</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Gini_2017!$G$303:$G$314</c:f>
              <c:numCache>
                <c:formatCode>0.00</c:formatCode>
                <c:ptCount val="12"/>
                <c:pt idx="0">
                  <c:v>0</c:v>
                </c:pt>
                <c:pt idx="1">
                  <c:v>9.0909090909090925E-2</c:v>
                </c:pt>
                <c:pt idx="2">
                  <c:v>0.18181818181818185</c:v>
                </c:pt>
                <c:pt idx="3">
                  <c:v>0.27272727272727276</c:v>
                </c:pt>
                <c:pt idx="4">
                  <c:v>0.3636363636363637</c:v>
                </c:pt>
                <c:pt idx="5">
                  <c:v>0.45454545454545464</c:v>
                </c:pt>
                <c:pt idx="6">
                  <c:v>0.54545454545454553</c:v>
                </c:pt>
                <c:pt idx="7">
                  <c:v>0.63636363636363646</c:v>
                </c:pt>
                <c:pt idx="8">
                  <c:v>0.7272727272727274</c:v>
                </c:pt>
                <c:pt idx="9">
                  <c:v>0.81818181818181834</c:v>
                </c:pt>
                <c:pt idx="10">
                  <c:v>0.90909090909090928</c:v>
                </c:pt>
                <c:pt idx="11">
                  <c:v>1.0000000000000002</c:v>
                </c:pt>
              </c:numCache>
            </c:numRef>
          </c:yVal>
          <c:smooth val="0"/>
          <c:extLst>
            <c:ext xmlns:c16="http://schemas.microsoft.com/office/drawing/2014/chart" uri="{C3380CC4-5D6E-409C-BE32-E72D297353CC}">
              <c16:uniqueId val="{00000002-E237-404F-BEE6-897D8323E22A}"/>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2.4106839487888897E-2"/>
              <c:y val="0.213799288086293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Gini_2017!$H$70:$H$81</c:f>
              <c:numCache>
                <c:formatCode>0.00</c:formatCode>
                <c:ptCount val="12"/>
                <c:pt idx="0">
                  <c:v>0</c:v>
                </c:pt>
                <c:pt idx="1">
                  <c:v>1.4487850841712153E-2</c:v>
                </c:pt>
                <c:pt idx="2">
                  <c:v>5.5259150983868813E-2</c:v>
                </c:pt>
                <c:pt idx="3">
                  <c:v>7.8324351038846204E-2</c:v>
                </c:pt>
                <c:pt idx="4">
                  <c:v>8.3147433719130359E-2</c:v>
                </c:pt>
                <c:pt idx="5">
                  <c:v>0.12586523300618602</c:v>
                </c:pt>
                <c:pt idx="6">
                  <c:v>0.19967345297415212</c:v>
                </c:pt>
                <c:pt idx="7">
                  <c:v>0.33793392899982422</c:v>
                </c:pt>
                <c:pt idx="8">
                  <c:v>0.38278191347953416</c:v>
                </c:pt>
                <c:pt idx="9">
                  <c:v>0.69661650630613425</c:v>
                </c:pt>
                <c:pt idx="10">
                  <c:v>0.85332927845737017</c:v>
                </c:pt>
                <c:pt idx="11">
                  <c:v>1</c:v>
                </c:pt>
              </c:numCache>
            </c:numRef>
          </c:xVal>
          <c:yVal>
            <c:numRef>
              <c:f>Gini_2017!$H$70:$H$81</c:f>
              <c:numCache>
                <c:formatCode>0.00</c:formatCode>
                <c:ptCount val="12"/>
                <c:pt idx="0">
                  <c:v>0</c:v>
                </c:pt>
                <c:pt idx="1">
                  <c:v>1.4487850841712153E-2</c:v>
                </c:pt>
                <c:pt idx="2">
                  <c:v>5.5259150983868813E-2</c:v>
                </c:pt>
                <c:pt idx="3">
                  <c:v>7.8324351038846204E-2</c:v>
                </c:pt>
                <c:pt idx="4">
                  <c:v>8.3147433719130359E-2</c:v>
                </c:pt>
                <c:pt idx="5">
                  <c:v>0.12586523300618602</c:v>
                </c:pt>
                <c:pt idx="6">
                  <c:v>0.19967345297415212</c:v>
                </c:pt>
                <c:pt idx="7">
                  <c:v>0.33793392899982422</c:v>
                </c:pt>
                <c:pt idx="8">
                  <c:v>0.38278191347953416</c:v>
                </c:pt>
                <c:pt idx="9">
                  <c:v>0.69661650630613425</c:v>
                </c:pt>
                <c:pt idx="10">
                  <c:v>0.85332927845737017</c:v>
                </c:pt>
                <c:pt idx="11">
                  <c:v>1</c:v>
                </c:pt>
              </c:numCache>
            </c:numRef>
          </c:yVal>
          <c:smooth val="1"/>
          <c:extLst>
            <c:ext xmlns:c16="http://schemas.microsoft.com/office/drawing/2014/chart" uri="{C3380CC4-5D6E-409C-BE32-E72D297353CC}">
              <c16:uniqueId val="{00000000-967B-4813-928F-3D2DEA616900}"/>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967B-4813-928F-3D2DEA616900}"/>
              </c:ext>
            </c:extLst>
          </c:dPt>
          <c:xVal>
            <c:numRef>
              <c:f>Gini_2017!$H$348:$H$359</c:f>
              <c:numCache>
                <c:formatCode>0.00</c:formatCode>
                <c:ptCount val="12"/>
                <c:pt idx="0">
                  <c:v>0</c:v>
                </c:pt>
                <c:pt idx="1">
                  <c:v>0.33482575255695196</c:v>
                </c:pt>
                <c:pt idx="2">
                  <c:v>0.34808406518308155</c:v>
                </c:pt>
                <c:pt idx="3">
                  <c:v>0.39253782057246689</c:v>
                </c:pt>
                <c:pt idx="4">
                  <c:v>0.44095975227368978</c:v>
                </c:pt>
                <c:pt idx="5">
                  <c:v>0.48280754910912532</c:v>
                </c:pt>
                <c:pt idx="6">
                  <c:v>0.64673822668644565</c:v>
                </c:pt>
                <c:pt idx="7">
                  <c:v>0.84776248541944721</c:v>
                </c:pt>
                <c:pt idx="8">
                  <c:v>1.2303401660277686</c:v>
                </c:pt>
                <c:pt idx="9">
                  <c:v>1.4536568384480413</c:v>
                </c:pt>
                <c:pt idx="10">
                  <c:v>1.883448786534734</c:v>
                </c:pt>
                <c:pt idx="11">
                  <c:v>2.0544517697225677</c:v>
                </c:pt>
              </c:numCache>
            </c:numRef>
          </c:xVal>
          <c:yVal>
            <c:numRef>
              <c:f>Gini_2017!$G$348:$G$359</c:f>
              <c:numCache>
                <c:formatCode>0.00</c:formatCode>
                <c:ptCount val="12"/>
                <c:pt idx="0">
                  <c:v>0</c:v>
                </c:pt>
                <c:pt idx="1">
                  <c:v>5.1876187913115629E-3</c:v>
                </c:pt>
                <c:pt idx="2">
                  <c:v>5.1876187913115629E-3</c:v>
                </c:pt>
                <c:pt idx="3">
                  <c:v>0.10896013797647085</c:v>
                </c:pt>
                <c:pt idx="4">
                  <c:v>0.11752703150702123</c:v>
                </c:pt>
                <c:pt idx="5">
                  <c:v>0.46028628851213682</c:v>
                </c:pt>
                <c:pt idx="6">
                  <c:v>0.50227681256168111</c:v>
                </c:pt>
                <c:pt idx="7">
                  <c:v>0.51624147786825525</c:v>
                </c:pt>
                <c:pt idx="8">
                  <c:v>0.56294164470967012</c:v>
                </c:pt>
                <c:pt idx="9">
                  <c:v>0.56294164470967012</c:v>
                </c:pt>
                <c:pt idx="10">
                  <c:v>0.63575176629258445</c:v>
                </c:pt>
                <c:pt idx="11">
                  <c:v>0.74914966349134138</c:v>
                </c:pt>
              </c:numCache>
            </c:numRef>
          </c:yVal>
          <c:smooth val="0"/>
          <c:extLst>
            <c:ext xmlns:c16="http://schemas.microsoft.com/office/drawing/2014/chart" uri="{C3380CC4-5D6E-409C-BE32-E72D297353CC}">
              <c16:uniqueId val="{00000002-967B-4813-928F-3D2DEA616900}"/>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2.4106839487888897E-2"/>
              <c:y val="0.213799288086293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Gini_2017!$H$94:$H$105</c:f>
              <c:numCache>
                <c:formatCode>0.00</c:formatCode>
                <c:ptCount val="12"/>
                <c:pt idx="0">
                  <c:v>0</c:v>
                </c:pt>
                <c:pt idx="1">
                  <c:v>1.3686107021111144E-2</c:v>
                </c:pt>
                <c:pt idx="2">
                  <c:v>2.19891933226572E-2</c:v>
                </c:pt>
                <c:pt idx="3">
                  <c:v>8.3569604051158444E-2</c:v>
                </c:pt>
                <c:pt idx="4">
                  <c:v>0.1624694209746404</c:v>
                </c:pt>
                <c:pt idx="5">
                  <c:v>0.17112022506241087</c:v>
                </c:pt>
                <c:pt idx="6">
                  <c:v>0.23416997150873392</c:v>
                </c:pt>
                <c:pt idx="7">
                  <c:v>0.50754581011078792</c:v>
                </c:pt>
                <c:pt idx="8">
                  <c:v>0.52290089340757784</c:v>
                </c:pt>
                <c:pt idx="9">
                  <c:v>0.64959326365623726</c:v>
                </c:pt>
                <c:pt idx="10">
                  <c:v>0.672790426143412</c:v>
                </c:pt>
                <c:pt idx="11">
                  <c:v>1</c:v>
                </c:pt>
              </c:numCache>
            </c:numRef>
          </c:xVal>
          <c:yVal>
            <c:numRef>
              <c:f>Gini_2017!$H$94:$H$105</c:f>
              <c:numCache>
                <c:formatCode>0.00</c:formatCode>
                <c:ptCount val="12"/>
                <c:pt idx="0">
                  <c:v>0</c:v>
                </c:pt>
                <c:pt idx="1">
                  <c:v>1.3686107021111144E-2</c:v>
                </c:pt>
                <c:pt idx="2">
                  <c:v>2.19891933226572E-2</c:v>
                </c:pt>
                <c:pt idx="3">
                  <c:v>8.3569604051158444E-2</c:v>
                </c:pt>
                <c:pt idx="4">
                  <c:v>0.1624694209746404</c:v>
                </c:pt>
                <c:pt idx="5">
                  <c:v>0.17112022506241087</c:v>
                </c:pt>
                <c:pt idx="6">
                  <c:v>0.23416997150873392</c:v>
                </c:pt>
                <c:pt idx="7">
                  <c:v>0.50754581011078792</c:v>
                </c:pt>
                <c:pt idx="8">
                  <c:v>0.52290089340757784</c:v>
                </c:pt>
                <c:pt idx="9">
                  <c:v>0.64959326365623726</c:v>
                </c:pt>
                <c:pt idx="10">
                  <c:v>0.672790426143412</c:v>
                </c:pt>
                <c:pt idx="11">
                  <c:v>1</c:v>
                </c:pt>
              </c:numCache>
            </c:numRef>
          </c:yVal>
          <c:smooth val="1"/>
          <c:extLst>
            <c:ext xmlns:c16="http://schemas.microsoft.com/office/drawing/2014/chart" uri="{C3380CC4-5D6E-409C-BE32-E72D297353CC}">
              <c16:uniqueId val="{00000000-1B59-40D1-AA67-4A8DDE0C0501}"/>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1B59-40D1-AA67-4A8DDE0C0501}"/>
              </c:ext>
            </c:extLst>
          </c:dPt>
          <c:xVal>
            <c:numRef>
              <c:f>Gini_2017!$H$178:$H$189</c:f>
              <c:numCache>
                <c:formatCode>0.00</c:formatCode>
                <c:ptCount val="12"/>
                <c:pt idx="0">
                  <c:v>0</c:v>
                </c:pt>
                <c:pt idx="1">
                  <c:v>4.3177805010323955E-3</c:v>
                </c:pt>
                <c:pt idx="2">
                  <c:v>1.1007544128936536E-2</c:v>
                </c:pt>
                <c:pt idx="3">
                  <c:v>9.325727140465466E-2</c:v>
                </c:pt>
                <c:pt idx="4">
                  <c:v>0.13244204863255682</c:v>
                </c:pt>
                <c:pt idx="5">
                  <c:v>0.14045556867961423</c:v>
                </c:pt>
                <c:pt idx="6">
                  <c:v>0.15664043335901212</c:v>
                </c:pt>
                <c:pt idx="7">
                  <c:v>0.27549046809090361</c:v>
                </c:pt>
                <c:pt idx="8">
                  <c:v>0.47737434020216463</c:v>
                </c:pt>
                <c:pt idx="9">
                  <c:v>0.55491051324997276</c:v>
                </c:pt>
                <c:pt idx="10">
                  <c:v>0.56172659856740315</c:v>
                </c:pt>
                <c:pt idx="11">
                  <c:v>1</c:v>
                </c:pt>
              </c:numCache>
            </c:numRef>
          </c:xVal>
          <c:yVal>
            <c:numRef>
              <c:f>Gini_2017!$G$178:$G$189</c:f>
              <c:numCache>
                <c:formatCode>0.00</c:formatCode>
                <c:ptCount val="12"/>
                <c:pt idx="0">
                  <c:v>0</c:v>
                </c:pt>
                <c:pt idx="1">
                  <c:v>1.6224065801728922E-3</c:v>
                </c:pt>
                <c:pt idx="2">
                  <c:v>8.5337488862051204E-3</c:v>
                </c:pt>
                <c:pt idx="3">
                  <c:v>1.60159843393166E-2</c:v>
                </c:pt>
                <c:pt idx="4">
                  <c:v>2.625422190151732E-2</c:v>
                </c:pt>
                <c:pt idx="5">
                  <c:v>3.7640558755767342E-2</c:v>
                </c:pt>
                <c:pt idx="6">
                  <c:v>7.266745199197297E-2</c:v>
                </c:pt>
                <c:pt idx="7">
                  <c:v>0.1352412929811419</c:v>
                </c:pt>
                <c:pt idx="8">
                  <c:v>0.27570672962093035</c:v>
                </c:pt>
                <c:pt idx="9">
                  <c:v>0.4696500753992785</c:v>
                </c:pt>
                <c:pt idx="10">
                  <c:v>0.7019787342173458</c:v>
                </c:pt>
                <c:pt idx="11">
                  <c:v>1</c:v>
                </c:pt>
              </c:numCache>
            </c:numRef>
          </c:yVal>
          <c:smooth val="0"/>
          <c:extLst>
            <c:ext xmlns:c16="http://schemas.microsoft.com/office/drawing/2014/chart" uri="{C3380CC4-5D6E-409C-BE32-E72D297353CC}">
              <c16:uniqueId val="{00000002-1B59-40D1-AA67-4A8DDE0C0501}"/>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Precipitation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01861863580613"/>
          <c:y val="0.1566342980154827"/>
          <c:w val="0.54960252622417904"/>
          <c:h val="0.65904922055244786"/>
        </c:manualLayout>
      </c:layout>
      <c:scatterChart>
        <c:scatterStyle val="smoothMarker"/>
        <c:varyColors val="0"/>
        <c:ser>
          <c:idx val="1"/>
          <c:order val="1"/>
          <c:tx>
            <c:v>Equality Line</c:v>
          </c:tx>
          <c:spPr>
            <a:ln w="19050" cap="rnd">
              <a:solidFill>
                <a:schemeClr val="accent2"/>
              </a:solidFill>
              <a:round/>
            </a:ln>
            <a:effectLst/>
          </c:spPr>
          <c:marker>
            <c:symbol val="none"/>
          </c:marker>
          <c:xVal>
            <c:numRef>
              <c:f>Gini_2017!$H$115:$H$126</c:f>
              <c:numCache>
                <c:formatCode>0.00</c:formatCode>
                <c:ptCount val="12"/>
                <c:pt idx="0">
                  <c:v>0</c:v>
                </c:pt>
                <c:pt idx="1">
                  <c:v>8.3030863015460567E-3</c:v>
                </c:pt>
                <c:pt idx="2">
                  <c:v>1.6953890389316533E-2</c:v>
                </c:pt>
                <c:pt idx="3">
                  <c:v>9.5853707312798506E-2</c:v>
                </c:pt>
                <c:pt idx="4">
                  <c:v>0.10953981433390965</c:v>
                </c:pt>
                <c:pt idx="5">
                  <c:v>0.1711202250624109</c:v>
                </c:pt>
                <c:pt idx="6">
                  <c:v>0.19431738754958564</c:v>
                </c:pt>
                <c:pt idx="7">
                  <c:v>0.52152696140617361</c:v>
                </c:pt>
                <c:pt idx="8">
                  <c:v>0.53688204470296352</c:v>
                </c:pt>
                <c:pt idx="9">
                  <c:v>0.59993179114928652</c:v>
                </c:pt>
                <c:pt idx="10">
                  <c:v>0.72662416139794594</c:v>
                </c:pt>
                <c:pt idx="11">
                  <c:v>1</c:v>
                </c:pt>
              </c:numCache>
            </c:numRef>
          </c:xVal>
          <c:yVal>
            <c:numRef>
              <c:f>Gini_2017!$H$115:$H$126</c:f>
              <c:numCache>
                <c:formatCode>0.00</c:formatCode>
                <c:ptCount val="12"/>
                <c:pt idx="0">
                  <c:v>0</c:v>
                </c:pt>
                <c:pt idx="1">
                  <c:v>8.3030863015460567E-3</c:v>
                </c:pt>
                <c:pt idx="2">
                  <c:v>1.6953890389316533E-2</c:v>
                </c:pt>
                <c:pt idx="3">
                  <c:v>9.5853707312798506E-2</c:v>
                </c:pt>
                <c:pt idx="4">
                  <c:v>0.10953981433390965</c:v>
                </c:pt>
                <c:pt idx="5">
                  <c:v>0.1711202250624109</c:v>
                </c:pt>
                <c:pt idx="6">
                  <c:v>0.19431738754958564</c:v>
                </c:pt>
                <c:pt idx="7">
                  <c:v>0.52152696140617361</c:v>
                </c:pt>
                <c:pt idx="8">
                  <c:v>0.53688204470296352</c:v>
                </c:pt>
                <c:pt idx="9">
                  <c:v>0.59993179114928652</c:v>
                </c:pt>
                <c:pt idx="10">
                  <c:v>0.72662416139794594</c:v>
                </c:pt>
                <c:pt idx="11">
                  <c:v>1</c:v>
                </c:pt>
              </c:numCache>
            </c:numRef>
          </c:yVal>
          <c:smooth val="1"/>
          <c:extLst>
            <c:ext xmlns:c16="http://schemas.microsoft.com/office/drawing/2014/chart" uri="{C3380CC4-5D6E-409C-BE32-E72D297353CC}">
              <c16:uniqueId val="{00000000-A371-40FA-86C8-15140F944FE0}"/>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A371-40FA-86C8-15140F944FE0}"/>
              </c:ext>
            </c:extLst>
          </c:dPt>
          <c:xVal>
            <c:numRef>
              <c:f>Gini_2017!$H$199:$H$210</c:f>
              <c:numCache>
                <c:formatCode>0.00</c:formatCode>
                <c:ptCount val="12"/>
                <c:pt idx="0">
                  <c:v>0</c:v>
                </c:pt>
                <c:pt idx="1">
                  <c:v>6.6897636279041406E-3</c:v>
                </c:pt>
                <c:pt idx="2">
                  <c:v>1.4703283674961536E-2</c:v>
                </c:pt>
                <c:pt idx="3">
                  <c:v>5.3888060902863702E-2</c:v>
                </c:pt>
                <c:pt idx="4">
                  <c:v>5.8205841403896098E-2</c:v>
                </c:pt>
                <c:pt idx="5">
                  <c:v>0.14045556867961423</c:v>
                </c:pt>
                <c:pt idx="6">
                  <c:v>0.14727165399704462</c:v>
                </c:pt>
                <c:pt idx="7">
                  <c:v>0.58554505542964153</c:v>
                </c:pt>
                <c:pt idx="8">
                  <c:v>0.78742892754090255</c:v>
                </c:pt>
                <c:pt idx="9">
                  <c:v>0.80361379222030049</c:v>
                </c:pt>
                <c:pt idx="10">
                  <c:v>0.88114996526810863</c:v>
                </c:pt>
                <c:pt idx="11">
                  <c:v>1.0000000000000002</c:v>
                </c:pt>
              </c:numCache>
            </c:numRef>
          </c:xVal>
          <c:yVal>
            <c:numRef>
              <c:f>Gini_2017!$G$199:$G$210</c:f>
              <c:numCache>
                <c:formatCode>0.00</c:formatCode>
                <c:ptCount val="12"/>
                <c:pt idx="0">
                  <c:v>0</c:v>
                </c:pt>
                <c:pt idx="1">
                  <c:v>5.2999093049631314E-3</c:v>
                </c:pt>
                <c:pt idx="2">
                  <c:v>1.1764115874623525E-2</c:v>
                </c:pt>
                <c:pt idx="3">
                  <c:v>2.1200626048673787E-2</c:v>
                </c:pt>
                <c:pt idx="4">
                  <c:v>3.3560975242154255E-2</c:v>
                </c:pt>
                <c:pt idx="5">
                  <c:v>6.1108530255808799E-2</c:v>
                </c:pt>
                <c:pt idx="6">
                  <c:v>9.109586517054033E-2</c:v>
                </c:pt>
                <c:pt idx="7">
                  <c:v>0.14509025520478358</c:v>
                </c:pt>
                <c:pt idx="8">
                  <c:v>0.27648140963360179</c:v>
                </c:pt>
                <c:pt idx="9">
                  <c:v>0.44423734960873451</c:v>
                </c:pt>
                <c:pt idx="10">
                  <c:v>0.65136000022667062</c:v>
                </c:pt>
                <c:pt idx="11">
                  <c:v>1</c:v>
                </c:pt>
              </c:numCache>
            </c:numRef>
          </c:yVal>
          <c:smooth val="0"/>
          <c:extLst>
            <c:ext xmlns:c16="http://schemas.microsoft.com/office/drawing/2014/chart" uri="{C3380CC4-5D6E-409C-BE32-E72D297353CC}">
              <c16:uniqueId val="{00000002-A371-40FA-86C8-15140F944FE0}"/>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ETa</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Gini_2017!$H$136:$H$147</c:f>
              <c:numCache>
                <c:formatCode>0.00</c:formatCode>
                <c:ptCount val="12"/>
                <c:pt idx="0">
                  <c:v>0</c:v>
                </c:pt>
                <c:pt idx="1">
                  <c:v>0.327209573856588</c:v>
                </c:pt>
                <c:pt idx="2">
                  <c:v>0.34256465715337797</c:v>
                </c:pt>
                <c:pt idx="3">
                  <c:v>0.40561440359970102</c:v>
                </c:pt>
                <c:pt idx="4">
                  <c:v>0.48451422052318299</c:v>
                </c:pt>
                <c:pt idx="5">
                  <c:v>0.50771138301035779</c:v>
                </c:pt>
                <c:pt idx="6">
                  <c:v>0.56929179373885908</c:v>
                </c:pt>
                <c:pt idx="7">
                  <c:v>0.57759488004040516</c:v>
                </c:pt>
                <c:pt idx="8">
                  <c:v>0.59128098706151633</c:v>
                </c:pt>
                <c:pt idx="9">
                  <c:v>0.86465682566357027</c:v>
                </c:pt>
                <c:pt idx="10">
                  <c:v>0.9913491959122297</c:v>
                </c:pt>
                <c:pt idx="11">
                  <c:v>1.0000000000000002</c:v>
                </c:pt>
              </c:numCache>
            </c:numRef>
          </c:xVal>
          <c:yVal>
            <c:numRef>
              <c:f>Gini_2017!$H$136:$H$147</c:f>
              <c:numCache>
                <c:formatCode>0.00</c:formatCode>
                <c:ptCount val="12"/>
                <c:pt idx="0">
                  <c:v>0</c:v>
                </c:pt>
                <c:pt idx="1">
                  <c:v>0.327209573856588</c:v>
                </c:pt>
                <c:pt idx="2">
                  <c:v>0.34256465715337797</c:v>
                </c:pt>
                <c:pt idx="3">
                  <c:v>0.40561440359970102</c:v>
                </c:pt>
                <c:pt idx="4">
                  <c:v>0.48451422052318299</c:v>
                </c:pt>
                <c:pt idx="5">
                  <c:v>0.50771138301035779</c:v>
                </c:pt>
                <c:pt idx="6">
                  <c:v>0.56929179373885908</c:v>
                </c:pt>
                <c:pt idx="7">
                  <c:v>0.57759488004040516</c:v>
                </c:pt>
                <c:pt idx="8">
                  <c:v>0.59128098706151633</c:v>
                </c:pt>
                <c:pt idx="9">
                  <c:v>0.86465682566357027</c:v>
                </c:pt>
                <c:pt idx="10">
                  <c:v>0.9913491959122297</c:v>
                </c:pt>
                <c:pt idx="11">
                  <c:v>1.0000000000000002</c:v>
                </c:pt>
              </c:numCache>
            </c:numRef>
          </c:yVal>
          <c:smooth val="1"/>
          <c:extLst>
            <c:ext xmlns:c16="http://schemas.microsoft.com/office/drawing/2014/chart" uri="{C3380CC4-5D6E-409C-BE32-E72D297353CC}">
              <c16:uniqueId val="{00000000-30CF-40D7-9013-CAAAB453074D}"/>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30CF-40D7-9013-CAAAB453074D}"/>
              </c:ext>
            </c:extLst>
          </c:dPt>
          <c:xVal>
            <c:numRef>
              <c:f>Gini_2017!$H$220:$H$231</c:f>
              <c:numCache>
                <c:formatCode>0.00</c:formatCode>
                <c:ptCount val="12"/>
                <c:pt idx="0">
                  <c:v>0</c:v>
                </c:pt>
                <c:pt idx="1">
                  <c:v>0.43827340143259685</c:v>
                </c:pt>
                <c:pt idx="2">
                  <c:v>0.64015727354385787</c:v>
                </c:pt>
                <c:pt idx="3">
                  <c:v>0.65634213822325571</c:v>
                </c:pt>
                <c:pt idx="4">
                  <c:v>0.69552691545115786</c:v>
                </c:pt>
                <c:pt idx="5">
                  <c:v>0.70234300076858824</c:v>
                </c:pt>
                <c:pt idx="6">
                  <c:v>0.78459272804430635</c:v>
                </c:pt>
                <c:pt idx="7">
                  <c:v>0.79128249167221054</c:v>
                </c:pt>
                <c:pt idx="8">
                  <c:v>0.79560027217324292</c:v>
                </c:pt>
                <c:pt idx="9">
                  <c:v>0.9144503069051344</c:v>
                </c:pt>
                <c:pt idx="10">
                  <c:v>0.99198647995294253</c:v>
                </c:pt>
                <c:pt idx="11">
                  <c:v>0.99999999999999989</c:v>
                </c:pt>
              </c:numCache>
            </c:numRef>
          </c:xVal>
          <c:yVal>
            <c:numRef>
              <c:f>Gini_2017!$G$220:$G$231</c:f>
              <c:numCache>
                <c:formatCode>0.00</c:formatCode>
                <c:ptCount val="12"/>
                <c:pt idx="0">
                  <c:v>0</c:v>
                </c:pt>
                <c:pt idx="1">
                  <c:v>0</c:v>
                </c:pt>
                <c:pt idx="2">
                  <c:v>0</c:v>
                </c:pt>
                <c:pt idx="3">
                  <c:v>0</c:v>
                </c:pt>
                <c:pt idx="4">
                  <c:v>0</c:v>
                </c:pt>
                <c:pt idx="5">
                  <c:v>7.5433856413997481E-3</c:v>
                </c:pt>
                <c:pt idx="6">
                  <c:v>1.7266325876753193E-2</c:v>
                </c:pt>
                <c:pt idx="7">
                  <c:v>3.3322901571884077E-2</c:v>
                </c:pt>
                <c:pt idx="8">
                  <c:v>0.11202401131199832</c:v>
                </c:pt>
                <c:pt idx="9">
                  <c:v>0.22111542998848044</c:v>
                </c:pt>
                <c:pt idx="10">
                  <c:v>0.35758044200230887</c:v>
                </c:pt>
                <c:pt idx="11">
                  <c:v>1</c:v>
                </c:pt>
              </c:numCache>
            </c:numRef>
          </c:yVal>
          <c:smooth val="0"/>
          <c:extLst>
            <c:ext xmlns:c16="http://schemas.microsoft.com/office/drawing/2014/chart" uri="{C3380CC4-5D6E-409C-BE32-E72D297353CC}">
              <c16:uniqueId val="{00000002-30CF-40D7-9013-CAAAB453074D}"/>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Gini_2017!$H$157:$H$168</c:f>
              <c:numCache>
                <c:formatCode>0.00</c:formatCode>
                <c:ptCount val="12"/>
                <c:pt idx="0">
                  <c:v>0</c:v>
                </c:pt>
                <c:pt idx="1">
                  <c:v>8.6508040877704764E-3</c:v>
                </c:pt>
                <c:pt idx="2">
                  <c:v>8.7550621011252439E-2</c:v>
                </c:pt>
                <c:pt idx="3">
                  <c:v>9.5853707312798492E-2</c:v>
                </c:pt>
                <c:pt idx="4">
                  <c:v>0.11905086979997323</c:v>
                </c:pt>
                <c:pt idx="5">
                  <c:v>0.44626044365656126</c:v>
                </c:pt>
                <c:pt idx="6">
                  <c:v>0.50931019010288425</c:v>
                </c:pt>
                <c:pt idx="7">
                  <c:v>0.57089060083138554</c:v>
                </c:pt>
                <c:pt idx="8">
                  <c:v>0.8442664394334396</c:v>
                </c:pt>
                <c:pt idx="9">
                  <c:v>0.85795254645455077</c:v>
                </c:pt>
                <c:pt idx="10">
                  <c:v>0.98464491670321019</c:v>
                </c:pt>
                <c:pt idx="11">
                  <c:v>1.0000000000000002</c:v>
                </c:pt>
              </c:numCache>
            </c:numRef>
          </c:xVal>
          <c:yVal>
            <c:numRef>
              <c:f>Gini_2017!$H$157:$H$168</c:f>
              <c:numCache>
                <c:formatCode>0.00</c:formatCode>
                <c:ptCount val="12"/>
                <c:pt idx="0">
                  <c:v>0</c:v>
                </c:pt>
                <c:pt idx="1">
                  <c:v>8.6508040877704764E-3</c:v>
                </c:pt>
                <c:pt idx="2">
                  <c:v>8.7550621011252439E-2</c:v>
                </c:pt>
                <c:pt idx="3">
                  <c:v>9.5853707312798492E-2</c:v>
                </c:pt>
                <c:pt idx="4">
                  <c:v>0.11905086979997323</c:v>
                </c:pt>
                <c:pt idx="5">
                  <c:v>0.44626044365656126</c:v>
                </c:pt>
                <c:pt idx="6">
                  <c:v>0.50931019010288425</c:v>
                </c:pt>
                <c:pt idx="7">
                  <c:v>0.57089060083138554</c:v>
                </c:pt>
                <c:pt idx="8">
                  <c:v>0.8442664394334396</c:v>
                </c:pt>
                <c:pt idx="9">
                  <c:v>0.85795254645455077</c:v>
                </c:pt>
                <c:pt idx="10">
                  <c:v>0.98464491670321019</c:v>
                </c:pt>
                <c:pt idx="11">
                  <c:v>1.0000000000000002</c:v>
                </c:pt>
              </c:numCache>
            </c:numRef>
          </c:yVal>
          <c:smooth val="1"/>
          <c:extLst>
            <c:ext xmlns:c16="http://schemas.microsoft.com/office/drawing/2014/chart" uri="{C3380CC4-5D6E-409C-BE32-E72D297353CC}">
              <c16:uniqueId val="{00000000-BEEC-4C06-B5ED-072640A7FE35}"/>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BEEC-4C06-B5ED-072640A7FE35}"/>
              </c:ext>
            </c:extLst>
          </c:dPt>
          <c:xVal>
            <c:numRef>
              <c:f>Gini_2017!$H$241:$H$252</c:f>
              <c:numCache>
                <c:formatCode>0.00</c:formatCode>
                <c:ptCount val="12"/>
                <c:pt idx="0">
                  <c:v>0</c:v>
                </c:pt>
                <c:pt idx="1">
                  <c:v>8.0135200470573941E-3</c:v>
                </c:pt>
                <c:pt idx="2">
                  <c:v>4.7198297274959562E-2</c:v>
                </c:pt>
                <c:pt idx="3">
                  <c:v>5.3888060902863702E-2</c:v>
                </c:pt>
                <c:pt idx="4">
                  <c:v>6.0704146220294082E-2</c:v>
                </c:pt>
                <c:pt idx="5">
                  <c:v>0.49897754765289093</c:v>
                </c:pt>
                <c:pt idx="6">
                  <c:v>0.51516241233228888</c:v>
                </c:pt>
                <c:pt idx="7">
                  <c:v>0.59741213960800699</c:v>
                </c:pt>
                <c:pt idx="8">
                  <c:v>0.71626217433989847</c:v>
                </c:pt>
                <c:pt idx="9">
                  <c:v>0.72057995484093085</c:v>
                </c:pt>
                <c:pt idx="10">
                  <c:v>0.79811612788873898</c:v>
                </c:pt>
                <c:pt idx="11">
                  <c:v>1</c:v>
                </c:pt>
              </c:numCache>
            </c:numRef>
          </c:xVal>
          <c:yVal>
            <c:numRef>
              <c:f>Gini_2017!$G$241:$G$252</c:f>
              <c:numCache>
                <c:formatCode>0.00</c:formatCode>
                <c:ptCount val="12"/>
                <c:pt idx="0">
                  <c:v>0</c:v>
                </c:pt>
                <c:pt idx="1">
                  <c:v>0</c:v>
                </c:pt>
                <c:pt idx="2">
                  <c:v>0</c:v>
                </c:pt>
                <c:pt idx="3">
                  <c:v>6.9246761283121381E-3</c:v>
                </c:pt>
                <c:pt idx="4">
                  <c:v>1.836016618863625E-2</c:v>
                </c:pt>
                <c:pt idx="5">
                  <c:v>3.7000854407720704E-2</c:v>
                </c:pt>
                <c:pt idx="6">
                  <c:v>9.3051769326178202E-2</c:v>
                </c:pt>
                <c:pt idx="7">
                  <c:v>0.15538933565941676</c:v>
                </c:pt>
                <c:pt idx="8">
                  <c:v>0.25257969044592188</c:v>
                </c:pt>
                <c:pt idx="9">
                  <c:v>0.39110010130953654</c:v>
                </c:pt>
                <c:pt idx="10">
                  <c:v>0.54246891681467435</c:v>
                </c:pt>
                <c:pt idx="11">
                  <c:v>1</c:v>
                </c:pt>
              </c:numCache>
            </c:numRef>
          </c:yVal>
          <c:smooth val="0"/>
          <c:extLst>
            <c:ext xmlns:c16="http://schemas.microsoft.com/office/drawing/2014/chart" uri="{C3380CC4-5D6E-409C-BE32-E72D297353CC}">
              <c16:uniqueId val="{00000002-BEEC-4C06-B5ED-072640A7FE35}"/>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Gini_2017!$H$157:$H$168</c:f>
              <c:numCache>
                <c:formatCode>0.00</c:formatCode>
                <c:ptCount val="12"/>
                <c:pt idx="0">
                  <c:v>0</c:v>
                </c:pt>
                <c:pt idx="1">
                  <c:v>8.6508040877704764E-3</c:v>
                </c:pt>
                <c:pt idx="2">
                  <c:v>8.7550621011252439E-2</c:v>
                </c:pt>
                <c:pt idx="3">
                  <c:v>9.5853707312798492E-2</c:v>
                </c:pt>
                <c:pt idx="4">
                  <c:v>0.11905086979997323</c:v>
                </c:pt>
                <c:pt idx="5">
                  <c:v>0.44626044365656126</c:v>
                </c:pt>
                <c:pt idx="6">
                  <c:v>0.50931019010288425</c:v>
                </c:pt>
                <c:pt idx="7">
                  <c:v>0.57089060083138554</c:v>
                </c:pt>
                <c:pt idx="8">
                  <c:v>0.8442664394334396</c:v>
                </c:pt>
                <c:pt idx="9">
                  <c:v>0.85795254645455077</c:v>
                </c:pt>
                <c:pt idx="10">
                  <c:v>0.98464491670321019</c:v>
                </c:pt>
                <c:pt idx="11">
                  <c:v>1.0000000000000002</c:v>
                </c:pt>
              </c:numCache>
            </c:numRef>
          </c:xVal>
          <c:yVal>
            <c:numRef>
              <c:f>Gini_2017!$H$157:$H$168</c:f>
              <c:numCache>
                <c:formatCode>0.00</c:formatCode>
                <c:ptCount val="12"/>
                <c:pt idx="0">
                  <c:v>0</c:v>
                </c:pt>
                <c:pt idx="1">
                  <c:v>8.6508040877704764E-3</c:v>
                </c:pt>
                <c:pt idx="2">
                  <c:v>8.7550621011252439E-2</c:v>
                </c:pt>
                <c:pt idx="3">
                  <c:v>9.5853707312798492E-2</c:v>
                </c:pt>
                <c:pt idx="4">
                  <c:v>0.11905086979997323</c:v>
                </c:pt>
                <c:pt idx="5">
                  <c:v>0.44626044365656126</c:v>
                </c:pt>
                <c:pt idx="6">
                  <c:v>0.50931019010288425</c:v>
                </c:pt>
                <c:pt idx="7">
                  <c:v>0.57089060083138554</c:v>
                </c:pt>
                <c:pt idx="8">
                  <c:v>0.8442664394334396</c:v>
                </c:pt>
                <c:pt idx="9">
                  <c:v>0.85795254645455077</c:v>
                </c:pt>
                <c:pt idx="10">
                  <c:v>0.98464491670321019</c:v>
                </c:pt>
                <c:pt idx="11">
                  <c:v>1.0000000000000002</c:v>
                </c:pt>
              </c:numCache>
            </c:numRef>
          </c:yVal>
          <c:smooth val="1"/>
          <c:extLst>
            <c:ext xmlns:c16="http://schemas.microsoft.com/office/drawing/2014/chart" uri="{C3380CC4-5D6E-409C-BE32-E72D297353CC}">
              <c16:uniqueId val="{00000000-E6E7-43CE-A00A-CA231116501A}"/>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E6E7-43CE-A00A-CA231116501A}"/>
              </c:ext>
            </c:extLst>
          </c:dPt>
          <c:xVal>
            <c:numRef>
              <c:f>Gini_2017!$H$324:$H$335</c:f>
              <c:numCache>
                <c:formatCode>0.00</c:formatCode>
                <c:ptCount val="12"/>
                <c:pt idx="0">
                  <c:v>0</c:v>
                </c:pt>
                <c:pt idx="1">
                  <c:v>4.3177805010323955E-3</c:v>
                </c:pt>
                <c:pt idx="2">
                  <c:v>1.1007544128936536E-2</c:v>
                </c:pt>
                <c:pt idx="3">
                  <c:v>9.325727140465466E-2</c:v>
                </c:pt>
                <c:pt idx="4">
                  <c:v>0.10127079145171206</c:v>
                </c:pt>
                <c:pt idx="5">
                  <c:v>0.22012082618360357</c:v>
                </c:pt>
                <c:pt idx="6">
                  <c:v>0.23630569086300146</c:v>
                </c:pt>
                <c:pt idx="7">
                  <c:v>0.24312177618043185</c:v>
                </c:pt>
                <c:pt idx="8">
                  <c:v>0.6813951776130287</c:v>
                </c:pt>
                <c:pt idx="9">
                  <c:v>0.88327904972428972</c:v>
                </c:pt>
                <c:pt idx="10">
                  <c:v>0.92246382695219187</c:v>
                </c:pt>
                <c:pt idx="11">
                  <c:v>1</c:v>
                </c:pt>
              </c:numCache>
            </c:numRef>
          </c:xVal>
          <c:yVal>
            <c:numRef>
              <c:f>Gini_2017!$G$324:$G$335</c:f>
              <c:numCache>
                <c:formatCode>0.00</c:formatCode>
                <c:ptCount val="12"/>
                <c:pt idx="0">
                  <c:v>0</c:v>
                </c:pt>
                <c:pt idx="1">
                  <c:v>9.0909090909090925E-2</c:v>
                </c:pt>
                <c:pt idx="2">
                  <c:v>0.26948650587620948</c:v>
                </c:pt>
                <c:pt idx="3">
                  <c:v>0.44806392084332802</c:v>
                </c:pt>
                <c:pt idx="4">
                  <c:v>0.62664133581044656</c:v>
                </c:pt>
                <c:pt idx="5">
                  <c:v>0.80521875077756511</c:v>
                </c:pt>
                <c:pt idx="6">
                  <c:v>0.98379616574468365</c:v>
                </c:pt>
                <c:pt idx="7">
                  <c:v>1.1623735807118023</c:v>
                </c:pt>
                <c:pt idx="8">
                  <c:v>1.340950995678921</c:v>
                </c:pt>
                <c:pt idx="9">
                  <c:v>1.5195284106460396</c:v>
                </c:pt>
                <c:pt idx="10">
                  <c:v>1.6981058256131583</c:v>
                </c:pt>
                <c:pt idx="11">
                  <c:v>1.8766832405802769</c:v>
                </c:pt>
              </c:numCache>
            </c:numRef>
          </c:yVal>
          <c:smooth val="0"/>
          <c:extLst>
            <c:ext xmlns:c16="http://schemas.microsoft.com/office/drawing/2014/chart" uri="{C3380CC4-5D6E-409C-BE32-E72D297353CC}">
              <c16:uniqueId val="{00000002-E6E7-43CE-A00A-CA231116501A}"/>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xVal>
          <c:yVal>
            <c:numRef>
              <c:f>Gini_2018!$H$94:$H$105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yVal>
          <c:smooth val="1"/>
          <c:extLst>
            <c:ext xmlns:c16="http://schemas.microsoft.com/office/drawing/2014/chart" uri="{C3380CC4-5D6E-409C-BE32-E72D297353CC}">
              <c16:uniqueId val="{00000002-A3C5-4CE5-A6C7-D461424DDDCA}"/>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A3C5-4CE5-A6C7-D461424DDDCA}"/>
              </c:ext>
            </c:extLst>
          </c:dPt>
          <c:xVal>
            <c:numRef>
              <c:f>Gini_2018!$H$94:$H$105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xVal>
          <c:yVal>
            <c:numRef>
              <c:f>Gini_2018!$G$94:$G$105</c:f>
              <c:numCache>
                <c:formatCode>0.00</c:formatCode>
                <c:ptCount val="12"/>
                <c:pt idx="0">
                  <c:v>0</c:v>
                </c:pt>
                <c:pt idx="1">
                  <c:v>2.0572122059260146E-3</c:v>
                </c:pt>
                <c:pt idx="2">
                  <c:v>8.6289624421381217E-3</c:v>
                </c:pt>
                <c:pt idx="3">
                  <c:v>1.7701695815085312E-2</c:v>
                </c:pt>
                <c:pt idx="4">
                  <c:v>3.0178732413705139E-2</c:v>
                </c:pt>
                <c:pt idx="5">
                  <c:v>4.2893132745155806E-2</c:v>
                </c:pt>
                <c:pt idx="6">
                  <c:v>8.1100344412985081E-2</c:v>
                </c:pt>
                <c:pt idx="7">
                  <c:v>0.15563756621705813</c:v>
                </c:pt>
                <c:pt idx="8">
                  <c:v>0.30720643346615872</c:v>
                </c:pt>
                <c:pt idx="9">
                  <c:v>0.49808736370607998</c:v>
                </c:pt>
                <c:pt idx="10">
                  <c:v>0.70348588928344968</c:v>
                </c:pt>
                <c:pt idx="11">
                  <c:v>0.99999999999999978</c:v>
                </c:pt>
              </c:numCache>
            </c:numRef>
          </c:yVal>
          <c:smooth val="0"/>
          <c:extLst>
            <c:ext xmlns:c16="http://schemas.microsoft.com/office/drawing/2014/chart" uri="{C3380CC4-5D6E-409C-BE32-E72D297353CC}">
              <c16:uniqueId val="{00000001-A3C5-4CE5-A6C7-D461424DDDCA}"/>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Precipitation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01861863580613"/>
          <c:y val="0.1566342980154827"/>
          <c:w val="0.54960252622417904"/>
          <c:h val="0.65904922055244786"/>
        </c:manualLayout>
      </c:layout>
      <c:scatterChart>
        <c:scatterStyle val="smoothMarker"/>
        <c:varyColors val="0"/>
        <c:ser>
          <c:idx val="1"/>
          <c:order val="1"/>
          <c:tx>
            <c:v>Equality Line</c:v>
          </c:tx>
          <c:spPr>
            <a:ln w="19050" cap="rnd">
              <a:solidFill>
                <a:schemeClr val="accent2"/>
              </a:solidFill>
              <a:round/>
            </a:ln>
            <a:effectLst/>
          </c:spPr>
          <c:marker>
            <c:symbol val="none"/>
          </c:marker>
          <c:xVal>
            <c:numRef>
              <c:f>Gini_2018!$H$115:$H$126</c:f>
              <c:numCache>
                <c:formatCode>0.00</c:formatCode>
                <c:ptCount val="12"/>
                <c:pt idx="0">
                  <c:v>0</c:v>
                </c:pt>
                <c:pt idx="1">
                  <c:v>8.6508040877704764E-3</c:v>
                </c:pt>
                <c:pt idx="2">
                  <c:v>2.233691110888162E-2</c:v>
                </c:pt>
                <c:pt idx="3">
                  <c:v>4.5534073596056365E-2</c:v>
                </c:pt>
                <c:pt idx="4">
                  <c:v>5.3837159897602418E-2</c:v>
                </c:pt>
                <c:pt idx="5">
                  <c:v>0.11688690634392547</c:v>
                </c:pt>
                <c:pt idx="6">
                  <c:v>0.17846731707242672</c:v>
                </c:pt>
                <c:pt idx="7">
                  <c:v>0.25736713399590871</c:v>
                </c:pt>
                <c:pt idx="8">
                  <c:v>0.38405950424456814</c:v>
                </c:pt>
                <c:pt idx="9">
                  <c:v>0.65743534284662219</c:v>
                </c:pt>
                <c:pt idx="10">
                  <c:v>0.98464491670321019</c:v>
                </c:pt>
                <c:pt idx="11">
                  <c:v>1.0000000000000002</c:v>
                </c:pt>
              </c:numCache>
            </c:numRef>
          </c:xVal>
          <c:yVal>
            <c:numRef>
              <c:f>Gini_2018!$H$115:$H$126</c:f>
              <c:numCache>
                <c:formatCode>0.00</c:formatCode>
                <c:ptCount val="12"/>
                <c:pt idx="0">
                  <c:v>0</c:v>
                </c:pt>
                <c:pt idx="1">
                  <c:v>8.6508040877704764E-3</c:v>
                </c:pt>
                <c:pt idx="2">
                  <c:v>2.233691110888162E-2</c:v>
                </c:pt>
                <c:pt idx="3">
                  <c:v>4.5534073596056365E-2</c:v>
                </c:pt>
                <c:pt idx="4">
                  <c:v>5.3837159897602418E-2</c:v>
                </c:pt>
                <c:pt idx="5">
                  <c:v>0.11688690634392547</c:v>
                </c:pt>
                <c:pt idx="6">
                  <c:v>0.17846731707242672</c:v>
                </c:pt>
                <c:pt idx="7">
                  <c:v>0.25736713399590871</c:v>
                </c:pt>
                <c:pt idx="8">
                  <c:v>0.38405950424456814</c:v>
                </c:pt>
                <c:pt idx="9">
                  <c:v>0.65743534284662219</c:v>
                </c:pt>
                <c:pt idx="10">
                  <c:v>0.98464491670321019</c:v>
                </c:pt>
                <c:pt idx="11">
                  <c:v>1.0000000000000002</c:v>
                </c:pt>
              </c:numCache>
            </c:numRef>
          </c:yVal>
          <c:smooth val="1"/>
          <c:extLst>
            <c:ext xmlns:c16="http://schemas.microsoft.com/office/drawing/2014/chart" uri="{C3380CC4-5D6E-409C-BE32-E72D297353CC}">
              <c16:uniqueId val="{00000000-184A-43A6-BDF5-6D20B0349460}"/>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184A-43A6-BDF5-6D20B0349460}"/>
              </c:ext>
            </c:extLst>
          </c:dPt>
          <c:xVal>
            <c:numRef>
              <c:f>Gini_2018!$H$115:$H$126</c:f>
              <c:numCache>
                <c:formatCode>0.00</c:formatCode>
                <c:ptCount val="12"/>
                <c:pt idx="0">
                  <c:v>0</c:v>
                </c:pt>
                <c:pt idx="1">
                  <c:v>8.6508040877704764E-3</c:v>
                </c:pt>
                <c:pt idx="2">
                  <c:v>2.233691110888162E-2</c:v>
                </c:pt>
                <c:pt idx="3">
                  <c:v>4.5534073596056365E-2</c:v>
                </c:pt>
                <c:pt idx="4">
                  <c:v>5.3837159897602418E-2</c:v>
                </c:pt>
                <c:pt idx="5">
                  <c:v>0.11688690634392547</c:v>
                </c:pt>
                <c:pt idx="6">
                  <c:v>0.17846731707242672</c:v>
                </c:pt>
                <c:pt idx="7">
                  <c:v>0.25736713399590871</c:v>
                </c:pt>
                <c:pt idx="8">
                  <c:v>0.38405950424456814</c:v>
                </c:pt>
                <c:pt idx="9">
                  <c:v>0.65743534284662219</c:v>
                </c:pt>
                <c:pt idx="10">
                  <c:v>0.98464491670321019</c:v>
                </c:pt>
                <c:pt idx="11">
                  <c:v>1.0000000000000002</c:v>
                </c:pt>
              </c:numCache>
            </c:numRef>
          </c:xVal>
          <c:yVal>
            <c:numRef>
              <c:f>Gini_2018!$G$115:$G$126</c:f>
              <c:numCache>
                <c:formatCode>0.00</c:formatCode>
                <c:ptCount val="12"/>
                <c:pt idx="0">
                  <c:v>0</c:v>
                </c:pt>
                <c:pt idx="1">
                  <c:v>5.6387986055587242E-3</c:v>
                </c:pt>
                <c:pt idx="2">
                  <c:v>1.1360188457287819E-2</c:v>
                </c:pt>
                <c:pt idx="3">
                  <c:v>2.024176629132083E-2</c:v>
                </c:pt>
                <c:pt idx="4">
                  <c:v>3.2012888050712042E-2</c:v>
                </c:pt>
                <c:pt idx="5">
                  <c:v>5.7762823909743397E-2</c:v>
                </c:pt>
                <c:pt idx="6">
                  <c:v>8.8550981159494335E-2</c:v>
                </c:pt>
                <c:pt idx="7">
                  <c:v>0.1404898543639673</c:v>
                </c:pt>
                <c:pt idx="8">
                  <c:v>0.26486530011936027</c:v>
                </c:pt>
                <c:pt idx="9">
                  <c:v>0.43265145785843007</c:v>
                </c:pt>
                <c:pt idx="10">
                  <c:v>0.64822411816596082</c:v>
                </c:pt>
                <c:pt idx="11">
                  <c:v>1</c:v>
                </c:pt>
              </c:numCache>
            </c:numRef>
          </c:yVal>
          <c:smooth val="0"/>
          <c:extLst>
            <c:ext xmlns:c16="http://schemas.microsoft.com/office/drawing/2014/chart" uri="{C3380CC4-5D6E-409C-BE32-E72D297353CC}">
              <c16:uniqueId val="{00000002-184A-43A6-BDF5-6D20B0349460}"/>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ETa</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Gini_2018!$H$136:$H$147</c:f>
              <c:numCache>
                <c:formatCode>0.00</c:formatCode>
                <c:ptCount val="12"/>
                <c:pt idx="0">
                  <c:v>0</c:v>
                </c:pt>
                <c:pt idx="1">
                  <c:v>6.1580410728501248E-2</c:v>
                </c:pt>
                <c:pt idx="2">
                  <c:v>0.38878998458508923</c:v>
                </c:pt>
                <c:pt idx="3">
                  <c:v>0.40414506788187921</c:v>
                </c:pt>
                <c:pt idx="4">
                  <c:v>0.41244815418342529</c:v>
                </c:pt>
                <c:pt idx="5">
                  <c:v>0.42109895827119576</c:v>
                </c:pt>
                <c:pt idx="6">
                  <c:v>0.43478506529230687</c:v>
                </c:pt>
                <c:pt idx="7">
                  <c:v>0.45798222777948161</c:v>
                </c:pt>
                <c:pt idx="8">
                  <c:v>0.52103197422580472</c:v>
                </c:pt>
                <c:pt idx="9">
                  <c:v>0.59993179114928674</c:v>
                </c:pt>
                <c:pt idx="10">
                  <c:v>0.72662416139794617</c:v>
                </c:pt>
                <c:pt idx="11">
                  <c:v>1.0000000000000002</c:v>
                </c:pt>
              </c:numCache>
            </c:numRef>
          </c:xVal>
          <c:yVal>
            <c:numRef>
              <c:f>Gini_2018!$H$136:$H$147</c:f>
              <c:numCache>
                <c:formatCode>0.00</c:formatCode>
                <c:ptCount val="12"/>
                <c:pt idx="0">
                  <c:v>0</c:v>
                </c:pt>
                <c:pt idx="1">
                  <c:v>6.1580410728501248E-2</c:v>
                </c:pt>
                <c:pt idx="2">
                  <c:v>0.38878998458508923</c:v>
                </c:pt>
                <c:pt idx="3">
                  <c:v>0.40414506788187921</c:v>
                </c:pt>
                <c:pt idx="4">
                  <c:v>0.41244815418342529</c:v>
                </c:pt>
                <c:pt idx="5">
                  <c:v>0.42109895827119576</c:v>
                </c:pt>
                <c:pt idx="6">
                  <c:v>0.43478506529230687</c:v>
                </c:pt>
                <c:pt idx="7">
                  <c:v>0.45798222777948161</c:v>
                </c:pt>
                <c:pt idx="8">
                  <c:v>0.52103197422580472</c:v>
                </c:pt>
                <c:pt idx="9">
                  <c:v>0.59993179114928674</c:v>
                </c:pt>
                <c:pt idx="10">
                  <c:v>0.72662416139794617</c:v>
                </c:pt>
                <c:pt idx="11">
                  <c:v>1.0000000000000002</c:v>
                </c:pt>
              </c:numCache>
            </c:numRef>
          </c:yVal>
          <c:smooth val="1"/>
          <c:extLst>
            <c:ext xmlns:c16="http://schemas.microsoft.com/office/drawing/2014/chart" uri="{C3380CC4-5D6E-409C-BE32-E72D297353CC}">
              <c16:uniqueId val="{00000000-47D6-4554-BC36-498D6FFEDE5C}"/>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47D6-4554-BC36-498D6FFEDE5C}"/>
              </c:ext>
            </c:extLst>
          </c:dPt>
          <c:xVal>
            <c:numRef>
              <c:f>Gini_2018!$H$136:$H$147</c:f>
              <c:numCache>
                <c:formatCode>0.00</c:formatCode>
                <c:ptCount val="12"/>
                <c:pt idx="0">
                  <c:v>0</c:v>
                </c:pt>
                <c:pt idx="1">
                  <c:v>6.1580410728501248E-2</c:v>
                </c:pt>
                <c:pt idx="2">
                  <c:v>0.38878998458508923</c:v>
                </c:pt>
                <c:pt idx="3">
                  <c:v>0.40414506788187921</c:v>
                </c:pt>
                <c:pt idx="4">
                  <c:v>0.41244815418342529</c:v>
                </c:pt>
                <c:pt idx="5">
                  <c:v>0.42109895827119576</c:v>
                </c:pt>
                <c:pt idx="6">
                  <c:v>0.43478506529230687</c:v>
                </c:pt>
                <c:pt idx="7">
                  <c:v>0.45798222777948161</c:v>
                </c:pt>
                <c:pt idx="8">
                  <c:v>0.52103197422580472</c:v>
                </c:pt>
                <c:pt idx="9">
                  <c:v>0.59993179114928674</c:v>
                </c:pt>
                <c:pt idx="10">
                  <c:v>0.72662416139794617</c:v>
                </c:pt>
                <c:pt idx="11">
                  <c:v>1.0000000000000002</c:v>
                </c:pt>
              </c:numCache>
            </c:numRef>
          </c:xVal>
          <c:yVal>
            <c:numRef>
              <c:f>Gini_2018!$G$136:$G$147</c:f>
              <c:numCache>
                <c:formatCode>0.00</c:formatCode>
                <c:ptCount val="12"/>
                <c:pt idx="0">
                  <c:v>0</c:v>
                </c:pt>
                <c:pt idx="1">
                  <c:v>0</c:v>
                </c:pt>
                <c:pt idx="2">
                  <c:v>0</c:v>
                </c:pt>
                <c:pt idx="3">
                  <c:v>0</c:v>
                </c:pt>
                <c:pt idx="4">
                  <c:v>5.4290577913134646E-3</c:v>
                </c:pt>
                <c:pt idx="5">
                  <c:v>1.3271339033212672E-2</c:v>
                </c:pt>
                <c:pt idx="6">
                  <c:v>4.2635773025661156E-2</c:v>
                </c:pt>
                <c:pt idx="7">
                  <c:v>7.6185424270137081E-2</c:v>
                </c:pt>
                <c:pt idx="8">
                  <c:v>0.18981189410229665</c:v>
                </c:pt>
                <c:pt idx="9">
                  <c:v>0.43188628237804488</c:v>
                </c:pt>
                <c:pt idx="10">
                  <c:v>0.6826176704974718</c:v>
                </c:pt>
                <c:pt idx="11">
                  <c:v>1</c:v>
                </c:pt>
              </c:numCache>
            </c:numRef>
          </c:yVal>
          <c:smooth val="0"/>
          <c:extLst>
            <c:ext xmlns:c16="http://schemas.microsoft.com/office/drawing/2014/chart" uri="{C3380CC4-5D6E-409C-BE32-E72D297353CC}">
              <c16:uniqueId val="{00000002-47D6-4554-BC36-498D6FFEDE5C}"/>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Gini_2018!$H$157:$H$168</c:f>
              <c:numCache>
                <c:formatCode>0.00</c:formatCode>
                <c:ptCount val="12"/>
                <c:pt idx="0">
                  <c:v>0</c:v>
                </c:pt>
                <c:pt idx="1">
                  <c:v>8.3030863015460549E-3</c:v>
                </c:pt>
                <c:pt idx="2">
                  <c:v>1.695389038931653E-2</c:v>
                </c:pt>
                <c:pt idx="3">
                  <c:v>3.0639997410427673E-2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xVal>
          <c:yVal>
            <c:numRef>
              <c:f>Gini_2018!$H$157:$H$168</c:f>
              <c:numCache>
                <c:formatCode>0.00</c:formatCode>
                <c:ptCount val="12"/>
                <c:pt idx="0">
                  <c:v>0</c:v>
                </c:pt>
                <c:pt idx="1">
                  <c:v>8.3030863015460549E-3</c:v>
                </c:pt>
                <c:pt idx="2">
                  <c:v>1.695389038931653E-2</c:v>
                </c:pt>
                <c:pt idx="3">
                  <c:v>3.0639997410427673E-2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yVal>
          <c:smooth val="1"/>
          <c:extLst>
            <c:ext xmlns:c16="http://schemas.microsoft.com/office/drawing/2014/chart" uri="{C3380CC4-5D6E-409C-BE32-E72D297353CC}">
              <c16:uniqueId val="{00000000-6DAE-4C9F-A205-BD27FD11EF38}"/>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6DAE-4C9F-A205-BD27FD11EF38}"/>
              </c:ext>
            </c:extLst>
          </c:dPt>
          <c:xVal>
            <c:numRef>
              <c:f>Gini_2018!$H$157:$H$168</c:f>
              <c:numCache>
                <c:formatCode>0.00</c:formatCode>
                <c:ptCount val="12"/>
                <c:pt idx="0">
                  <c:v>0</c:v>
                </c:pt>
                <c:pt idx="1">
                  <c:v>8.3030863015460549E-3</c:v>
                </c:pt>
                <c:pt idx="2">
                  <c:v>1.695389038931653E-2</c:v>
                </c:pt>
                <c:pt idx="3">
                  <c:v>3.0639997410427673E-2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xVal>
          <c:yVal>
            <c:numRef>
              <c:f>Gini_2018!$G$157:$G$168</c:f>
              <c:numCache>
                <c:formatCode>0.00</c:formatCode>
                <c:ptCount val="12"/>
                <c:pt idx="0">
                  <c:v>0</c:v>
                </c:pt>
                <c:pt idx="1">
                  <c:v>3.4593541506786328E-3</c:v>
                </c:pt>
                <c:pt idx="2">
                  <c:v>8.4563958488458896E-3</c:v>
                </c:pt>
                <c:pt idx="3">
                  <c:v>2.716718886649204E-2</c:v>
                </c:pt>
                <c:pt idx="4">
                  <c:v>5.8484705667197864E-2</c:v>
                </c:pt>
                <c:pt idx="5">
                  <c:v>0.11995535831641736</c:v>
                </c:pt>
                <c:pt idx="6">
                  <c:v>0.19235727687211288</c:v>
                </c:pt>
                <c:pt idx="7">
                  <c:v>0.2807703857888626</c:v>
                </c:pt>
                <c:pt idx="8">
                  <c:v>0.42856152939230518</c:v>
                </c:pt>
                <c:pt idx="9">
                  <c:v>0.58280948033410229</c:v>
                </c:pt>
                <c:pt idx="10">
                  <c:v>0.78504307612918367</c:v>
                </c:pt>
                <c:pt idx="11">
                  <c:v>1</c:v>
                </c:pt>
              </c:numCache>
            </c:numRef>
          </c:yVal>
          <c:smooth val="0"/>
          <c:extLst>
            <c:ext xmlns:c16="http://schemas.microsoft.com/office/drawing/2014/chart" uri="{C3380CC4-5D6E-409C-BE32-E72D297353CC}">
              <c16:uniqueId val="{00000002-6DAE-4C9F-A205-BD27FD11EF38}"/>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7F21-40CC-9799-13F2DCF0EDDC}"/>
              </c:ext>
            </c:extLst>
          </c:dPt>
          <c:xVal>
            <c:numRef>
              <c:f>Gini_2018!$H$6:$H$17</c:f>
              <c:numCache>
                <c:formatCode>0.00</c:formatCode>
                <c:ptCount val="12"/>
                <c:pt idx="0">
                  <c:v>0</c:v>
                </c:pt>
                <c:pt idx="1">
                  <c:v>0.3138345928266002</c:v>
                </c:pt>
                <c:pt idx="2">
                  <c:v>0.31865767550688434</c:v>
                </c:pt>
                <c:pt idx="3">
                  <c:v>0.34172287556186176</c:v>
                </c:pt>
                <c:pt idx="4">
                  <c:v>0.35621072640357393</c:v>
                </c:pt>
                <c:pt idx="5">
                  <c:v>0.39892852569062959</c:v>
                </c:pt>
                <c:pt idx="6">
                  <c:v>0.47273674565859569</c:v>
                </c:pt>
                <c:pt idx="7">
                  <c:v>0.51758473013830564</c:v>
                </c:pt>
                <c:pt idx="8">
                  <c:v>0.67429750228954155</c:v>
                </c:pt>
                <c:pt idx="9">
                  <c:v>0.8125579783152137</c:v>
                </c:pt>
                <c:pt idx="10">
                  <c:v>0.95922869985784354</c:v>
                </c:pt>
                <c:pt idx="11">
                  <c:v>1</c:v>
                </c:pt>
              </c:numCache>
            </c:numRef>
          </c:xVal>
          <c:yVal>
            <c:numRef>
              <c:f>Gini_2018!$G$6:$G$17</c:f>
              <c:numCache>
                <c:formatCode>0.00</c:formatCode>
                <c:ptCount val="12"/>
                <c:pt idx="0">
                  <c:v>0</c:v>
                </c:pt>
                <c:pt idx="1">
                  <c:v>2.0572122059260146E-3</c:v>
                </c:pt>
                <c:pt idx="2">
                  <c:v>8.6289624421381217E-3</c:v>
                </c:pt>
                <c:pt idx="3">
                  <c:v>1.7701695815085312E-2</c:v>
                </c:pt>
                <c:pt idx="4">
                  <c:v>3.0178732413705139E-2</c:v>
                </c:pt>
                <c:pt idx="5">
                  <c:v>4.2893132745155806E-2</c:v>
                </c:pt>
                <c:pt idx="6">
                  <c:v>8.1100344412985081E-2</c:v>
                </c:pt>
                <c:pt idx="7">
                  <c:v>0.15563756621705813</c:v>
                </c:pt>
                <c:pt idx="8">
                  <c:v>0.30720643346615872</c:v>
                </c:pt>
                <c:pt idx="9">
                  <c:v>0.49808736370607998</c:v>
                </c:pt>
                <c:pt idx="10">
                  <c:v>0.70348588928344968</c:v>
                </c:pt>
                <c:pt idx="11">
                  <c:v>0.99999999999999978</c:v>
                </c:pt>
              </c:numCache>
            </c:numRef>
          </c:yVal>
          <c:smooth val="1"/>
          <c:extLst>
            <c:ext xmlns:c16="http://schemas.microsoft.com/office/drawing/2014/chart" uri="{C3380CC4-5D6E-409C-BE32-E72D297353CC}">
              <c16:uniqueId val="{00000001-7F21-40CC-9799-13F2DCF0EDDC}"/>
            </c:ext>
          </c:extLst>
        </c:ser>
        <c:ser>
          <c:idx val="1"/>
          <c:order val="1"/>
          <c:tx>
            <c:v>Equality Line</c:v>
          </c:tx>
          <c:spPr>
            <a:ln w="19050" cap="rnd">
              <a:solidFill>
                <a:schemeClr val="accent2"/>
              </a:solidFill>
              <a:round/>
            </a:ln>
            <a:effectLst/>
          </c:spPr>
          <c:marker>
            <c:symbol val="none"/>
          </c:marker>
          <c:xVal>
            <c:numRef>
              <c:f>Gini_2018!$H$6:$H$17</c:f>
              <c:numCache>
                <c:formatCode>0.00</c:formatCode>
                <c:ptCount val="12"/>
                <c:pt idx="0">
                  <c:v>0</c:v>
                </c:pt>
                <c:pt idx="1">
                  <c:v>0.3138345928266002</c:v>
                </c:pt>
                <c:pt idx="2">
                  <c:v>0.31865767550688434</c:v>
                </c:pt>
                <c:pt idx="3">
                  <c:v>0.34172287556186176</c:v>
                </c:pt>
                <c:pt idx="4">
                  <c:v>0.35621072640357393</c:v>
                </c:pt>
                <c:pt idx="5">
                  <c:v>0.39892852569062959</c:v>
                </c:pt>
                <c:pt idx="6">
                  <c:v>0.47273674565859569</c:v>
                </c:pt>
                <c:pt idx="7">
                  <c:v>0.51758473013830564</c:v>
                </c:pt>
                <c:pt idx="8">
                  <c:v>0.67429750228954155</c:v>
                </c:pt>
                <c:pt idx="9">
                  <c:v>0.8125579783152137</c:v>
                </c:pt>
                <c:pt idx="10">
                  <c:v>0.95922869985784354</c:v>
                </c:pt>
                <c:pt idx="11">
                  <c:v>1</c:v>
                </c:pt>
              </c:numCache>
            </c:numRef>
          </c:xVal>
          <c:yVal>
            <c:numRef>
              <c:f>Gini_2018!$H$6:$H$17</c:f>
              <c:numCache>
                <c:formatCode>0.00</c:formatCode>
                <c:ptCount val="12"/>
                <c:pt idx="0">
                  <c:v>0</c:v>
                </c:pt>
                <c:pt idx="1">
                  <c:v>0.3138345928266002</c:v>
                </c:pt>
                <c:pt idx="2">
                  <c:v>0.31865767550688434</c:v>
                </c:pt>
                <c:pt idx="3">
                  <c:v>0.34172287556186176</c:v>
                </c:pt>
                <c:pt idx="4">
                  <c:v>0.35621072640357393</c:v>
                </c:pt>
                <c:pt idx="5">
                  <c:v>0.39892852569062959</c:v>
                </c:pt>
                <c:pt idx="6">
                  <c:v>0.47273674565859569</c:v>
                </c:pt>
                <c:pt idx="7">
                  <c:v>0.51758473013830564</c:v>
                </c:pt>
                <c:pt idx="8">
                  <c:v>0.67429750228954155</c:v>
                </c:pt>
                <c:pt idx="9">
                  <c:v>0.8125579783152137</c:v>
                </c:pt>
                <c:pt idx="10">
                  <c:v>0.95922869985784354</c:v>
                </c:pt>
                <c:pt idx="11">
                  <c:v>1</c:v>
                </c:pt>
              </c:numCache>
            </c:numRef>
          </c:yVal>
          <c:smooth val="1"/>
          <c:extLst>
            <c:ext xmlns:c16="http://schemas.microsoft.com/office/drawing/2014/chart" uri="{C3380CC4-5D6E-409C-BE32-E72D297353CC}">
              <c16:uniqueId val="{00000002-7F21-40CC-9799-13F2DCF0EDDC}"/>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Precipitation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84BE-4366-895A-648E2EE43B98}"/>
              </c:ext>
            </c:extLst>
          </c:dPt>
          <c:xVal>
            <c:numRef>
              <c:f>Gini_2018!$H$27:$H$38</c:f>
              <c:numCache>
                <c:formatCode>0.00</c:formatCode>
                <c:ptCount val="12"/>
                <c:pt idx="0">
                  <c:v>0</c:v>
                </c:pt>
                <c:pt idx="1">
                  <c:v>4.8230826802841548E-3</c:v>
                </c:pt>
                <c:pt idx="2">
                  <c:v>2.788828273526155E-2</c:v>
                </c:pt>
                <c:pt idx="3">
                  <c:v>7.0606082022317218E-2</c:v>
                </c:pt>
                <c:pt idx="4">
                  <c:v>8.5093932864029373E-2</c:v>
                </c:pt>
                <c:pt idx="5">
                  <c:v>0.15890215283199549</c:v>
                </c:pt>
                <c:pt idx="6">
                  <c:v>0.47273674565859564</c:v>
                </c:pt>
                <c:pt idx="7">
                  <c:v>0.51758473013830553</c:v>
                </c:pt>
                <c:pt idx="8">
                  <c:v>0.67429750228954144</c:v>
                </c:pt>
                <c:pt idx="9">
                  <c:v>0.82096822383217116</c:v>
                </c:pt>
                <c:pt idx="10">
                  <c:v>0.9592286998578432</c:v>
                </c:pt>
                <c:pt idx="11">
                  <c:v>0.99999999999999989</c:v>
                </c:pt>
              </c:numCache>
            </c:numRef>
          </c:xVal>
          <c:yVal>
            <c:numRef>
              <c:f>Gini_2018!$G$27:$G$38</c:f>
              <c:numCache>
                <c:formatCode>0.00</c:formatCode>
                <c:ptCount val="12"/>
                <c:pt idx="0">
                  <c:v>0</c:v>
                </c:pt>
                <c:pt idx="1">
                  <c:v>5.6387986055587242E-3</c:v>
                </c:pt>
                <c:pt idx="2">
                  <c:v>1.1360188457287819E-2</c:v>
                </c:pt>
                <c:pt idx="3">
                  <c:v>2.024176629132083E-2</c:v>
                </c:pt>
                <c:pt idx="4">
                  <c:v>3.2012888050712042E-2</c:v>
                </c:pt>
                <c:pt idx="5">
                  <c:v>5.7762823909743397E-2</c:v>
                </c:pt>
                <c:pt idx="6">
                  <c:v>8.8550981159494335E-2</c:v>
                </c:pt>
                <c:pt idx="7">
                  <c:v>0.1404898543639673</c:v>
                </c:pt>
                <c:pt idx="8">
                  <c:v>0.26486530011936027</c:v>
                </c:pt>
                <c:pt idx="9">
                  <c:v>0.43265145785843007</c:v>
                </c:pt>
                <c:pt idx="10">
                  <c:v>0.64822411816596082</c:v>
                </c:pt>
                <c:pt idx="11">
                  <c:v>1</c:v>
                </c:pt>
              </c:numCache>
            </c:numRef>
          </c:yVal>
          <c:smooth val="1"/>
          <c:extLst>
            <c:ext xmlns:c16="http://schemas.microsoft.com/office/drawing/2014/chart" uri="{C3380CC4-5D6E-409C-BE32-E72D297353CC}">
              <c16:uniqueId val="{00000001-84BE-4366-895A-648E2EE43B98}"/>
            </c:ext>
          </c:extLst>
        </c:ser>
        <c:ser>
          <c:idx val="2"/>
          <c:order val="1"/>
          <c:tx>
            <c:v>Equality Line</c:v>
          </c:tx>
          <c:spPr>
            <a:ln w="19050" cap="rnd">
              <a:solidFill>
                <a:schemeClr val="accent2"/>
              </a:solidFill>
              <a:round/>
            </a:ln>
            <a:effectLst/>
          </c:spPr>
          <c:marker>
            <c:symbol val="none"/>
          </c:marker>
          <c:xVal>
            <c:numRef>
              <c:f>Gini_2018!$H$27:$H$38</c:f>
              <c:numCache>
                <c:formatCode>0.00</c:formatCode>
                <c:ptCount val="12"/>
                <c:pt idx="0">
                  <c:v>0</c:v>
                </c:pt>
                <c:pt idx="1">
                  <c:v>4.8230826802841548E-3</c:v>
                </c:pt>
                <c:pt idx="2">
                  <c:v>2.788828273526155E-2</c:v>
                </c:pt>
                <c:pt idx="3">
                  <c:v>7.0606082022317218E-2</c:v>
                </c:pt>
                <c:pt idx="4">
                  <c:v>8.5093932864029373E-2</c:v>
                </c:pt>
                <c:pt idx="5">
                  <c:v>0.15890215283199549</c:v>
                </c:pt>
                <c:pt idx="6">
                  <c:v>0.47273674565859564</c:v>
                </c:pt>
                <c:pt idx="7">
                  <c:v>0.51758473013830553</c:v>
                </c:pt>
                <c:pt idx="8">
                  <c:v>0.67429750228954144</c:v>
                </c:pt>
                <c:pt idx="9">
                  <c:v>0.82096822383217116</c:v>
                </c:pt>
                <c:pt idx="10">
                  <c:v>0.9592286998578432</c:v>
                </c:pt>
                <c:pt idx="11">
                  <c:v>0.99999999999999989</c:v>
                </c:pt>
              </c:numCache>
            </c:numRef>
          </c:xVal>
          <c:yVal>
            <c:numRef>
              <c:f>Gini_2018!$H$27:$H$38</c:f>
              <c:numCache>
                <c:formatCode>0.00</c:formatCode>
                <c:ptCount val="12"/>
                <c:pt idx="0">
                  <c:v>0</c:v>
                </c:pt>
                <c:pt idx="1">
                  <c:v>4.8230826802841548E-3</c:v>
                </c:pt>
                <c:pt idx="2">
                  <c:v>2.788828273526155E-2</c:v>
                </c:pt>
                <c:pt idx="3">
                  <c:v>7.0606082022317218E-2</c:v>
                </c:pt>
                <c:pt idx="4">
                  <c:v>8.5093932864029373E-2</c:v>
                </c:pt>
                <c:pt idx="5">
                  <c:v>0.15890215283199549</c:v>
                </c:pt>
                <c:pt idx="6">
                  <c:v>0.47273674565859564</c:v>
                </c:pt>
                <c:pt idx="7">
                  <c:v>0.51758473013830553</c:v>
                </c:pt>
                <c:pt idx="8">
                  <c:v>0.67429750228954144</c:v>
                </c:pt>
                <c:pt idx="9">
                  <c:v>0.82096822383217116</c:v>
                </c:pt>
                <c:pt idx="10">
                  <c:v>0.9592286998578432</c:v>
                </c:pt>
                <c:pt idx="11">
                  <c:v>0.99999999999999989</c:v>
                </c:pt>
              </c:numCache>
            </c:numRef>
          </c:yVal>
          <c:smooth val="1"/>
          <c:extLst>
            <c:ext xmlns:c16="http://schemas.microsoft.com/office/drawing/2014/chart" uri="{C3380CC4-5D6E-409C-BE32-E72D297353CC}">
              <c16:uniqueId val="{00000002-84BE-4366-895A-648E2EE43B98}"/>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ETa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#REF!$H$6:$H$17</c:f>
            </c:numRef>
          </c:xVal>
          <c:yVal>
            <c:numRef>
              <c:f>#REF!$H$6:$H$17</c:f>
              <c:numCache>
                <c:formatCode>General</c:formatCode>
                <c:ptCount val="1"/>
                <c:pt idx="0">
                  <c:v>1</c:v>
                </c:pt>
              </c:numCache>
            </c:numRef>
          </c:yVal>
          <c:smooth val="1"/>
          <c:extLst>
            <c:ext xmlns:c16="http://schemas.microsoft.com/office/drawing/2014/chart" uri="{C3380CC4-5D6E-409C-BE32-E72D297353CC}">
              <c16:uniqueId val="{00000000-4462-4D67-8912-577F85D9DD50}"/>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4462-4D67-8912-577F85D9DD50}"/>
              </c:ext>
            </c:extLst>
          </c:dPt>
          <c:xVal>
            <c:numRef>
              <c:f>#REF!$H$6:$H$17</c:f>
            </c:numRef>
          </c:xVal>
          <c:yVal>
            <c:numRef>
              <c:f>#REF!$G$6:$G$17</c:f>
              <c:numCache>
                <c:formatCode>General</c:formatCode>
                <c:ptCount val="1"/>
                <c:pt idx="0">
                  <c:v>1</c:v>
                </c:pt>
              </c:numCache>
            </c:numRef>
          </c:yVal>
          <c:smooth val="0"/>
          <c:extLst>
            <c:ext xmlns:c16="http://schemas.microsoft.com/office/drawing/2014/chart" uri="{C3380CC4-5D6E-409C-BE32-E72D297353CC}">
              <c16:uniqueId val="{00000002-4462-4D67-8912-577F85D9DD50}"/>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Gini_2018!$H$49:$H$60</c:f>
              <c:numCache>
                <c:formatCode>0.00</c:formatCode>
                <c:ptCount val="12"/>
                <c:pt idx="0">
                  <c:v>0</c:v>
                </c:pt>
                <c:pt idx="1">
                  <c:v>0.31383459282660014</c:v>
                </c:pt>
                <c:pt idx="2">
                  <c:v>0.45209506885227224</c:v>
                </c:pt>
                <c:pt idx="3">
                  <c:v>0.49286636899442893</c:v>
                </c:pt>
                <c:pt idx="4">
                  <c:v>0.50735421983614104</c:v>
                </c:pt>
                <c:pt idx="5">
                  <c:v>0.51217730251642524</c:v>
                </c:pt>
                <c:pt idx="6">
                  <c:v>0.5352425025714026</c:v>
                </c:pt>
                <c:pt idx="7">
                  <c:v>0.57796030185845826</c:v>
                </c:pt>
                <c:pt idx="8">
                  <c:v>0.65176852182642442</c:v>
                </c:pt>
                <c:pt idx="9">
                  <c:v>0.69661650630613436</c:v>
                </c:pt>
                <c:pt idx="10">
                  <c:v>0.85332927845737028</c:v>
                </c:pt>
                <c:pt idx="11">
                  <c:v>1</c:v>
                </c:pt>
              </c:numCache>
            </c:numRef>
          </c:xVal>
          <c:yVal>
            <c:numRef>
              <c:f>Gini_2018!$H$49:$H$60</c:f>
              <c:numCache>
                <c:formatCode>0.00</c:formatCode>
                <c:ptCount val="12"/>
                <c:pt idx="0">
                  <c:v>0</c:v>
                </c:pt>
                <c:pt idx="1">
                  <c:v>0.31383459282660014</c:v>
                </c:pt>
                <c:pt idx="2">
                  <c:v>0.45209506885227224</c:v>
                </c:pt>
                <c:pt idx="3">
                  <c:v>0.49286636899442893</c:v>
                </c:pt>
                <c:pt idx="4">
                  <c:v>0.50735421983614104</c:v>
                </c:pt>
                <c:pt idx="5">
                  <c:v>0.51217730251642524</c:v>
                </c:pt>
                <c:pt idx="6">
                  <c:v>0.5352425025714026</c:v>
                </c:pt>
                <c:pt idx="7">
                  <c:v>0.57796030185845826</c:v>
                </c:pt>
                <c:pt idx="8">
                  <c:v>0.65176852182642442</c:v>
                </c:pt>
                <c:pt idx="9">
                  <c:v>0.69661650630613436</c:v>
                </c:pt>
                <c:pt idx="10">
                  <c:v>0.85332927845737028</c:v>
                </c:pt>
                <c:pt idx="11">
                  <c:v>1</c:v>
                </c:pt>
              </c:numCache>
            </c:numRef>
          </c:yVal>
          <c:smooth val="1"/>
          <c:extLst>
            <c:ext xmlns:c16="http://schemas.microsoft.com/office/drawing/2014/chart" uri="{C3380CC4-5D6E-409C-BE32-E72D297353CC}">
              <c16:uniqueId val="{00000000-264A-41BA-96B8-8B8174A82475}"/>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264A-41BA-96B8-8B8174A82475}"/>
              </c:ext>
            </c:extLst>
          </c:dPt>
          <c:xVal>
            <c:numRef>
              <c:f>Gini_2018!$H$49:$H$60</c:f>
              <c:numCache>
                <c:formatCode>0.00</c:formatCode>
                <c:ptCount val="12"/>
                <c:pt idx="0">
                  <c:v>0</c:v>
                </c:pt>
                <c:pt idx="1">
                  <c:v>0.31383459282660014</c:v>
                </c:pt>
                <c:pt idx="2">
                  <c:v>0.45209506885227224</c:v>
                </c:pt>
                <c:pt idx="3">
                  <c:v>0.49286636899442893</c:v>
                </c:pt>
                <c:pt idx="4">
                  <c:v>0.50735421983614104</c:v>
                </c:pt>
                <c:pt idx="5">
                  <c:v>0.51217730251642524</c:v>
                </c:pt>
                <c:pt idx="6">
                  <c:v>0.5352425025714026</c:v>
                </c:pt>
                <c:pt idx="7">
                  <c:v>0.57796030185845826</c:v>
                </c:pt>
                <c:pt idx="8">
                  <c:v>0.65176852182642442</c:v>
                </c:pt>
                <c:pt idx="9">
                  <c:v>0.69661650630613436</c:v>
                </c:pt>
                <c:pt idx="10">
                  <c:v>0.85332927845737028</c:v>
                </c:pt>
                <c:pt idx="11">
                  <c:v>1</c:v>
                </c:pt>
              </c:numCache>
            </c:numRef>
          </c:xVal>
          <c:yVal>
            <c:numRef>
              <c:f>Gini_2018!$G$49:$G$60</c:f>
              <c:numCache>
                <c:formatCode>0.00</c:formatCode>
                <c:ptCount val="12"/>
                <c:pt idx="0">
                  <c:v>0</c:v>
                </c:pt>
                <c:pt idx="1">
                  <c:v>0</c:v>
                </c:pt>
                <c:pt idx="2">
                  <c:v>0</c:v>
                </c:pt>
                <c:pt idx="3">
                  <c:v>0</c:v>
                </c:pt>
                <c:pt idx="4">
                  <c:v>5.4290577913134646E-3</c:v>
                </c:pt>
                <c:pt idx="5">
                  <c:v>1.3271339033212672E-2</c:v>
                </c:pt>
                <c:pt idx="6">
                  <c:v>4.2635773025661156E-2</c:v>
                </c:pt>
                <c:pt idx="7">
                  <c:v>7.6185424270137081E-2</c:v>
                </c:pt>
                <c:pt idx="8">
                  <c:v>0.18981189410229665</c:v>
                </c:pt>
                <c:pt idx="9">
                  <c:v>0.43188628237804488</c:v>
                </c:pt>
                <c:pt idx="10">
                  <c:v>0.6826176704974718</c:v>
                </c:pt>
                <c:pt idx="11">
                  <c:v>1</c:v>
                </c:pt>
              </c:numCache>
            </c:numRef>
          </c:yVal>
          <c:smooth val="0"/>
          <c:extLst>
            <c:ext xmlns:c16="http://schemas.microsoft.com/office/drawing/2014/chart" uri="{C3380CC4-5D6E-409C-BE32-E72D297353CC}">
              <c16:uniqueId val="{00000002-264A-41BA-96B8-8B8174A82475}"/>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Gini_2018!$H$70:$H$81</c:f>
              <c:numCache>
                <c:formatCode>0.00</c:formatCode>
                <c:ptCount val="12"/>
                <c:pt idx="0">
                  <c:v>0</c:v>
                </c:pt>
                <c:pt idx="1">
                  <c:v>1.4487850841712153E-2</c:v>
                </c:pt>
                <c:pt idx="2">
                  <c:v>1.931093352199631E-2</c:v>
                </c:pt>
                <c:pt idx="3">
                  <c:v>4.2376133576973701E-2</c:v>
                </c:pt>
                <c:pt idx="4">
                  <c:v>8.5093932864029373E-2</c:v>
                </c:pt>
                <c:pt idx="5">
                  <c:v>0.12586523300618602</c:v>
                </c:pt>
                <c:pt idx="6">
                  <c:v>0.19967345297415212</c:v>
                </c:pt>
                <c:pt idx="7">
                  <c:v>0.33793392899982422</c:v>
                </c:pt>
                <c:pt idx="8">
                  <c:v>0.65176852182642442</c:v>
                </c:pt>
                <c:pt idx="9">
                  <c:v>0.69661650630613436</c:v>
                </c:pt>
                <c:pt idx="10">
                  <c:v>0.8432872278487642</c:v>
                </c:pt>
                <c:pt idx="11">
                  <c:v>1</c:v>
                </c:pt>
              </c:numCache>
            </c:numRef>
          </c:xVal>
          <c:yVal>
            <c:numRef>
              <c:f>Gini_2018!$H$70:$H$81</c:f>
              <c:numCache>
                <c:formatCode>0.00</c:formatCode>
                <c:ptCount val="12"/>
                <c:pt idx="0">
                  <c:v>0</c:v>
                </c:pt>
                <c:pt idx="1">
                  <c:v>1.4487850841712153E-2</c:v>
                </c:pt>
                <c:pt idx="2">
                  <c:v>1.931093352199631E-2</c:v>
                </c:pt>
                <c:pt idx="3">
                  <c:v>4.2376133576973701E-2</c:v>
                </c:pt>
                <c:pt idx="4">
                  <c:v>8.5093932864029373E-2</c:v>
                </c:pt>
                <c:pt idx="5">
                  <c:v>0.12586523300618602</c:v>
                </c:pt>
                <c:pt idx="6">
                  <c:v>0.19967345297415212</c:v>
                </c:pt>
                <c:pt idx="7">
                  <c:v>0.33793392899982422</c:v>
                </c:pt>
                <c:pt idx="8">
                  <c:v>0.65176852182642442</c:v>
                </c:pt>
                <c:pt idx="9">
                  <c:v>0.69661650630613436</c:v>
                </c:pt>
                <c:pt idx="10">
                  <c:v>0.8432872278487642</c:v>
                </c:pt>
                <c:pt idx="11">
                  <c:v>1</c:v>
                </c:pt>
              </c:numCache>
            </c:numRef>
          </c:yVal>
          <c:smooth val="1"/>
          <c:extLst>
            <c:ext xmlns:c16="http://schemas.microsoft.com/office/drawing/2014/chart" uri="{C3380CC4-5D6E-409C-BE32-E72D297353CC}">
              <c16:uniqueId val="{00000000-F750-461A-980A-CDA52310A3F6}"/>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F750-461A-980A-CDA52310A3F6}"/>
              </c:ext>
            </c:extLst>
          </c:dPt>
          <c:xVal>
            <c:numRef>
              <c:f>Gini_2018!$H$70:$H$81</c:f>
              <c:numCache>
                <c:formatCode>0.00</c:formatCode>
                <c:ptCount val="12"/>
                <c:pt idx="0">
                  <c:v>0</c:v>
                </c:pt>
                <c:pt idx="1">
                  <c:v>1.4487850841712153E-2</c:v>
                </c:pt>
                <c:pt idx="2">
                  <c:v>1.931093352199631E-2</c:v>
                </c:pt>
                <c:pt idx="3">
                  <c:v>4.2376133576973701E-2</c:v>
                </c:pt>
                <c:pt idx="4">
                  <c:v>8.5093932864029373E-2</c:v>
                </c:pt>
                <c:pt idx="5">
                  <c:v>0.12586523300618602</c:v>
                </c:pt>
                <c:pt idx="6">
                  <c:v>0.19967345297415212</c:v>
                </c:pt>
                <c:pt idx="7">
                  <c:v>0.33793392899982422</c:v>
                </c:pt>
                <c:pt idx="8">
                  <c:v>0.65176852182642442</c:v>
                </c:pt>
                <c:pt idx="9">
                  <c:v>0.69661650630613436</c:v>
                </c:pt>
                <c:pt idx="10">
                  <c:v>0.8432872278487642</c:v>
                </c:pt>
                <c:pt idx="11">
                  <c:v>1</c:v>
                </c:pt>
              </c:numCache>
            </c:numRef>
          </c:xVal>
          <c:yVal>
            <c:numRef>
              <c:f>Gini_2018!$G$70:$G$81</c:f>
              <c:numCache>
                <c:formatCode>0.00</c:formatCode>
                <c:ptCount val="12"/>
                <c:pt idx="0">
                  <c:v>0</c:v>
                </c:pt>
                <c:pt idx="1">
                  <c:v>3.4593541506786328E-3</c:v>
                </c:pt>
                <c:pt idx="2">
                  <c:v>8.4563958488458896E-3</c:v>
                </c:pt>
                <c:pt idx="3">
                  <c:v>2.716718886649204E-2</c:v>
                </c:pt>
                <c:pt idx="4">
                  <c:v>5.8484705667197864E-2</c:v>
                </c:pt>
                <c:pt idx="5">
                  <c:v>0.11995535831641736</c:v>
                </c:pt>
                <c:pt idx="6">
                  <c:v>0.19235727687211288</c:v>
                </c:pt>
                <c:pt idx="7">
                  <c:v>0.2807703857888626</c:v>
                </c:pt>
                <c:pt idx="8">
                  <c:v>0.42856152939230518</c:v>
                </c:pt>
                <c:pt idx="9">
                  <c:v>0.58280948033410229</c:v>
                </c:pt>
                <c:pt idx="10">
                  <c:v>0.78504307612918367</c:v>
                </c:pt>
                <c:pt idx="11">
                  <c:v>1</c:v>
                </c:pt>
              </c:numCache>
            </c:numRef>
          </c:yVal>
          <c:smooth val="0"/>
          <c:extLst>
            <c:ext xmlns:c16="http://schemas.microsoft.com/office/drawing/2014/chart" uri="{C3380CC4-5D6E-409C-BE32-E72D297353CC}">
              <c16:uniqueId val="{00000002-F750-461A-980A-CDA52310A3F6}"/>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1.6122160326311905E-2"/>
              <c:y val="0.1433927801895390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Gini_2018!$H$157:$H$168</c:f>
              <c:numCache>
                <c:formatCode>0.00</c:formatCode>
                <c:ptCount val="12"/>
                <c:pt idx="0">
                  <c:v>0</c:v>
                </c:pt>
                <c:pt idx="1">
                  <c:v>8.3030863015460549E-3</c:v>
                </c:pt>
                <c:pt idx="2">
                  <c:v>1.695389038931653E-2</c:v>
                </c:pt>
                <c:pt idx="3">
                  <c:v>3.0639997410427673E-2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xVal>
          <c:yVal>
            <c:numRef>
              <c:f>Gini_2018!$H$157:$H$168</c:f>
              <c:numCache>
                <c:formatCode>0.00</c:formatCode>
                <c:ptCount val="12"/>
                <c:pt idx="0">
                  <c:v>0</c:v>
                </c:pt>
                <c:pt idx="1">
                  <c:v>8.3030863015460549E-3</c:v>
                </c:pt>
                <c:pt idx="2">
                  <c:v>1.695389038931653E-2</c:v>
                </c:pt>
                <c:pt idx="3">
                  <c:v>3.0639997410427673E-2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yVal>
          <c:smooth val="1"/>
          <c:extLst>
            <c:ext xmlns:c16="http://schemas.microsoft.com/office/drawing/2014/chart" uri="{C3380CC4-5D6E-409C-BE32-E72D297353CC}">
              <c16:uniqueId val="{00000000-D10A-40C9-97AC-40D2F05B5B16}"/>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D10A-40C9-97AC-40D2F05B5B16}"/>
              </c:ext>
            </c:extLst>
          </c:dPt>
          <c:xVal>
            <c:numRef>
              <c:f>Gini_2018!$H$281:$H$292</c:f>
              <c:numCache>
                <c:formatCode>0.00</c:formatCode>
                <c:ptCount val="12"/>
                <c:pt idx="0">
                  <c:v>0</c:v>
                </c:pt>
                <c:pt idx="1">
                  <c:v>8.3030863015460549E-3</c:v>
                </c:pt>
                <c:pt idx="2">
                  <c:v>1.695389038931653E-2</c:v>
                </c:pt>
                <c:pt idx="3">
                  <c:v>3.0639997410427673E-2</c:v>
                </c:pt>
                <c:pt idx="4">
                  <c:v>4.5995080707217632E-2</c:v>
                </c:pt>
                <c:pt idx="5">
                  <c:v>6.9192243194392378E-2</c:v>
                </c:pt>
                <c:pt idx="6">
                  <c:v>0.13077265392289361</c:v>
                </c:pt>
                <c:pt idx="7">
                  <c:v>0.19382240036921666</c:v>
                </c:pt>
                <c:pt idx="8">
                  <c:v>0.27272221729269863</c:v>
                </c:pt>
                <c:pt idx="9">
                  <c:v>0.39941458754135806</c:v>
                </c:pt>
                <c:pt idx="10">
                  <c:v>0.67279042614341211</c:v>
                </c:pt>
                <c:pt idx="11">
                  <c:v>1</c:v>
                </c:pt>
              </c:numCache>
            </c:numRef>
          </c:xVal>
          <c:yVal>
            <c:numRef>
              <c:f>Gini_2018!$G$281:$G$292</c:f>
              <c:numCache>
                <c:formatCode>0.00</c:formatCode>
                <c:ptCount val="12"/>
                <c:pt idx="0">
                  <c:v>0</c:v>
                </c:pt>
                <c:pt idx="1">
                  <c:v>1.8710793017646148E-2</c:v>
                </c:pt>
                <c:pt idx="2">
                  <c:v>2.2170147168324782E-2</c:v>
                </c:pt>
                <c:pt idx="3">
                  <c:v>0.16996129077176739</c:v>
                </c:pt>
                <c:pt idx="4">
                  <c:v>0.17495833246993464</c:v>
                </c:pt>
                <c:pt idx="5">
                  <c:v>0.37719192826501602</c:v>
                </c:pt>
                <c:pt idx="6">
                  <c:v>0.44959384682071152</c:v>
                </c:pt>
                <c:pt idx="7">
                  <c:v>0.48091136362141734</c:v>
                </c:pt>
                <c:pt idx="8">
                  <c:v>0.56932447253816709</c:v>
                </c:pt>
                <c:pt idx="9">
                  <c:v>0.63079512518738656</c:v>
                </c:pt>
                <c:pt idx="10">
                  <c:v>0.78504307612918367</c:v>
                </c:pt>
                <c:pt idx="11">
                  <c:v>1</c:v>
                </c:pt>
              </c:numCache>
            </c:numRef>
          </c:yVal>
          <c:smooth val="0"/>
          <c:extLst>
            <c:ext xmlns:c16="http://schemas.microsoft.com/office/drawing/2014/chart" uri="{C3380CC4-5D6E-409C-BE32-E72D297353CC}">
              <c16:uniqueId val="{00000002-D10A-40C9-97AC-40D2F05B5B16}"/>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Gini_2018!$H$70:$H$81</c:f>
              <c:numCache>
                <c:formatCode>0.00</c:formatCode>
                <c:ptCount val="12"/>
                <c:pt idx="0">
                  <c:v>0</c:v>
                </c:pt>
                <c:pt idx="1">
                  <c:v>1.4487850841712153E-2</c:v>
                </c:pt>
                <c:pt idx="2">
                  <c:v>1.931093352199631E-2</c:v>
                </c:pt>
                <c:pt idx="3">
                  <c:v>4.2376133576973701E-2</c:v>
                </c:pt>
                <c:pt idx="4">
                  <c:v>8.5093932864029373E-2</c:v>
                </c:pt>
                <c:pt idx="5">
                  <c:v>0.12586523300618602</c:v>
                </c:pt>
                <c:pt idx="6">
                  <c:v>0.19967345297415212</c:v>
                </c:pt>
                <c:pt idx="7">
                  <c:v>0.33793392899982422</c:v>
                </c:pt>
                <c:pt idx="8">
                  <c:v>0.65176852182642442</c:v>
                </c:pt>
                <c:pt idx="9">
                  <c:v>0.69661650630613436</c:v>
                </c:pt>
                <c:pt idx="10">
                  <c:v>0.8432872278487642</c:v>
                </c:pt>
                <c:pt idx="11">
                  <c:v>1</c:v>
                </c:pt>
              </c:numCache>
            </c:numRef>
          </c:xVal>
          <c:yVal>
            <c:numRef>
              <c:f>Gini_2018!$H$70:$H$81</c:f>
              <c:numCache>
                <c:formatCode>0.00</c:formatCode>
                <c:ptCount val="12"/>
                <c:pt idx="0">
                  <c:v>0</c:v>
                </c:pt>
                <c:pt idx="1">
                  <c:v>1.4487850841712153E-2</c:v>
                </c:pt>
                <c:pt idx="2">
                  <c:v>1.931093352199631E-2</c:v>
                </c:pt>
                <c:pt idx="3">
                  <c:v>4.2376133576973701E-2</c:v>
                </c:pt>
                <c:pt idx="4">
                  <c:v>8.5093932864029373E-2</c:v>
                </c:pt>
                <c:pt idx="5">
                  <c:v>0.12586523300618602</c:v>
                </c:pt>
                <c:pt idx="6">
                  <c:v>0.19967345297415212</c:v>
                </c:pt>
                <c:pt idx="7">
                  <c:v>0.33793392899982422</c:v>
                </c:pt>
                <c:pt idx="8">
                  <c:v>0.65176852182642442</c:v>
                </c:pt>
                <c:pt idx="9">
                  <c:v>0.69661650630613436</c:v>
                </c:pt>
                <c:pt idx="10">
                  <c:v>0.8432872278487642</c:v>
                </c:pt>
                <c:pt idx="11">
                  <c:v>1</c:v>
                </c:pt>
              </c:numCache>
            </c:numRef>
          </c:yVal>
          <c:smooth val="1"/>
          <c:extLst>
            <c:ext xmlns:c16="http://schemas.microsoft.com/office/drawing/2014/chart" uri="{C3380CC4-5D6E-409C-BE32-E72D297353CC}">
              <c16:uniqueId val="{00000000-26E2-4E4F-91E1-ADDE2FE5EA6A}"/>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26E2-4E4F-91E1-ADDE2FE5EA6A}"/>
              </c:ext>
            </c:extLst>
          </c:dPt>
          <c:xVal>
            <c:numRef>
              <c:f>Gini_2018!$H$261:$H$272</c:f>
              <c:numCache>
                <c:formatCode>0.00</c:formatCode>
                <c:ptCount val="12"/>
                <c:pt idx="0">
                  <c:v>0</c:v>
                </c:pt>
                <c:pt idx="1">
                  <c:v>1.4487850841712153E-2</c:v>
                </c:pt>
                <c:pt idx="2">
                  <c:v>5.5259150983868813E-2</c:v>
                </c:pt>
                <c:pt idx="3">
                  <c:v>6.0082233664152968E-2</c:v>
                </c:pt>
                <c:pt idx="4">
                  <c:v>0.1338904536321191</c:v>
                </c:pt>
                <c:pt idx="5">
                  <c:v>0.17873843811182905</c:v>
                </c:pt>
                <c:pt idx="6">
                  <c:v>0.20180363816680644</c:v>
                </c:pt>
                <c:pt idx="7">
                  <c:v>0.35851641031804232</c:v>
                </c:pt>
                <c:pt idx="8">
                  <c:v>0.40123420960509798</c:v>
                </c:pt>
                <c:pt idx="9">
                  <c:v>0.53949468563077008</c:v>
                </c:pt>
                <c:pt idx="10">
                  <c:v>0.6861654071733998</c:v>
                </c:pt>
                <c:pt idx="11">
                  <c:v>1</c:v>
                </c:pt>
              </c:numCache>
            </c:numRef>
          </c:xVal>
          <c:yVal>
            <c:numRef>
              <c:f>Gini_2018!$G$261:$G$272</c:f>
              <c:numCache>
                <c:formatCode>0.00</c:formatCode>
                <c:ptCount val="12"/>
                <c:pt idx="0">
                  <c:v>0</c:v>
                </c:pt>
                <c:pt idx="1">
                  <c:v>1.8710793017646148E-2</c:v>
                </c:pt>
                <c:pt idx="2">
                  <c:v>2.2170147168324782E-2</c:v>
                </c:pt>
                <c:pt idx="3">
                  <c:v>0.16996129077176739</c:v>
                </c:pt>
                <c:pt idx="4">
                  <c:v>0.17495833246993464</c:v>
                </c:pt>
                <c:pt idx="5">
                  <c:v>0.37719192826501602</c:v>
                </c:pt>
                <c:pt idx="6">
                  <c:v>0.44959384682071152</c:v>
                </c:pt>
                <c:pt idx="7">
                  <c:v>0.48091136362141734</c:v>
                </c:pt>
                <c:pt idx="8">
                  <c:v>0.56932447253816709</c:v>
                </c:pt>
                <c:pt idx="9">
                  <c:v>0.63079512518738656</c:v>
                </c:pt>
                <c:pt idx="10">
                  <c:v>0.78504307612918367</c:v>
                </c:pt>
                <c:pt idx="11">
                  <c:v>1</c:v>
                </c:pt>
              </c:numCache>
            </c:numRef>
          </c:yVal>
          <c:smooth val="0"/>
          <c:extLst>
            <c:ext xmlns:c16="http://schemas.microsoft.com/office/drawing/2014/chart" uri="{C3380CC4-5D6E-409C-BE32-E72D297353CC}">
              <c16:uniqueId val="{00000002-26E2-4E4F-91E1-ADDE2FE5EA6A}"/>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2.4106839487888897E-2"/>
              <c:y val="0.213799288086293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Gini_2018!$H$70:$H$81</c:f>
              <c:numCache>
                <c:formatCode>0.00</c:formatCode>
                <c:ptCount val="12"/>
                <c:pt idx="0">
                  <c:v>0</c:v>
                </c:pt>
                <c:pt idx="1">
                  <c:v>1.4487850841712153E-2</c:v>
                </c:pt>
                <c:pt idx="2">
                  <c:v>1.931093352199631E-2</c:v>
                </c:pt>
                <c:pt idx="3">
                  <c:v>4.2376133576973701E-2</c:v>
                </c:pt>
                <c:pt idx="4">
                  <c:v>8.5093932864029373E-2</c:v>
                </c:pt>
                <c:pt idx="5">
                  <c:v>0.12586523300618602</c:v>
                </c:pt>
                <c:pt idx="6">
                  <c:v>0.19967345297415212</c:v>
                </c:pt>
                <c:pt idx="7">
                  <c:v>0.33793392899982422</c:v>
                </c:pt>
                <c:pt idx="8">
                  <c:v>0.65176852182642442</c:v>
                </c:pt>
                <c:pt idx="9">
                  <c:v>0.69661650630613436</c:v>
                </c:pt>
                <c:pt idx="10">
                  <c:v>0.8432872278487642</c:v>
                </c:pt>
                <c:pt idx="11">
                  <c:v>1</c:v>
                </c:pt>
              </c:numCache>
            </c:numRef>
          </c:xVal>
          <c:yVal>
            <c:numRef>
              <c:f>Gini_2018!$H$70:$H$81</c:f>
              <c:numCache>
                <c:formatCode>0.00</c:formatCode>
                <c:ptCount val="12"/>
                <c:pt idx="0">
                  <c:v>0</c:v>
                </c:pt>
                <c:pt idx="1">
                  <c:v>1.4487850841712153E-2</c:v>
                </c:pt>
                <c:pt idx="2">
                  <c:v>1.931093352199631E-2</c:v>
                </c:pt>
                <c:pt idx="3">
                  <c:v>4.2376133576973701E-2</c:v>
                </c:pt>
                <c:pt idx="4">
                  <c:v>8.5093932864029373E-2</c:v>
                </c:pt>
                <c:pt idx="5">
                  <c:v>0.12586523300618602</c:v>
                </c:pt>
                <c:pt idx="6">
                  <c:v>0.19967345297415212</c:v>
                </c:pt>
                <c:pt idx="7">
                  <c:v>0.33793392899982422</c:v>
                </c:pt>
                <c:pt idx="8">
                  <c:v>0.65176852182642442</c:v>
                </c:pt>
                <c:pt idx="9">
                  <c:v>0.69661650630613436</c:v>
                </c:pt>
                <c:pt idx="10">
                  <c:v>0.8432872278487642</c:v>
                </c:pt>
                <c:pt idx="11">
                  <c:v>1</c:v>
                </c:pt>
              </c:numCache>
            </c:numRef>
          </c:yVal>
          <c:smooth val="1"/>
          <c:extLst>
            <c:ext xmlns:c16="http://schemas.microsoft.com/office/drawing/2014/chart" uri="{C3380CC4-5D6E-409C-BE32-E72D297353CC}">
              <c16:uniqueId val="{00000000-8E3A-4312-B843-13097A723675}"/>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8E3A-4312-B843-13097A723675}"/>
              </c:ext>
            </c:extLst>
          </c:dPt>
          <c:xVal>
            <c:numRef>
              <c:f>Gini_2018!$H$303:$H$314</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Gini_2018!$G$303:$G$314</c:f>
              <c:numCache>
                <c:formatCode>0.00</c:formatCode>
                <c:ptCount val="12"/>
                <c:pt idx="0">
                  <c:v>0</c:v>
                </c:pt>
                <c:pt idx="1">
                  <c:v>9.0909090909090925E-2</c:v>
                </c:pt>
                <c:pt idx="2">
                  <c:v>0.18181818181818185</c:v>
                </c:pt>
                <c:pt idx="3">
                  <c:v>0.27272727272727276</c:v>
                </c:pt>
                <c:pt idx="4">
                  <c:v>0.3636363636363637</c:v>
                </c:pt>
                <c:pt idx="5">
                  <c:v>0.45454545454545464</c:v>
                </c:pt>
                <c:pt idx="6">
                  <c:v>0.54545454545454553</c:v>
                </c:pt>
                <c:pt idx="7">
                  <c:v>0.63636363636363646</c:v>
                </c:pt>
                <c:pt idx="8">
                  <c:v>0.7272727272727274</c:v>
                </c:pt>
                <c:pt idx="9">
                  <c:v>0.81818181818181834</c:v>
                </c:pt>
                <c:pt idx="10">
                  <c:v>0.90909090909090928</c:v>
                </c:pt>
                <c:pt idx="11">
                  <c:v>1.0000000000000002</c:v>
                </c:pt>
              </c:numCache>
            </c:numRef>
          </c:yVal>
          <c:smooth val="0"/>
          <c:extLst>
            <c:ext xmlns:c16="http://schemas.microsoft.com/office/drawing/2014/chart" uri="{C3380CC4-5D6E-409C-BE32-E72D297353CC}">
              <c16:uniqueId val="{00000002-8E3A-4312-B843-13097A723675}"/>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2.4106839487888897E-2"/>
              <c:y val="0.213799288086293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Gini_2018!$H$70:$H$81</c:f>
              <c:numCache>
                <c:formatCode>0.00</c:formatCode>
                <c:ptCount val="12"/>
                <c:pt idx="0">
                  <c:v>0</c:v>
                </c:pt>
                <c:pt idx="1">
                  <c:v>1.4487850841712153E-2</c:v>
                </c:pt>
                <c:pt idx="2">
                  <c:v>1.931093352199631E-2</c:v>
                </c:pt>
                <c:pt idx="3">
                  <c:v>4.2376133576973701E-2</c:v>
                </c:pt>
                <c:pt idx="4">
                  <c:v>8.5093932864029373E-2</c:v>
                </c:pt>
                <c:pt idx="5">
                  <c:v>0.12586523300618602</c:v>
                </c:pt>
                <c:pt idx="6">
                  <c:v>0.19967345297415212</c:v>
                </c:pt>
                <c:pt idx="7">
                  <c:v>0.33793392899982422</c:v>
                </c:pt>
                <c:pt idx="8">
                  <c:v>0.65176852182642442</c:v>
                </c:pt>
                <c:pt idx="9">
                  <c:v>0.69661650630613436</c:v>
                </c:pt>
                <c:pt idx="10">
                  <c:v>0.8432872278487642</c:v>
                </c:pt>
                <c:pt idx="11">
                  <c:v>1</c:v>
                </c:pt>
              </c:numCache>
            </c:numRef>
          </c:xVal>
          <c:yVal>
            <c:numRef>
              <c:f>Gini_2018!$H$70:$H$81</c:f>
              <c:numCache>
                <c:formatCode>0.00</c:formatCode>
                <c:ptCount val="12"/>
                <c:pt idx="0">
                  <c:v>0</c:v>
                </c:pt>
                <c:pt idx="1">
                  <c:v>1.4487850841712153E-2</c:v>
                </c:pt>
                <c:pt idx="2">
                  <c:v>1.931093352199631E-2</c:v>
                </c:pt>
                <c:pt idx="3">
                  <c:v>4.2376133576973701E-2</c:v>
                </c:pt>
                <c:pt idx="4">
                  <c:v>8.5093932864029373E-2</c:v>
                </c:pt>
                <c:pt idx="5">
                  <c:v>0.12586523300618602</c:v>
                </c:pt>
                <c:pt idx="6">
                  <c:v>0.19967345297415212</c:v>
                </c:pt>
                <c:pt idx="7">
                  <c:v>0.33793392899982422</c:v>
                </c:pt>
                <c:pt idx="8">
                  <c:v>0.65176852182642442</c:v>
                </c:pt>
                <c:pt idx="9">
                  <c:v>0.69661650630613436</c:v>
                </c:pt>
                <c:pt idx="10">
                  <c:v>0.8432872278487642</c:v>
                </c:pt>
                <c:pt idx="11">
                  <c:v>1</c:v>
                </c:pt>
              </c:numCache>
            </c:numRef>
          </c:yVal>
          <c:smooth val="1"/>
          <c:extLst>
            <c:ext xmlns:c16="http://schemas.microsoft.com/office/drawing/2014/chart" uri="{C3380CC4-5D6E-409C-BE32-E72D297353CC}">
              <c16:uniqueId val="{00000000-520E-4036-B98E-3F8A1073012A}"/>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520E-4036-B98E-3F8A1073012A}"/>
              </c:ext>
            </c:extLst>
          </c:dPt>
          <c:xVal>
            <c:numRef>
              <c:f>Gini_2018!$H$348:$H$359</c:f>
              <c:numCache>
                <c:formatCode>0.00</c:formatCode>
                <c:ptCount val="12"/>
                <c:pt idx="0">
                  <c:v>0</c:v>
                </c:pt>
                <c:pt idx="1">
                  <c:v>1.3258312626129564E-2</c:v>
                </c:pt>
                <c:pt idx="2">
                  <c:v>6.168024432735246E-2</c:v>
                </c:pt>
                <c:pt idx="3">
                  <c:v>0.39650599688430443</c:v>
                </c:pt>
                <c:pt idx="4">
                  <c:v>0.59753025561730599</c:v>
                </c:pt>
                <c:pt idx="5">
                  <c:v>0.82084692803757864</c:v>
                </c:pt>
                <c:pt idx="6">
                  <c:v>1.2034246086459</c:v>
                </c:pt>
                <c:pt idx="7">
                  <c:v>1.3673552862232203</c:v>
                </c:pt>
                <c:pt idx="8">
                  <c:v>1.4118090416126057</c:v>
                </c:pt>
                <c:pt idx="9">
                  <c:v>1.8416009896992984</c:v>
                </c:pt>
                <c:pt idx="10">
                  <c:v>1.883448786534734</c:v>
                </c:pt>
                <c:pt idx="11">
                  <c:v>2.0544517697225677</c:v>
                </c:pt>
              </c:numCache>
            </c:numRef>
          </c:xVal>
          <c:yVal>
            <c:numRef>
              <c:f>Gini_2018!$G$348:$G$359</c:f>
              <c:numCache>
                <c:formatCode>0.00</c:formatCode>
                <c:ptCount val="12"/>
                <c:pt idx="0">
                  <c:v>0</c:v>
                </c:pt>
                <c:pt idx="1">
                  <c:v>3.4593541506786332E-3</c:v>
                </c:pt>
                <c:pt idx="2">
                  <c:v>8.4563958488458914E-3</c:v>
                </c:pt>
                <c:pt idx="3">
                  <c:v>2.7167188866492043E-2</c:v>
                </c:pt>
                <c:pt idx="4">
                  <c:v>5.8484705667197878E-2</c:v>
                </c:pt>
                <c:pt idx="5">
                  <c:v>0.11995535831641738</c:v>
                </c:pt>
                <c:pt idx="6">
                  <c:v>0.20836846723316713</c:v>
                </c:pt>
                <c:pt idx="7">
                  <c:v>0.30692811032044542</c:v>
                </c:pt>
                <c:pt idx="8">
                  <c:v>0.45471925392388807</c:v>
                </c:pt>
                <c:pt idx="9">
                  <c:v>0.60896720486568523</c:v>
                </c:pt>
                <c:pt idx="10">
                  <c:v>0.81120080066076672</c:v>
                </c:pt>
                <c:pt idx="11">
                  <c:v>1.0261577245315829</c:v>
                </c:pt>
              </c:numCache>
            </c:numRef>
          </c:yVal>
          <c:smooth val="0"/>
          <c:extLst>
            <c:ext xmlns:c16="http://schemas.microsoft.com/office/drawing/2014/chart" uri="{C3380CC4-5D6E-409C-BE32-E72D297353CC}">
              <c16:uniqueId val="{00000002-520E-4036-B98E-3F8A1073012A}"/>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2.4106839487888897E-2"/>
              <c:y val="0.213799288086293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xVal>
          <c:yVal>
            <c:numRef>
              <c:f>Gini_2018!$H$94:$H$105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yVal>
          <c:smooth val="1"/>
          <c:extLst>
            <c:ext xmlns:c16="http://schemas.microsoft.com/office/drawing/2014/chart" uri="{C3380CC4-5D6E-409C-BE32-E72D297353CC}">
              <c16:uniqueId val="{00000000-4434-4C90-9FE1-E36ACB87D9BB}"/>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4434-4C90-9FE1-E36ACB87D9BB}"/>
              </c:ext>
            </c:extLst>
          </c:dPt>
          <c:xVal>
            <c:numRef>
              <c:f>Gini_2018!$H$178:$H$189</c:f>
              <c:numCache>
                <c:formatCode>0.00</c:formatCode>
                <c:ptCount val="12"/>
                <c:pt idx="0">
                  <c:v>0</c:v>
                </c:pt>
                <c:pt idx="1">
                  <c:v>8.2249727275718124E-2</c:v>
                </c:pt>
                <c:pt idx="2">
                  <c:v>9.0263247322775519E-2</c:v>
                </c:pt>
                <c:pt idx="3">
                  <c:v>9.4581027823807909E-2</c:v>
                </c:pt>
                <c:pt idx="4">
                  <c:v>0.10127079145171206</c:v>
                </c:pt>
                <c:pt idx="5">
                  <c:v>0.10808687676914244</c:v>
                </c:pt>
                <c:pt idx="6">
                  <c:v>0.12427174144854033</c:v>
                </c:pt>
                <c:pt idx="7">
                  <c:v>0.16345651867644251</c:v>
                </c:pt>
                <c:pt idx="8">
                  <c:v>0.24099269172425059</c:v>
                </c:pt>
                <c:pt idx="9">
                  <c:v>0.67926609315684749</c:v>
                </c:pt>
                <c:pt idx="10">
                  <c:v>0.79811612788873898</c:v>
                </c:pt>
                <c:pt idx="11">
                  <c:v>1</c:v>
                </c:pt>
              </c:numCache>
            </c:numRef>
          </c:xVal>
          <c:yVal>
            <c:numRef>
              <c:f>Gini_2018!$G$178:$G$189</c:f>
              <c:numCache>
                <c:formatCode>0.00</c:formatCode>
                <c:ptCount val="12"/>
                <c:pt idx="0">
                  <c:v>0</c:v>
                </c:pt>
                <c:pt idx="1">
                  <c:v>2.0574426410451801E-3</c:v>
                </c:pt>
                <c:pt idx="2">
                  <c:v>8.6299290006598382E-3</c:v>
                </c:pt>
                <c:pt idx="3">
                  <c:v>1.7703678640373258E-2</c:v>
                </c:pt>
                <c:pt idx="4">
                  <c:v>3.0070099537271747E-2</c:v>
                </c:pt>
                <c:pt idx="5">
                  <c:v>4.2785924050606536E-2</c:v>
                </c:pt>
                <c:pt idx="6">
                  <c:v>8.0997415434134676E-2</c:v>
                </c:pt>
                <c:pt idx="7">
                  <c:v>0.15554298639807518</c:v>
                </c:pt>
                <c:pt idx="8">
                  <c:v>0.3071288313755236</c:v>
                </c:pt>
                <c:pt idx="9">
                  <c:v>0.49803114281752947</c:v>
                </c:pt>
                <c:pt idx="10">
                  <c:v>0.70345267576068349</c:v>
                </c:pt>
                <c:pt idx="11">
                  <c:v>1</c:v>
                </c:pt>
              </c:numCache>
            </c:numRef>
          </c:yVal>
          <c:smooth val="0"/>
          <c:extLst>
            <c:ext xmlns:c16="http://schemas.microsoft.com/office/drawing/2014/chart" uri="{C3380CC4-5D6E-409C-BE32-E72D297353CC}">
              <c16:uniqueId val="{00000002-4434-4C90-9FE1-E36ACB87D9BB}"/>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Precipitation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01861863580613"/>
          <c:y val="0.1566342980154827"/>
          <c:w val="0.54960252622417904"/>
          <c:h val="0.65904922055244786"/>
        </c:manualLayout>
      </c:layout>
      <c:scatterChart>
        <c:scatterStyle val="smoothMarker"/>
        <c:varyColors val="0"/>
        <c:ser>
          <c:idx val="1"/>
          <c:order val="1"/>
          <c:tx>
            <c:v>Equality Line</c:v>
          </c:tx>
          <c:spPr>
            <a:ln w="19050" cap="rnd">
              <a:solidFill>
                <a:schemeClr val="accent2"/>
              </a:solidFill>
              <a:round/>
            </a:ln>
            <a:effectLst/>
          </c:spPr>
          <c:marker>
            <c:symbol val="none"/>
          </c:marker>
          <c:xVal>
            <c:numRef>
              <c:f>Gini_2018!$H$115:$H$126</c:f>
              <c:numCache>
                <c:formatCode>0.00</c:formatCode>
                <c:ptCount val="12"/>
                <c:pt idx="0">
                  <c:v>0</c:v>
                </c:pt>
                <c:pt idx="1">
                  <c:v>8.6508040877704764E-3</c:v>
                </c:pt>
                <c:pt idx="2">
                  <c:v>2.233691110888162E-2</c:v>
                </c:pt>
                <c:pt idx="3">
                  <c:v>4.5534073596056365E-2</c:v>
                </c:pt>
                <c:pt idx="4">
                  <c:v>5.3837159897602418E-2</c:v>
                </c:pt>
                <c:pt idx="5">
                  <c:v>0.11688690634392547</c:v>
                </c:pt>
                <c:pt idx="6">
                  <c:v>0.17846731707242672</c:v>
                </c:pt>
                <c:pt idx="7">
                  <c:v>0.25736713399590871</c:v>
                </c:pt>
                <c:pt idx="8">
                  <c:v>0.38405950424456814</c:v>
                </c:pt>
                <c:pt idx="9">
                  <c:v>0.65743534284662219</c:v>
                </c:pt>
                <c:pt idx="10">
                  <c:v>0.98464491670321019</c:v>
                </c:pt>
                <c:pt idx="11">
                  <c:v>1.0000000000000002</c:v>
                </c:pt>
              </c:numCache>
            </c:numRef>
          </c:xVal>
          <c:yVal>
            <c:numRef>
              <c:f>Gini_2018!$H$115:$H$126</c:f>
              <c:numCache>
                <c:formatCode>0.00</c:formatCode>
                <c:ptCount val="12"/>
                <c:pt idx="0">
                  <c:v>0</c:v>
                </c:pt>
                <c:pt idx="1">
                  <c:v>8.6508040877704764E-3</c:v>
                </c:pt>
                <c:pt idx="2">
                  <c:v>2.233691110888162E-2</c:v>
                </c:pt>
                <c:pt idx="3">
                  <c:v>4.5534073596056365E-2</c:v>
                </c:pt>
                <c:pt idx="4">
                  <c:v>5.3837159897602418E-2</c:v>
                </c:pt>
                <c:pt idx="5">
                  <c:v>0.11688690634392547</c:v>
                </c:pt>
                <c:pt idx="6">
                  <c:v>0.17846731707242672</c:v>
                </c:pt>
                <c:pt idx="7">
                  <c:v>0.25736713399590871</c:v>
                </c:pt>
                <c:pt idx="8">
                  <c:v>0.38405950424456814</c:v>
                </c:pt>
                <c:pt idx="9">
                  <c:v>0.65743534284662219</c:v>
                </c:pt>
                <c:pt idx="10">
                  <c:v>0.98464491670321019</c:v>
                </c:pt>
                <c:pt idx="11">
                  <c:v>1.0000000000000002</c:v>
                </c:pt>
              </c:numCache>
            </c:numRef>
          </c:yVal>
          <c:smooth val="1"/>
          <c:extLst>
            <c:ext xmlns:c16="http://schemas.microsoft.com/office/drawing/2014/chart" uri="{C3380CC4-5D6E-409C-BE32-E72D297353CC}">
              <c16:uniqueId val="{00000000-643E-43C5-AD39-2167D61472F3}"/>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643E-43C5-AD39-2167D61472F3}"/>
              </c:ext>
            </c:extLst>
          </c:dPt>
          <c:xVal>
            <c:numRef>
              <c:f>Gini_2018!$H$199:$H$210</c:f>
              <c:numCache>
                <c:formatCode>0.00</c:formatCode>
                <c:ptCount val="12"/>
                <c:pt idx="0">
                  <c:v>0</c:v>
                </c:pt>
                <c:pt idx="1">
                  <c:v>8.0135200470573958E-3</c:v>
                </c:pt>
                <c:pt idx="2">
                  <c:v>1.2331300548089792E-2</c:v>
                </c:pt>
                <c:pt idx="3">
                  <c:v>1.9147385865520176E-2</c:v>
                </c:pt>
                <c:pt idx="4">
                  <c:v>2.5837149493424316E-2</c:v>
                </c:pt>
                <c:pt idx="5">
                  <c:v>4.2022014172822211E-2</c:v>
                </c:pt>
                <c:pt idx="6">
                  <c:v>0.12427174144854033</c:v>
                </c:pt>
                <c:pt idx="7">
                  <c:v>0.16345651867644251</c:v>
                </c:pt>
                <c:pt idx="8">
                  <c:v>0.24099269172425059</c:v>
                </c:pt>
                <c:pt idx="9">
                  <c:v>0.35984272645614207</c:v>
                </c:pt>
                <c:pt idx="10">
                  <c:v>0.79811612788873898</c:v>
                </c:pt>
                <c:pt idx="11">
                  <c:v>1</c:v>
                </c:pt>
              </c:numCache>
            </c:numRef>
          </c:xVal>
          <c:yVal>
            <c:numRef>
              <c:f>Gini_2018!$G$199:$G$210</c:f>
              <c:numCache>
                <c:formatCode>0.00</c:formatCode>
                <c:ptCount val="12"/>
                <c:pt idx="0">
                  <c:v>0</c:v>
                </c:pt>
                <c:pt idx="1">
                  <c:v>5.6387986055587242E-3</c:v>
                </c:pt>
                <c:pt idx="2">
                  <c:v>1.1360188457287819E-2</c:v>
                </c:pt>
                <c:pt idx="3">
                  <c:v>2.024176629132083E-2</c:v>
                </c:pt>
                <c:pt idx="4">
                  <c:v>3.2012888050712042E-2</c:v>
                </c:pt>
                <c:pt idx="5">
                  <c:v>5.7762823909743397E-2</c:v>
                </c:pt>
                <c:pt idx="6">
                  <c:v>8.8550981159494335E-2</c:v>
                </c:pt>
                <c:pt idx="7">
                  <c:v>0.1404898543639673</c:v>
                </c:pt>
                <c:pt idx="8">
                  <c:v>0.26486530011936027</c:v>
                </c:pt>
                <c:pt idx="9">
                  <c:v>0.43265145785843007</c:v>
                </c:pt>
                <c:pt idx="10">
                  <c:v>0.64822411816596082</c:v>
                </c:pt>
                <c:pt idx="11">
                  <c:v>1</c:v>
                </c:pt>
              </c:numCache>
            </c:numRef>
          </c:yVal>
          <c:smooth val="0"/>
          <c:extLst>
            <c:ext xmlns:c16="http://schemas.microsoft.com/office/drawing/2014/chart" uri="{C3380CC4-5D6E-409C-BE32-E72D297353CC}">
              <c16:uniqueId val="{00000002-643E-43C5-AD39-2167D61472F3}"/>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ETa</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Gini_2018!$H$136:$H$147</c:f>
              <c:numCache>
                <c:formatCode>0.00</c:formatCode>
                <c:ptCount val="12"/>
                <c:pt idx="0">
                  <c:v>0</c:v>
                </c:pt>
                <c:pt idx="1">
                  <c:v>6.1580410728501248E-2</c:v>
                </c:pt>
                <c:pt idx="2">
                  <c:v>0.38878998458508923</c:v>
                </c:pt>
                <c:pt idx="3">
                  <c:v>0.40414506788187921</c:v>
                </c:pt>
                <c:pt idx="4">
                  <c:v>0.41244815418342529</c:v>
                </c:pt>
                <c:pt idx="5">
                  <c:v>0.42109895827119576</c:v>
                </c:pt>
                <c:pt idx="6">
                  <c:v>0.43478506529230687</c:v>
                </c:pt>
                <c:pt idx="7">
                  <c:v>0.45798222777948161</c:v>
                </c:pt>
                <c:pt idx="8">
                  <c:v>0.52103197422580472</c:v>
                </c:pt>
                <c:pt idx="9">
                  <c:v>0.59993179114928674</c:v>
                </c:pt>
                <c:pt idx="10">
                  <c:v>0.72662416139794617</c:v>
                </c:pt>
                <c:pt idx="11">
                  <c:v>1.0000000000000002</c:v>
                </c:pt>
              </c:numCache>
            </c:numRef>
          </c:xVal>
          <c:yVal>
            <c:numRef>
              <c:f>Gini_2018!$H$136:$H$147</c:f>
              <c:numCache>
                <c:formatCode>0.00</c:formatCode>
                <c:ptCount val="12"/>
                <c:pt idx="0">
                  <c:v>0</c:v>
                </c:pt>
                <c:pt idx="1">
                  <c:v>6.1580410728501248E-2</c:v>
                </c:pt>
                <c:pt idx="2">
                  <c:v>0.38878998458508923</c:v>
                </c:pt>
                <c:pt idx="3">
                  <c:v>0.40414506788187921</c:v>
                </c:pt>
                <c:pt idx="4">
                  <c:v>0.41244815418342529</c:v>
                </c:pt>
                <c:pt idx="5">
                  <c:v>0.42109895827119576</c:v>
                </c:pt>
                <c:pt idx="6">
                  <c:v>0.43478506529230687</c:v>
                </c:pt>
                <c:pt idx="7">
                  <c:v>0.45798222777948161</c:v>
                </c:pt>
                <c:pt idx="8">
                  <c:v>0.52103197422580472</c:v>
                </c:pt>
                <c:pt idx="9">
                  <c:v>0.59993179114928674</c:v>
                </c:pt>
                <c:pt idx="10">
                  <c:v>0.72662416139794617</c:v>
                </c:pt>
                <c:pt idx="11">
                  <c:v>1.0000000000000002</c:v>
                </c:pt>
              </c:numCache>
            </c:numRef>
          </c:yVal>
          <c:smooth val="1"/>
          <c:extLst>
            <c:ext xmlns:c16="http://schemas.microsoft.com/office/drawing/2014/chart" uri="{C3380CC4-5D6E-409C-BE32-E72D297353CC}">
              <c16:uniqueId val="{00000000-C522-4491-8EA9-904205B1340E}"/>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C522-4491-8EA9-904205B1340E}"/>
              </c:ext>
            </c:extLst>
          </c:dPt>
          <c:xVal>
            <c:numRef>
              <c:f>Gini_2018!$H$220:$H$231</c:f>
              <c:numCache>
                <c:formatCode>0.00</c:formatCode>
                <c:ptCount val="12"/>
                <c:pt idx="0">
                  <c:v>0</c:v>
                </c:pt>
                <c:pt idx="1">
                  <c:v>8.2249727275718124E-2</c:v>
                </c:pt>
                <c:pt idx="2">
                  <c:v>0.52052312870831507</c:v>
                </c:pt>
                <c:pt idx="3">
                  <c:v>0.7224070008195761</c:v>
                </c:pt>
                <c:pt idx="4">
                  <c:v>0.72909676444748028</c:v>
                </c:pt>
                <c:pt idx="5">
                  <c:v>0.73711028449453764</c:v>
                </c:pt>
                <c:pt idx="6">
                  <c:v>0.74142806499557001</c:v>
                </c:pt>
                <c:pt idx="7">
                  <c:v>0.7482441503130004</c:v>
                </c:pt>
                <c:pt idx="8">
                  <c:v>0.76442901499239835</c:v>
                </c:pt>
                <c:pt idx="9">
                  <c:v>0.80361379222030049</c:v>
                </c:pt>
                <c:pt idx="10">
                  <c:v>0.88114996526810863</c:v>
                </c:pt>
                <c:pt idx="11">
                  <c:v>1.0000000000000002</c:v>
                </c:pt>
              </c:numCache>
            </c:numRef>
          </c:xVal>
          <c:yVal>
            <c:numRef>
              <c:f>Gini_2018!$G$220:$G$231</c:f>
              <c:numCache>
                <c:formatCode>0.00</c:formatCode>
                <c:ptCount val="12"/>
                <c:pt idx="0">
                  <c:v>0</c:v>
                </c:pt>
                <c:pt idx="1">
                  <c:v>0</c:v>
                </c:pt>
                <c:pt idx="2">
                  <c:v>0</c:v>
                </c:pt>
                <c:pt idx="3">
                  <c:v>0</c:v>
                </c:pt>
                <c:pt idx="4">
                  <c:v>5.4290577913134646E-3</c:v>
                </c:pt>
                <c:pt idx="5">
                  <c:v>1.3271339033212672E-2</c:v>
                </c:pt>
                <c:pt idx="6">
                  <c:v>4.2635773025661156E-2</c:v>
                </c:pt>
                <c:pt idx="7">
                  <c:v>7.6185424270137081E-2</c:v>
                </c:pt>
                <c:pt idx="8">
                  <c:v>0.18981189410229665</c:v>
                </c:pt>
                <c:pt idx="9">
                  <c:v>0.43188628237804488</c:v>
                </c:pt>
                <c:pt idx="10">
                  <c:v>0.6826176704974718</c:v>
                </c:pt>
                <c:pt idx="11">
                  <c:v>1</c:v>
                </c:pt>
              </c:numCache>
            </c:numRef>
          </c:yVal>
          <c:smooth val="0"/>
          <c:extLst>
            <c:ext xmlns:c16="http://schemas.microsoft.com/office/drawing/2014/chart" uri="{C3380CC4-5D6E-409C-BE32-E72D297353CC}">
              <c16:uniqueId val="{00000002-C522-4491-8EA9-904205B1340E}"/>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Gini_2018!$H$157:$H$168</c:f>
              <c:numCache>
                <c:formatCode>0.00</c:formatCode>
                <c:ptCount val="12"/>
                <c:pt idx="0">
                  <c:v>0</c:v>
                </c:pt>
                <c:pt idx="1">
                  <c:v>8.3030863015460549E-3</c:v>
                </c:pt>
                <c:pt idx="2">
                  <c:v>1.695389038931653E-2</c:v>
                </c:pt>
                <c:pt idx="3">
                  <c:v>3.0639997410427673E-2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xVal>
          <c:yVal>
            <c:numRef>
              <c:f>Gini_2018!$H$157:$H$168</c:f>
              <c:numCache>
                <c:formatCode>0.00</c:formatCode>
                <c:ptCount val="12"/>
                <c:pt idx="0">
                  <c:v>0</c:v>
                </c:pt>
                <c:pt idx="1">
                  <c:v>8.3030863015460549E-3</c:v>
                </c:pt>
                <c:pt idx="2">
                  <c:v>1.695389038931653E-2</c:v>
                </c:pt>
                <c:pt idx="3">
                  <c:v>3.0639997410427673E-2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yVal>
          <c:smooth val="1"/>
          <c:extLst>
            <c:ext xmlns:c16="http://schemas.microsoft.com/office/drawing/2014/chart" uri="{C3380CC4-5D6E-409C-BE32-E72D297353CC}">
              <c16:uniqueId val="{00000000-FF21-4918-8B1F-EB366C52E95F}"/>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FF21-4918-8B1F-EB366C52E95F}"/>
              </c:ext>
            </c:extLst>
          </c:dPt>
          <c:xVal>
            <c:numRef>
              <c:f>Gini_2018!$H$241:$H$252</c:f>
              <c:numCache>
                <c:formatCode>0.00</c:formatCode>
                <c:ptCount val="12"/>
                <c:pt idx="0">
                  <c:v>0</c:v>
                </c:pt>
                <c:pt idx="1">
                  <c:v>6.6897636279041406E-3</c:v>
                </c:pt>
                <c:pt idx="2">
                  <c:v>1.4703283674961536E-2</c:v>
                </c:pt>
                <c:pt idx="3">
                  <c:v>1.9021064175993932E-2</c:v>
                </c:pt>
                <c:pt idx="4">
                  <c:v>2.5837149493424316E-2</c:v>
                </c:pt>
                <c:pt idx="5">
                  <c:v>0.22772102160468533</c:v>
                </c:pt>
                <c:pt idx="6">
                  <c:v>0.24390588628408322</c:v>
                </c:pt>
                <c:pt idx="7">
                  <c:v>0.68217928771668013</c:v>
                </c:pt>
                <c:pt idx="8">
                  <c:v>0.76442901499239824</c:v>
                </c:pt>
                <c:pt idx="9">
                  <c:v>0.80361379222030038</c:v>
                </c:pt>
                <c:pt idx="10">
                  <c:v>0.92246382695219187</c:v>
                </c:pt>
                <c:pt idx="11">
                  <c:v>1</c:v>
                </c:pt>
              </c:numCache>
            </c:numRef>
          </c:xVal>
          <c:yVal>
            <c:numRef>
              <c:f>Gini_2018!$G$241:$G$252</c:f>
              <c:numCache>
                <c:formatCode>0.00</c:formatCode>
                <c:ptCount val="12"/>
                <c:pt idx="0">
                  <c:v>0</c:v>
                </c:pt>
                <c:pt idx="1">
                  <c:v>3.4593541506786328E-3</c:v>
                </c:pt>
                <c:pt idx="2">
                  <c:v>8.4563958488458896E-3</c:v>
                </c:pt>
                <c:pt idx="3">
                  <c:v>2.716718886649204E-2</c:v>
                </c:pt>
                <c:pt idx="4">
                  <c:v>5.8484705667197864E-2</c:v>
                </c:pt>
                <c:pt idx="5">
                  <c:v>0.11995535831641736</c:v>
                </c:pt>
                <c:pt idx="6">
                  <c:v>0.19235727687211288</c:v>
                </c:pt>
                <c:pt idx="7">
                  <c:v>0.2807703857888626</c:v>
                </c:pt>
                <c:pt idx="8">
                  <c:v>0.42856152939230518</c:v>
                </c:pt>
                <c:pt idx="9">
                  <c:v>0.58280948033410229</c:v>
                </c:pt>
                <c:pt idx="10">
                  <c:v>0.78504307612918367</c:v>
                </c:pt>
                <c:pt idx="11">
                  <c:v>1</c:v>
                </c:pt>
              </c:numCache>
            </c:numRef>
          </c:yVal>
          <c:smooth val="0"/>
          <c:extLst>
            <c:ext xmlns:c16="http://schemas.microsoft.com/office/drawing/2014/chart" uri="{C3380CC4-5D6E-409C-BE32-E72D297353CC}">
              <c16:uniqueId val="{00000002-FF21-4918-8B1F-EB366C52E95F}"/>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Gini_2018!$H$157:$H$168</c:f>
              <c:numCache>
                <c:formatCode>0.00</c:formatCode>
                <c:ptCount val="12"/>
                <c:pt idx="0">
                  <c:v>0</c:v>
                </c:pt>
                <c:pt idx="1">
                  <c:v>8.3030863015460549E-3</c:v>
                </c:pt>
                <c:pt idx="2">
                  <c:v>1.695389038931653E-2</c:v>
                </c:pt>
                <c:pt idx="3">
                  <c:v>3.0639997410427673E-2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xVal>
          <c:yVal>
            <c:numRef>
              <c:f>Gini_2018!$H$157:$H$168</c:f>
              <c:numCache>
                <c:formatCode>0.00</c:formatCode>
                <c:ptCount val="12"/>
                <c:pt idx="0">
                  <c:v>0</c:v>
                </c:pt>
                <c:pt idx="1">
                  <c:v>8.3030863015460549E-3</c:v>
                </c:pt>
                <c:pt idx="2">
                  <c:v>1.695389038931653E-2</c:v>
                </c:pt>
                <c:pt idx="3">
                  <c:v>3.0639997410427673E-2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yVal>
          <c:smooth val="1"/>
          <c:extLst>
            <c:ext xmlns:c16="http://schemas.microsoft.com/office/drawing/2014/chart" uri="{C3380CC4-5D6E-409C-BE32-E72D297353CC}">
              <c16:uniqueId val="{00000000-74B5-4DE8-A51D-D13103F54957}"/>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74B5-4DE8-A51D-D13103F54957}"/>
              </c:ext>
            </c:extLst>
          </c:dPt>
          <c:xVal>
            <c:numRef>
              <c:f>Gini_2018!$H$324:$H$335</c:f>
              <c:numCache>
                <c:formatCode>0.00</c:formatCode>
                <c:ptCount val="12"/>
                <c:pt idx="0">
                  <c:v>0</c:v>
                </c:pt>
                <c:pt idx="1">
                  <c:v>4.3177805010323955E-3</c:v>
                </c:pt>
                <c:pt idx="2">
                  <c:v>1.1007544128936536E-2</c:v>
                </c:pt>
                <c:pt idx="3">
                  <c:v>9.325727140465466E-2</c:v>
                </c:pt>
                <c:pt idx="4">
                  <c:v>0.10127079145171206</c:v>
                </c:pt>
                <c:pt idx="5">
                  <c:v>0.22012082618360357</c:v>
                </c:pt>
                <c:pt idx="6">
                  <c:v>0.23630569086300146</c:v>
                </c:pt>
                <c:pt idx="7">
                  <c:v>0.24312177618043185</c:v>
                </c:pt>
                <c:pt idx="8">
                  <c:v>0.6813951776130287</c:v>
                </c:pt>
                <c:pt idx="9">
                  <c:v>0.88327904972428972</c:v>
                </c:pt>
                <c:pt idx="10">
                  <c:v>0.92246382695219187</c:v>
                </c:pt>
                <c:pt idx="11">
                  <c:v>1</c:v>
                </c:pt>
              </c:numCache>
            </c:numRef>
          </c:xVal>
          <c:yVal>
            <c:numRef>
              <c:f>Gini_2018!$G$324:$G$335</c:f>
              <c:numCache>
                <c:formatCode>0.00</c:formatCode>
                <c:ptCount val="12"/>
                <c:pt idx="0">
                  <c:v>0</c:v>
                </c:pt>
                <c:pt idx="1">
                  <c:v>9.0909090909090925E-2</c:v>
                </c:pt>
                <c:pt idx="2">
                  <c:v>0.18181818181818182</c:v>
                </c:pt>
                <c:pt idx="3">
                  <c:v>0.27272727272727271</c:v>
                </c:pt>
                <c:pt idx="4">
                  <c:v>0.36363636363636365</c:v>
                </c:pt>
                <c:pt idx="5">
                  <c:v>0.45454545454545459</c:v>
                </c:pt>
                <c:pt idx="6">
                  <c:v>0.54545454545454553</c:v>
                </c:pt>
                <c:pt idx="7">
                  <c:v>0.63636363636363646</c:v>
                </c:pt>
                <c:pt idx="8">
                  <c:v>0.7272727272727274</c:v>
                </c:pt>
                <c:pt idx="9">
                  <c:v>0.81818181818181834</c:v>
                </c:pt>
                <c:pt idx="10">
                  <c:v>0.90909090909090928</c:v>
                </c:pt>
                <c:pt idx="11">
                  <c:v>1.0000000000000002</c:v>
                </c:pt>
              </c:numCache>
            </c:numRef>
          </c:yVal>
          <c:smooth val="0"/>
          <c:extLst>
            <c:ext xmlns:c16="http://schemas.microsoft.com/office/drawing/2014/chart" uri="{C3380CC4-5D6E-409C-BE32-E72D297353CC}">
              <c16:uniqueId val="{00000002-74B5-4DE8-A51D-D13103F54957}"/>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 based on population of each country in the basin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Gini_2018!$H$6:$H$17</c:f>
              <c:numCache>
                <c:formatCode>0.00</c:formatCode>
                <c:ptCount val="12"/>
                <c:pt idx="0">
                  <c:v>0</c:v>
                </c:pt>
                <c:pt idx="1">
                  <c:v>0.3138345928266002</c:v>
                </c:pt>
                <c:pt idx="2">
                  <c:v>0.31865767550688434</c:v>
                </c:pt>
                <c:pt idx="3">
                  <c:v>0.34172287556186176</c:v>
                </c:pt>
                <c:pt idx="4">
                  <c:v>0.35621072640357393</c:v>
                </c:pt>
                <c:pt idx="5">
                  <c:v>0.39892852569062959</c:v>
                </c:pt>
                <c:pt idx="6">
                  <c:v>0.47273674565859569</c:v>
                </c:pt>
                <c:pt idx="7">
                  <c:v>0.51758473013830564</c:v>
                </c:pt>
                <c:pt idx="8">
                  <c:v>0.67429750228954155</c:v>
                </c:pt>
                <c:pt idx="9">
                  <c:v>0.8125579783152137</c:v>
                </c:pt>
                <c:pt idx="10">
                  <c:v>0.95922869985784354</c:v>
                </c:pt>
                <c:pt idx="11">
                  <c:v>1</c:v>
                </c:pt>
              </c:numCache>
            </c:numRef>
          </c:xVal>
          <c:yVal>
            <c:numRef>
              <c:f>Gini_2018!$H$6:$H$17</c:f>
              <c:numCache>
                <c:formatCode>0.00</c:formatCode>
                <c:ptCount val="12"/>
                <c:pt idx="0">
                  <c:v>0</c:v>
                </c:pt>
                <c:pt idx="1">
                  <c:v>0.3138345928266002</c:v>
                </c:pt>
                <c:pt idx="2">
                  <c:v>0.31865767550688434</c:v>
                </c:pt>
                <c:pt idx="3">
                  <c:v>0.34172287556186176</c:v>
                </c:pt>
                <c:pt idx="4">
                  <c:v>0.35621072640357393</c:v>
                </c:pt>
                <c:pt idx="5">
                  <c:v>0.39892852569062959</c:v>
                </c:pt>
                <c:pt idx="6">
                  <c:v>0.47273674565859569</c:v>
                </c:pt>
                <c:pt idx="7">
                  <c:v>0.51758473013830564</c:v>
                </c:pt>
                <c:pt idx="8">
                  <c:v>0.67429750228954155</c:v>
                </c:pt>
                <c:pt idx="9">
                  <c:v>0.8125579783152137</c:v>
                </c:pt>
                <c:pt idx="10">
                  <c:v>0.95922869985784354</c:v>
                </c:pt>
                <c:pt idx="11">
                  <c:v>1</c:v>
                </c:pt>
              </c:numCache>
            </c:numRef>
          </c:yVal>
          <c:smooth val="1"/>
          <c:extLst>
            <c:ext xmlns:c16="http://schemas.microsoft.com/office/drawing/2014/chart" uri="{C3380CC4-5D6E-409C-BE32-E72D297353CC}">
              <c16:uniqueId val="{00000002-DFC7-4229-89CC-F1902113F22A}"/>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Precipitation</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DFC7-4229-89CC-F1902113F22A}"/>
              </c:ext>
            </c:extLst>
          </c:dPt>
          <c:xVal>
            <c:numRef>
              <c:f>Gini_2018!$H$6:$H$17</c:f>
              <c:numCache>
                <c:formatCode>0.00</c:formatCode>
                <c:ptCount val="12"/>
                <c:pt idx="0">
                  <c:v>0</c:v>
                </c:pt>
                <c:pt idx="1">
                  <c:v>0.3138345928266002</c:v>
                </c:pt>
                <c:pt idx="2">
                  <c:v>0.31865767550688434</c:v>
                </c:pt>
                <c:pt idx="3">
                  <c:v>0.34172287556186176</c:v>
                </c:pt>
                <c:pt idx="4">
                  <c:v>0.35621072640357393</c:v>
                </c:pt>
                <c:pt idx="5">
                  <c:v>0.39892852569062959</c:v>
                </c:pt>
                <c:pt idx="6">
                  <c:v>0.47273674565859569</c:v>
                </c:pt>
                <c:pt idx="7">
                  <c:v>0.51758473013830564</c:v>
                </c:pt>
                <c:pt idx="8">
                  <c:v>0.67429750228954155</c:v>
                </c:pt>
                <c:pt idx="9">
                  <c:v>0.8125579783152137</c:v>
                </c:pt>
                <c:pt idx="10">
                  <c:v>0.95922869985784354</c:v>
                </c:pt>
                <c:pt idx="11">
                  <c:v>1</c:v>
                </c:pt>
              </c:numCache>
            </c:numRef>
          </c:xVal>
          <c:yVal>
            <c:numRef>
              <c:f>Gini_2018!$G$6:$G$17</c:f>
              <c:numCache>
                <c:formatCode>0.00</c:formatCode>
                <c:ptCount val="12"/>
                <c:pt idx="0">
                  <c:v>0</c:v>
                </c:pt>
                <c:pt idx="1">
                  <c:v>2.0572122059260146E-3</c:v>
                </c:pt>
                <c:pt idx="2">
                  <c:v>8.6289624421381217E-3</c:v>
                </c:pt>
                <c:pt idx="3">
                  <c:v>1.7701695815085312E-2</c:v>
                </c:pt>
                <c:pt idx="4">
                  <c:v>3.0178732413705139E-2</c:v>
                </c:pt>
                <c:pt idx="5">
                  <c:v>4.2893132745155806E-2</c:v>
                </c:pt>
                <c:pt idx="6">
                  <c:v>8.1100344412985081E-2</c:v>
                </c:pt>
                <c:pt idx="7">
                  <c:v>0.15563756621705813</c:v>
                </c:pt>
                <c:pt idx="8">
                  <c:v>0.30720643346615872</c:v>
                </c:pt>
                <c:pt idx="9">
                  <c:v>0.49808736370607998</c:v>
                </c:pt>
                <c:pt idx="10">
                  <c:v>0.70348588928344968</c:v>
                </c:pt>
                <c:pt idx="11">
                  <c:v>0.99999999999999978</c:v>
                </c:pt>
              </c:numCache>
            </c:numRef>
          </c:yVal>
          <c:smooth val="0"/>
          <c:extLst>
            <c:ext xmlns:c16="http://schemas.microsoft.com/office/drawing/2014/chart" uri="{C3380CC4-5D6E-409C-BE32-E72D297353CC}">
              <c16:uniqueId val="{00000001-DFC7-4229-89CC-F1902113F22A}"/>
            </c:ext>
          </c:extLst>
        </c:ser>
        <c:ser>
          <c:idx val="2"/>
          <c:order val="2"/>
          <c:tx>
            <c:v>ETa</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Gini_2018!$H$27:$H$38</c:f>
              <c:numCache>
                <c:formatCode>0.00</c:formatCode>
                <c:ptCount val="12"/>
                <c:pt idx="0">
                  <c:v>0</c:v>
                </c:pt>
                <c:pt idx="1">
                  <c:v>4.8230826802841548E-3</c:v>
                </c:pt>
                <c:pt idx="2">
                  <c:v>2.788828273526155E-2</c:v>
                </c:pt>
                <c:pt idx="3">
                  <c:v>7.0606082022317218E-2</c:v>
                </c:pt>
                <c:pt idx="4">
                  <c:v>8.5093932864029373E-2</c:v>
                </c:pt>
                <c:pt idx="5">
                  <c:v>0.15890215283199549</c:v>
                </c:pt>
                <c:pt idx="6">
                  <c:v>0.47273674565859564</c:v>
                </c:pt>
                <c:pt idx="7">
                  <c:v>0.51758473013830553</c:v>
                </c:pt>
                <c:pt idx="8">
                  <c:v>0.67429750228954144</c:v>
                </c:pt>
                <c:pt idx="9">
                  <c:v>0.82096822383217116</c:v>
                </c:pt>
                <c:pt idx="10">
                  <c:v>0.9592286998578432</c:v>
                </c:pt>
                <c:pt idx="11">
                  <c:v>0.99999999999999989</c:v>
                </c:pt>
              </c:numCache>
            </c:numRef>
          </c:xVal>
          <c:yVal>
            <c:numRef>
              <c:f>Gini_2018!$G$27:$G$38</c:f>
              <c:numCache>
                <c:formatCode>0.00</c:formatCode>
                <c:ptCount val="12"/>
                <c:pt idx="0">
                  <c:v>0</c:v>
                </c:pt>
                <c:pt idx="1">
                  <c:v>5.6387986055587242E-3</c:v>
                </c:pt>
                <c:pt idx="2">
                  <c:v>1.1360188457287819E-2</c:v>
                </c:pt>
                <c:pt idx="3">
                  <c:v>2.024176629132083E-2</c:v>
                </c:pt>
                <c:pt idx="4">
                  <c:v>3.2012888050712042E-2</c:v>
                </c:pt>
                <c:pt idx="5">
                  <c:v>5.7762823909743397E-2</c:v>
                </c:pt>
                <c:pt idx="6">
                  <c:v>8.8550981159494335E-2</c:v>
                </c:pt>
                <c:pt idx="7">
                  <c:v>0.1404898543639673</c:v>
                </c:pt>
                <c:pt idx="8">
                  <c:v>0.26486530011936027</c:v>
                </c:pt>
                <c:pt idx="9">
                  <c:v>0.43265145785843007</c:v>
                </c:pt>
                <c:pt idx="10">
                  <c:v>0.64822411816596082</c:v>
                </c:pt>
                <c:pt idx="11">
                  <c:v>1</c:v>
                </c:pt>
              </c:numCache>
            </c:numRef>
          </c:yVal>
          <c:smooth val="0"/>
          <c:extLst>
            <c:ext xmlns:c16="http://schemas.microsoft.com/office/drawing/2014/chart" uri="{C3380CC4-5D6E-409C-BE32-E72D297353CC}">
              <c16:uniqueId val="{00000003-DFC7-4229-89CC-F1902113F22A}"/>
            </c:ext>
          </c:extLst>
        </c:ser>
        <c:ser>
          <c:idx val="3"/>
          <c:order val="3"/>
          <c:tx>
            <c:v>Internal AW</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Gini_2018!$H$49:$H$60</c:f>
              <c:numCache>
                <c:formatCode>0.00</c:formatCode>
                <c:ptCount val="12"/>
                <c:pt idx="0">
                  <c:v>0</c:v>
                </c:pt>
                <c:pt idx="1">
                  <c:v>0.31383459282660014</c:v>
                </c:pt>
                <c:pt idx="2">
                  <c:v>0.45209506885227224</c:v>
                </c:pt>
                <c:pt idx="3">
                  <c:v>0.49286636899442893</c:v>
                </c:pt>
                <c:pt idx="4">
                  <c:v>0.50735421983614104</c:v>
                </c:pt>
                <c:pt idx="5">
                  <c:v>0.51217730251642524</c:v>
                </c:pt>
                <c:pt idx="6">
                  <c:v>0.5352425025714026</c:v>
                </c:pt>
                <c:pt idx="7">
                  <c:v>0.57796030185845826</c:v>
                </c:pt>
                <c:pt idx="8">
                  <c:v>0.65176852182642442</c:v>
                </c:pt>
                <c:pt idx="9">
                  <c:v>0.69661650630613436</c:v>
                </c:pt>
                <c:pt idx="10">
                  <c:v>0.85332927845737028</c:v>
                </c:pt>
                <c:pt idx="11">
                  <c:v>1</c:v>
                </c:pt>
              </c:numCache>
            </c:numRef>
          </c:xVal>
          <c:yVal>
            <c:numRef>
              <c:f>Gini_2018!$G$49:$G$60</c:f>
              <c:numCache>
                <c:formatCode>0.00</c:formatCode>
                <c:ptCount val="12"/>
                <c:pt idx="0">
                  <c:v>0</c:v>
                </c:pt>
                <c:pt idx="1">
                  <c:v>0</c:v>
                </c:pt>
                <c:pt idx="2">
                  <c:v>0</c:v>
                </c:pt>
                <c:pt idx="3">
                  <c:v>0</c:v>
                </c:pt>
                <c:pt idx="4">
                  <c:v>5.4290577913134646E-3</c:v>
                </c:pt>
                <c:pt idx="5">
                  <c:v>1.3271339033212672E-2</c:v>
                </c:pt>
                <c:pt idx="6">
                  <c:v>4.2635773025661156E-2</c:v>
                </c:pt>
                <c:pt idx="7">
                  <c:v>7.6185424270137081E-2</c:v>
                </c:pt>
                <c:pt idx="8">
                  <c:v>0.18981189410229665</c:v>
                </c:pt>
                <c:pt idx="9">
                  <c:v>0.43188628237804488</c:v>
                </c:pt>
                <c:pt idx="10">
                  <c:v>0.6826176704974718</c:v>
                </c:pt>
                <c:pt idx="11">
                  <c:v>1</c:v>
                </c:pt>
              </c:numCache>
            </c:numRef>
          </c:yVal>
          <c:smooth val="0"/>
          <c:extLst>
            <c:ext xmlns:c16="http://schemas.microsoft.com/office/drawing/2014/chart" uri="{C3380CC4-5D6E-409C-BE32-E72D297353CC}">
              <c16:uniqueId val="{00000004-DFC7-4229-89CC-F1902113F22A}"/>
            </c:ext>
          </c:extLst>
        </c:ser>
        <c:ser>
          <c:idx val="4"/>
          <c:order val="4"/>
          <c:tx>
            <c:v>Total AW</c:v>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Gini_2018!$H$70:$H$81</c:f>
              <c:numCache>
                <c:formatCode>0.00</c:formatCode>
                <c:ptCount val="12"/>
                <c:pt idx="0">
                  <c:v>0</c:v>
                </c:pt>
                <c:pt idx="1">
                  <c:v>1.4487850841712153E-2</c:v>
                </c:pt>
                <c:pt idx="2">
                  <c:v>1.931093352199631E-2</c:v>
                </c:pt>
                <c:pt idx="3">
                  <c:v>4.2376133576973701E-2</c:v>
                </c:pt>
                <c:pt idx="4">
                  <c:v>8.5093932864029373E-2</c:v>
                </c:pt>
                <c:pt idx="5">
                  <c:v>0.12586523300618602</c:v>
                </c:pt>
                <c:pt idx="6">
                  <c:v>0.19967345297415212</c:v>
                </c:pt>
                <c:pt idx="7">
                  <c:v>0.33793392899982422</c:v>
                </c:pt>
                <c:pt idx="8">
                  <c:v>0.65176852182642442</c:v>
                </c:pt>
                <c:pt idx="9">
                  <c:v>0.69661650630613436</c:v>
                </c:pt>
                <c:pt idx="10">
                  <c:v>0.8432872278487642</c:v>
                </c:pt>
                <c:pt idx="11">
                  <c:v>1</c:v>
                </c:pt>
              </c:numCache>
            </c:numRef>
          </c:xVal>
          <c:yVal>
            <c:numRef>
              <c:f>Gini_2018!$G$70:$G$81</c:f>
              <c:numCache>
                <c:formatCode>0.00</c:formatCode>
                <c:ptCount val="12"/>
                <c:pt idx="0">
                  <c:v>0</c:v>
                </c:pt>
                <c:pt idx="1">
                  <c:v>3.4593541506786328E-3</c:v>
                </c:pt>
                <c:pt idx="2">
                  <c:v>8.4563958488458896E-3</c:v>
                </c:pt>
                <c:pt idx="3">
                  <c:v>2.716718886649204E-2</c:v>
                </c:pt>
                <c:pt idx="4">
                  <c:v>5.8484705667197864E-2</c:v>
                </c:pt>
                <c:pt idx="5">
                  <c:v>0.11995535831641736</c:v>
                </c:pt>
                <c:pt idx="6">
                  <c:v>0.19235727687211288</c:v>
                </c:pt>
                <c:pt idx="7">
                  <c:v>0.2807703857888626</c:v>
                </c:pt>
                <c:pt idx="8">
                  <c:v>0.42856152939230518</c:v>
                </c:pt>
                <c:pt idx="9">
                  <c:v>0.58280948033410229</c:v>
                </c:pt>
                <c:pt idx="10">
                  <c:v>0.78504307612918367</c:v>
                </c:pt>
                <c:pt idx="11">
                  <c:v>1</c:v>
                </c:pt>
              </c:numCache>
            </c:numRef>
          </c:yVal>
          <c:smooth val="0"/>
          <c:extLst>
            <c:ext xmlns:c16="http://schemas.microsoft.com/office/drawing/2014/chart" uri="{C3380CC4-5D6E-409C-BE32-E72D297353CC}">
              <c16:uniqueId val="{00000005-DFC7-4229-89CC-F1902113F22A}"/>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variables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 based on cropland area in each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650902999652733"/>
          <c:y val="0.18478675798830643"/>
          <c:w val="0.64746825356505833"/>
          <c:h val="0.67073597635553017"/>
        </c:manualLayout>
      </c:layout>
      <c:scatterChart>
        <c:scatterStyle val="smoothMarker"/>
        <c:varyColors val="0"/>
        <c:ser>
          <c:idx val="1"/>
          <c:order val="1"/>
          <c:tx>
            <c:v>Equality Line</c:v>
          </c:tx>
          <c:spPr>
            <a:ln w="19050" cap="rnd">
              <a:solidFill>
                <a:schemeClr val="accent2"/>
              </a:solidFill>
              <a:round/>
            </a:ln>
            <a:effectLst/>
          </c:spPr>
          <c:marker>
            <c:symbol val="none"/>
          </c:marker>
          <c:xVal>
            <c:numRef>
              <c:f>Gini_2018!$H$94:$H$105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xVal>
          <c:yVal>
            <c:numRef>
              <c:f>Gini_2018!$H$94:$H$105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yVal>
          <c:smooth val="1"/>
          <c:extLst>
            <c:ext xmlns:c16="http://schemas.microsoft.com/office/drawing/2014/chart" uri="{C3380CC4-5D6E-409C-BE32-E72D297353CC}">
              <c16:uniqueId val="{00000000-ECA2-45FE-9AC8-AD00BEEE7274}"/>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Precipitation</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ECA2-45FE-9AC8-AD00BEEE7274}"/>
              </c:ext>
            </c:extLst>
          </c:dPt>
          <c:xVal>
            <c:numRef>
              <c:f>Gini_2018!$H$94:$H$105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xVal>
          <c:yVal>
            <c:numRef>
              <c:f>Gini_2018!$G$94:$G$105</c:f>
              <c:numCache>
                <c:formatCode>0.00</c:formatCode>
                <c:ptCount val="12"/>
                <c:pt idx="0">
                  <c:v>0</c:v>
                </c:pt>
                <c:pt idx="1">
                  <c:v>2.0572122059260146E-3</c:v>
                </c:pt>
                <c:pt idx="2">
                  <c:v>8.6289624421381217E-3</c:v>
                </c:pt>
                <c:pt idx="3">
                  <c:v>1.7701695815085312E-2</c:v>
                </c:pt>
                <c:pt idx="4">
                  <c:v>3.0178732413705139E-2</c:v>
                </c:pt>
                <c:pt idx="5">
                  <c:v>4.2893132745155806E-2</c:v>
                </c:pt>
                <c:pt idx="6">
                  <c:v>8.1100344412985081E-2</c:v>
                </c:pt>
                <c:pt idx="7">
                  <c:v>0.15563756621705813</c:v>
                </c:pt>
                <c:pt idx="8">
                  <c:v>0.30720643346615872</c:v>
                </c:pt>
                <c:pt idx="9">
                  <c:v>0.49808736370607998</c:v>
                </c:pt>
                <c:pt idx="10">
                  <c:v>0.70348588928344968</c:v>
                </c:pt>
                <c:pt idx="11">
                  <c:v>0.99999999999999978</c:v>
                </c:pt>
              </c:numCache>
            </c:numRef>
          </c:yVal>
          <c:smooth val="0"/>
          <c:extLst>
            <c:ext xmlns:c16="http://schemas.microsoft.com/office/drawing/2014/chart" uri="{C3380CC4-5D6E-409C-BE32-E72D297353CC}">
              <c16:uniqueId val="{00000002-ECA2-45FE-9AC8-AD00BEEE7274}"/>
            </c:ext>
          </c:extLst>
        </c:ser>
        <c:ser>
          <c:idx val="2"/>
          <c:order val="2"/>
          <c:tx>
            <c:v>ETa</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Gini_2018!$H$115:$H$126</c:f>
              <c:numCache>
                <c:formatCode>0.00</c:formatCode>
                <c:ptCount val="12"/>
                <c:pt idx="0">
                  <c:v>0</c:v>
                </c:pt>
                <c:pt idx="1">
                  <c:v>8.6508040877704764E-3</c:v>
                </c:pt>
                <c:pt idx="2">
                  <c:v>2.233691110888162E-2</c:v>
                </c:pt>
                <c:pt idx="3">
                  <c:v>4.5534073596056365E-2</c:v>
                </c:pt>
                <c:pt idx="4">
                  <c:v>5.3837159897602418E-2</c:v>
                </c:pt>
                <c:pt idx="5">
                  <c:v>0.11688690634392547</c:v>
                </c:pt>
                <c:pt idx="6">
                  <c:v>0.17846731707242672</c:v>
                </c:pt>
                <c:pt idx="7">
                  <c:v>0.25736713399590871</c:v>
                </c:pt>
                <c:pt idx="8">
                  <c:v>0.38405950424456814</c:v>
                </c:pt>
                <c:pt idx="9">
                  <c:v>0.65743534284662219</c:v>
                </c:pt>
                <c:pt idx="10">
                  <c:v>0.98464491670321019</c:v>
                </c:pt>
                <c:pt idx="11">
                  <c:v>1.0000000000000002</c:v>
                </c:pt>
              </c:numCache>
            </c:numRef>
          </c:xVal>
          <c:yVal>
            <c:numRef>
              <c:f>Gini_2018!$G$115:$G$126</c:f>
              <c:numCache>
                <c:formatCode>0.00</c:formatCode>
                <c:ptCount val="12"/>
                <c:pt idx="0">
                  <c:v>0</c:v>
                </c:pt>
                <c:pt idx="1">
                  <c:v>5.6387986055587242E-3</c:v>
                </c:pt>
                <c:pt idx="2">
                  <c:v>1.1360188457287819E-2</c:v>
                </c:pt>
                <c:pt idx="3">
                  <c:v>2.024176629132083E-2</c:v>
                </c:pt>
                <c:pt idx="4">
                  <c:v>3.2012888050712042E-2</c:v>
                </c:pt>
                <c:pt idx="5">
                  <c:v>5.7762823909743397E-2</c:v>
                </c:pt>
                <c:pt idx="6">
                  <c:v>8.8550981159494335E-2</c:v>
                </c:pt>
                <c:pt idx="7">
                  <c:v>0.1404898543639673</c:v>
                </c:pt>
                <c:pt idx="8">
                  <c:v>0.26486530011936027</c:v>
                </c:pt>
                <c:pt idx="9">
                  <c:v>0.43265145785843007</c:v>
                </c:pt>
                <c:pt idx="10">
                  <c:v>0.64822411816596082</c:v>
                </c:pt>
                <c:pt idx="11">
                  <c:v>1</c:v>
                </c:pt>
              </c:numCache>
            </c:numRef>
          </c:yVal>
          <c:smooth val="0"/>
          <c:extLst>
            <c:ext xmlns:c16="http://schemas.microsoft.com/office/drawing/2014/chart" uri="{C3380CC4-5D6E-409C-BE32-E72D297353CC}">
              <c16:uniqueId val="{00000003-ECA2-45FE-9AC8-AD00BEEE7274}"/>
            </c:ext>
          </c:extLst>
        </c:ser>
        <c:ser>
          <c:idx val="3"/>
          <c:order val="3"/>
          <c:tx>
            <c:v>Internal AW</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Gini_2018!$H$136:$H$147</c:f>
              <c:numCache>
                <c:formatCode>0.00</c:formatCode>
                <c:ptCount val="12"/>
                <c:pt idx="0">
                  <c:v>0</c:v>
                </c:pt>
                <c:pt idx="1">
                  <c:v>6.1580410728501248E-2</c:v>
                </c:pt>
                <c:pt idx="2">
                  <c:v>0.38878998458508923</c:v>
                </c:pt>
                <c:pt idx="3">
                  <c:v>0.40414506788187921</c:v>
                </c:pt>
                <c:pt idx="4">
                  <c:v>0.41244815418342529</c:v>
                </c:pt>
                <c:pt idx="5">
                  <c:v>0.42109895827119576</c:v>
                </c:pt>
                <c:pt idx="6">
                  <c:v>0.43478506529230687</c:v>
                </c:pt>
                <c:pt idx="7">
                  <c:v>0.45798222777948161</c:v>
                </c:pt>
                <c:pt idx="8">
                  <c:v>0.52103197422580472</c:v>
                </c:pt>
                <c:pt idx="9">
                  <c:v>0.59993179114928674</c:v>
                </c:pt>
                <c:pt idx="10">
                  <c:v>0.72662416139794617</c:v>
                </c:pt>
                <c:pt idx="11">
                  <c:v>1.0000000000000002</c:v>
                </c:pt>
              </c:numCache>
            </c:numRef>
          </c:xVal>
          <c:yVal>
            <c:numRef>
              <c:f>Gini_2018!$G$136:$G$147</c:f>
              <c:numCache>
                <c:formatCode>0.00</c:formatCode>
                <c:ptCount val="12"/>
                <c:pt idx="0">
                  <c:v>0</c:v>
                </c:pt>
                <c:pt idx="1">
                  <c:v>0</c:v>
                </c:pt>
                <c:pt idx="2">
                  <c:v>0</c:v>
                </c:pt>
                <c:pt idx="3">
                  <c:v>0</c:v>
                </c:pt>
                <c:pt idx="4">
                  <c:v>5.4290577913134646E-3</c:v>
                </c:pt>
                <c:pt idx="5">
                  <c:v>1.3271339033212672E-2</c:v>
                </c:pt>
                <c:pt idx="6">
                  <c:v>4.2635773025661156E-2</c:v>
                </c:pt>
                <c:pt idx="7">
                  <c:v>7.6185424270137081E-2</c:v>
                </c:pt>
                <c:pt idx="8">
                  <c:v>0.18981189410229665</c:v>
                </c:pt>
                <c:pt idx="9">
                  <c:v>0.43188628237804488</c:v>
                </c:pt>
                <c:pt idx="10">
                  <c:v>0.6826176704974718</c:v>
                </c:pt>
                <c:pt idx="11">
                  <c:v>1</c:v>
                </c:pt>
              </c:numCache>
            </c:numRef>
          </c:yVal>
          <c:smooth val="0"/>
          <c:extLst>
            <c:ext xmlns:c16="http://schemas.microsoft.com/office/drawing/2014/chart" uri="{C3380CC4-5D6E-409C-BE32-E72D297353CC}">
              <c16:uniqueId val="{00000004-ECA2-45FE-9AC8-AD00BEEE7274}"/>
            </c:ext>
          </c:extLst>
        </c:ser>
        <c:ser>
          <c:idx val="4"/>
          <c:order val="4"/>
          <c:tx>
            <c:v>Total AW</c:v>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Gini_2018!$H$157:$H$168</c:f>
              <c:numCache>
                <c:formatCode>0.00</c:formatCode>
                <c:ptCount val="12"/>
                <c:pt idx="0">
                  <c:v>0</c:v>
                </c:pt>
                <c:pt idx="1">
                  <c:v>8.3030863015460549E-3</c:v>
                </c:pt>
                <c:pt idx="2">
                  <c:v>1.695389038931653E-2</c:v>
                </c:pt>
                <c:pt idx="3">
                  <c:v>3.0639997410427673E-2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xVal>
          <c:yVal>
            <c:numRef>
              <c:f>Gini_2018!$G$157:$G$168</c:f>
              <c:numCache>
                <c:formatCode>0.00</c:formatCode>
                <c:ptCount val="12"/>
                <c:pt idx="0">
                  <c:v>0</c:v>
                </c:pt>
                <c:pt idx="1">
                  <c:v>3.4593541506786328E-3</c:v>
                </c:pt>
                <c:pt idx="2">
                  <c:v>8.4563958488458896E-3</c:v>
                </c:pt>
                <c:pt idx="3">
                  <c:v>2.716718886649204E-2</c:v>
                </c:pt>
                <c:pt idx="4">
                  <c:v>5.8484705667197864E-2</c:v>
                </c:pt>
                <c:pt idx="5">
                  <c:v>0.11995535831641736</c:v>
                </c:pt>
                <c:pt idx="6">
                  <c:v>0.19235727687211288</c:v>
                </c:pt>
                <c:pt idx="7">
                  <c:v>0.2807703857888626</c:v>
                </c:pt>
                <c:pt idx="8">
                  <c:v>0.42856152939230518</c:v>
                </c:pt>
                <c:pt idx="9">
                  <c:v>0.58280948033410229</c:v>
                </c:pt>
                <c:pt idx="10">
                  <c:v>0.78504307612918367</c:v>
                </c:pt>
                <c:pt idx="11">
                  <c:v>1</c:v>
                </c:pt>
              </c:numCache>
            </c:numRef>
          </c:yVal>
          <c:smooth val="0"/>
          <c:extLst>
            <c:ext xmlns:c16="http://schemas.microsoft.com/office/drawing/2014/chart" uri="{C3380CC4-5D6E-409C-BE32-E72D297353CC}">
              <c16:uniqueId val="{00000005-ECA2-45FE-9AC8-AD00BEEE7274}"/>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variables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 based on area of each country in the basin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457098300252266"/>
          <c:y val="0.16423456145227788"/>
          <c:w val="0.69762923864608828"/>
          <c:h val="0.66127160527769036"/>
        </c:manualLayout>
      </c:layout>
      <c:scatterChart>
        <c:scatterStyle val="smoothMarker"/>
        <c:varyColors val="0"/>
        <c:ser>
          <c:idx val="1"/>
          <c:order val="1"/>
          <c:tx>
            <c:v>Equality Line</c:v>
          </c:tx>
          <c:spPr>
            <a:ln w="19050" cap="rnd">
              <a:solidFill>
                <a:schemeClr val="accent2"/>
              </a:solidFill>
              <a:round/>
            </a:ln>
            <a:effectLst/>
          </c:spPr>
          <c:marker>
            <c:symbol val="none"/>
          </c:marker>
          <c:xVal>
            <c:numRef>
              <c:f>Gini_2018!$H$94:$H$105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xVal>
          <c:yVal>
            <c:numRef>
              <c:f>Gini_2018!$H$94:$H$105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yVal>
          <c:smooth val="1"/>
          <c:extLst>
            <c:ext xmlns:c16="http://schemas.microsoft.com/office/drawing/2014/chart" uri="{C3380CC4-5D6E-409C-BE32-E72D297353CC}">
              <c16:uniqueId val="{00000000-CE44-4A3B-84FA-B55569E67DF1}"/>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Precipitation</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CE44-4A3B-84FA-B55569E67DF1}"/>
              </c:ext>
            </c:extLst>
          </c:dPt>
          <c:xVal>
            <c:numRef>
              <c:f>Gini_2018!$H$178:$H$189</c:f>
              <c:numCache>
                <c:formatCode>0.00</c:formatCode>
                <c:ptCount val="12"/>
                <c:pt idx="0">
                  <c:v>0</c:v>
                </c:pt>
                <c:pt idx="1">
                  <c:v>8.2249727275718124E-2</c:v>
                </c:pt>
                <c:pt idx="2">
                  <c:v>9.0263247322775519E-2</c:v>
                </c:pt>
                <c:pt idx="3">
                  <c:v>9.4581027823807909E-2</c:v>
                </c:pt>
                <c:pt idx="4">
                  <c:v>0.10127079145171206</c:v>
                </c:pt>
                <c:pt idx="5">
                  <c:v>0.10808687676914244</c:v>
                </c:pt>
                <c:pt idx="6">
                  <c:v>0.12427174144854033</c:v>
                </c:pt>
                <c:pt idx="7">
                  <c:v>0.16345651867644251</c:v>
                </c:pt>
                <c:pt idx="8">
                  <c:v>0.24099269172425059</c:v>
                </c:pt>
                <c:pt idx="9">
                  <c:v>0.67926609315684749</c:v>
                </c:pt>
                <c:pt idx="10">
                  <c:v>0.79811612788873898</c:v>
                </c:pt>
                <c:pt idx="11">
                  <c:v>1</c:v>
                </c:pt>
              </c:numCache>
            </c:numRef>
          </c:xVal>
          <c:yVal>
            <c:numRef>
              <c:f>Gini_2018!$G$178:$G$189</c:f>
              <c:numCache>
                <c:formatCode>0.00</c:formatCode>
                <c:ptCount val="12"/>
                <c:pt idx="0">
                  <c:v>0</c:v>
                </c:pt>
                <c:pt idx="1">
                  <c:v>2.0574426410451801E-3</c:v>
                </c:pt>
                <c:pt idx="2">
                  <c:v>8.6299290006598382E-3</c:v>
                </c:pt>
                <c:pt idx="3">
                  <c:v>1.7703678640373258E-2</c:v>
                </c:pt>
                <c:pt idx="4">
                  <c:v>3.0070099537271747E-2</c:v>
                </c:pt>
                <c:pt idx="5">
                  <c:v>4.2785924050606536E-2</c:v>
                </c:pt>
                <c:pt idx="6">
                  <c:v>8.0997415434134676E-2</c:v>
                </c:pt>
                <c:pt idx="7">
                  <c:v>0.15554298639807518</c:v>
                </c:pt>
                <c:pt idx="8">
                  <c:v>0.3071288313755236</c:v>
                </c:pt>
                <c:pt idx="9">
                  <c:v>0.49803114281752947</c:v>
                </c:pt>
                <c:pt idx="10">
                  <c:v>0.70345267576068349</c:v>
                </c:pt>
                <c:pt idx="11">
                  <c:v>1</c:v>
                </c:pt>
              </c:numCache>
            </c:numRef>
          </c:yVal>
          <c:smooth val="0"/>
          <c:extLst>
            <c:ext xmlns:c16="http://schemas.microsoft.com/office/drawing/2014/chart" uri="{C3380CC4-5D6E-409C-BE32-E72D297353CC}">
              <c16:uniqueId val="{00000002-CE44-4A3B-84FA-B55569E67DF1}"/>
            </c:ext>
          </c:extLst>
        </c:ser>
        <c:ser>
          <c:idx val="2"/>
          <c:order val="2"/>
          <c:tx>
            <c:v>ETa</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Gini_2018!$H$199:$H$210</c:f>
              <c:numCache>
                <c:formatCode>0.00</c:formatCode>
                <c:ptCount val="12"/>
                <c:pt idx="0">
                  <c:v>0</c:v>
                </c:pt>
                <c:pt idx="1">
                  <c:v>8.0135200470573958E-3</c:v>
                </c:pt>
                <c:pt idx="2">
                  <c:v>1.2331300548089792E-2</c:v>
                </c:pt>
                <c:pt idx="3">
                  <c:v>1.9147385865520176E-2</c:v>
                </c:pt>
                <c:pt idx="4">
                  <c:v>2.5837149493424316E-2</c:v>
                </c:pt>
                <c:pt idx="5">
                  <c:v>4.2022014172822211E-2</c:v>
                </c:pt>
                <c:pt idx="6">
                  <c:v>0.12427174144854033</c:v>
                </c:pt>
                <c:pt idx="7">
                  <c:v>0.16345651867644251</c:v>
                </c:pt>
                <c:pt idx="8">
                  <c:v>0.24099269172425059</c:v>
                </c:pt>
                <c:pt idx="9">
                  <c:v>0.35984272645614207</c:v>
                </c:pt>
                <c:pt idx="10">
                  <c:v>0.79811612788873898</c:v>
                </c:pt>
                <c:pt idx="11">
                  <c:v>1</c:v>
                </c:pt>
              </c:numCache>
            </c:numRef>
          </c:xVal>
          <c:yVal>
            <c:numRef>
              <c:f>Gini_2018!$G$199:$G$210</c:f>
              <c:numCache>
                <c:formatCode>0.00</c:formatCode>
                <c:ptCount val="12"/>
                <c:pt idx="0">
                  <c:v>0</c:v>
                </c:pt>
                <c:pt idx="1">
                  <c:v>5.6387986055587242E-3</c:v>
                </c:pt>
                <c:pt idx="2">
                  <c:v>1.1360188457287819E-2</c:v>
                </c:pt>
                <c:pt idx="3">
                  <c:v>2.024176629132083E-2</c:v>
                </c:pt>
                <c:pt idx="4">
                  <c:v>3.2012888050712042E-2</c:v>
                </c:pt>
                <c:pt idx="5">
                  <c:v>5.7762823909743397E-2</c:v>
                </c:pt>
                <c:pt idx="6">
                  <c:v>8.8550981159494335E-2</c:v>
                </c:pt>
                <c:pt idx="7">
                  <c:v>0.1404898543639673</c:v>
                </c:pt>
                <c:pt idx="8">
                  <c:v>0.26486530011936027</c:v>
                </c:pt>
                <c:pt idx="9">
                  <c:v>0.43265145785843007</c:v>
                </c:pt>
                <c:pt idx="10">
                  <c:v>0.64822411816596082</c:v>
                </c:pt>
                <c:pt idx="11">
                  <c:v>1</c:v>
                </c:pt>
              </c:numCache>
            </c:numRef>
          </c:yVal>
          <c:smooth val="0"/>
          <c:extLst>
            <c:ext xmlns:c16="http://schemas.microsoft.com/office/drawing/2014/chart" uri="{C3380CC4-5D6E-409C-BE32-E72D297353CC}">
              <c16:uniqueId val="{00000003-CE44-4A3B-84FA-B55569E67DF1}"/>
            </c:ext>
          </c:extLst>
        </c:ser>
        <c:ser>
          <c:idx val="3"/>
          <c:order val="3"/>
          <c:tx>
            <c:v>Internal AW</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Gini_2018!$H$220:$H$231</c:f>
              <c:numCache>
                <c:formatCode>0.00</c:formatCode>
                <c:ptCount val="12"/>
                <c:pt idx="0">
                  <c:v>0</c:v>
                </c:pt>
                <c:pt idx="1">
                  <c:v>8.2249727275718124E-2</c:v>
                </c:pt>
                <c:pt idx="2">
                  <c:v>0.52052312870831507</c:v>
                </c:pt>
                <c:pt idx="3">
                  <c:v>0.7224070008195761</c:v>
                </c:pt>
                <c:pt idx="4">
                  <c:v>0.72909676444748028</c:v>
                </c:pt>
                <c:pt idx="5">
                  <c:v>0.73711028449453764</c:v>
                </c:pt>
                <c:pt idx="6">
                  <c:v>0.74142806499557001</c:v>
                </c:pt>
                <c:pt idx="7">
                  <c:v>0.7482441503130004</c:v>
                </c:pt>
                <c:pt idx="8">
                  <c:v>0.76442901499239835</c:v>
                </c:pt>
                <c:pt idx="9">
                  <c:v>0.80361379222030049</c:v>
                </c:pt>
                <c:pt idx="10">
                  <c:v>0.88114996526810863</c:v>
                </c:pt>
                <c:pt idx="11">
                  <c:v>1.0000000000000002</c:v>
                </c:pt>
              </c:numCache>
            </c:numRef>
          </c:xVal>
          <c:yVal>
            <c:numRef>
              <c:f>Gini_2018!$G$220:$G$231</c:f>
              <c:numCache>
                <c:formatCode>0.00</c:formatCode>
                <c:ptCount val="12"/>
                <c:pt idx="0">
                  <c:v>0</c:v>
                </c:pt>
                <c:pt idx="1">
                  <c:v>0</c:v>
                </c:pt>
                <c:pt idx="2">
                  <c:v>0</c:v>
                </c:pt>
                <c:pt idx="3">
                  <c:v>0</c:v>
                </c:pt>
                <c:pt idx="4">
                  <c:v>5.4290577913134646E-3</c:v>
                </c:pt>
                <c:pt idx="5">
                  <c:v>1.3271339033212672E-2</c:v>
                </c:pt>
                <c:pt idx="6">
                  <c:v>4.2635773025661156E-2</c:v>
                </c:pt>
                <c:pt idx="7">
                  <c:v>7.6185424270137081E-2</c:v>
                </c:pt>
                <c:pt idx="8">
                  <c:v>0.18981189410229665</c:v>
                </c:pt>
                <c:pt idx="9">
                  <c:v>0.43188628237804488</c:v>
                </c:pt>
                <c:pt idx="10">
                  <c:v>0.6826176704974718</c:v>
                </c:pt>
                <c:pt idx="11">
                  <c:v>1</c:v>
                </c:pt>
              </c:numCache>
            </c:numRef>
          </c:yVal>
          <c:smooth val="0"/>
          <c:extLst>
            <c:ext xmlns:c16="http://schemas.microsoft.com/office/drawing/2014/chart" uri="{C3380CC4-5D6E-409C-BE32-E72D297353CC}">
              <c16:uniqueId val="{00000004-CE44-4A3B-84FA-B55569E67DF1}"/>
            </c:ext>
          </c:extLst>
        </c:ser>
        <c:ser>
          <c:idx val="4"/>
          <c:order val="4"/>
          <c:tx>
            <c:v>Total AW</c:v>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Gini_2018!$H$241:$H$252</c:f>
              <c:numCache>
                <c:formatCode>0.00</c:formatCode>
                <c:ptCount val="12"/>
                <c:pt idx="0">
                  <c:v>0</c:v>
                </c:pt>
                <c:pt idx="1">
                  <c:v>6.6897636279041406E-3</c:v>
                </c:pt>
                <c:pt idx="2">
                  <c:v>1.4703283674961536E-2</c:v>
                </c:pt>
                <c:pt idx="3">
                  <c:v>1.9021064175993932E-2</c:v>
                </c:pt>
                <c:pt idx="4">
                  <c:v>2.5837149493424316E-2</c:v>
                </c:pt>
                <c:pt idx="5">
                  <c:v>0.22772102160468533</c:v>
                </c:pt>
                <c:pt idx="6">
                  <c:v>0.24390588628408322</c:v>
                </c:pt>
                <c:pt idx="7">
                  <c:v>0.68217928771668013</c:v>
                </c:pt>
                <c:pt idx="8">
                  <c:v>0.76442901499239824</c:v>
                </c:pt>
                <c:pt idx="9">
                  <c:v>0.80361379222030038</c:v>
                </c:pt>
                <c:pt idx="10">
                  <c:v>0.92246382695219187</c:v>
                </c:pt>
                <c:pt idx="11">
                  <c:v>1</c:v>
                </c:pt>
              </c:numCache>
            </c:numRef>
          </c:xVal>
          <c:yVal>
            <c:numRef>
              <c:f>Gini_2018!$G$241:$G$252</c:f>
              <c:numCache>
                <c:formatCode>0.00</c:formatCode>
                <c:ptCount val="12"/>
                <c:pt idx="0">
                  <c:v>0</c:v>
                </c:pt>
                <c:pt idx="1">
                  <c:v>3.4593541506786328E-3</c:v>
                </c:pt>
                <c:pt idx="2">
                  <c:v>8.4563958488458896E-3</c:v>
                </c:pt>
                <c:pt idx="3">
                  <c:v>2.716718886649204E-2</c:v>
                </c:pt>
                <c:pt idx="4">
                  <c:v>5.8484705667197864E-2</c:v>
                </c:pt>
                <c:pt idx="5">
                  <c:v>0.11995535831641736</c:v>
                </c:pt>
                <c:pt idx="6">
                  <c:v>0.19235727687211288</c:v>
                </c:pt>
                <c:pt idx="7">
                  <c:v>0.2807703857888626</c:v>
                </c:pt>
                <c:pt idx="8">
                  <c:v>0.42856152939230518</c:v>
                </c:pt>
                <c:pt idx="9">
                  <c:v>0.58280948033410229</c:v>
                </c:pt>
                <c:pt idx="10">
                  <c:v>0.78504307612918367</c:v>
                </c:pt>
                <c:pt idx="11">
                  <c:v>1</c:v>
                </c:pt>
              </c:numCache>
            </c:numRef>
          </c:yVal>
          <c:smooth val="0"/>
          <c:extLst>
            <c:ext xmlns:c16="http://schemas.microsoft.com/office/drawing/2014/chart" uri="{C3380CC4-5D6E-409C-BE32-E72D297353CC}">
              <c16:uniqueId val="{00000005-CE44-4A3B-84FA-B55569E67DF1}"/>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variables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layout>
        <c:manualLayout>
          <c:xMode val="edge"/>
          <c:yMode val="edge"/>
          <c:x val="0.81944879380053437"/>
          <c:y val="0.38221744320590534"/>
          <c:w val="0.18021896777407129"/>
          <c:h val="0.349143219407329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Population</c:v>
          </c:tx>
          <c:spPr>
            <a:ln w="19050" cap="rnd">
              <a:solidFill>
                <a:schemeClr val="accent1"/>
              </a:solidFill>
              <a:round/>
            </a:ln>
            <a:effectLst/>
          </c:spPr>
          <c:marker>
            <c:symbol val="none"/>
          </c:marker>
          <c:yVal>
            <c:numRef>
              <c:f>Gini_2018!$V$26:$Y$26</c:f>
              <c:numCache>
                <c:formatCode>0.00</c:formatCode>
                <c:ptCount val="4"/>
                <c:pt idx="0">
                  <c:v>0.54554858320698996</c:v>
                </c:pt>
                <c:pt idx="1">
                  <c:v>0.55218492816660647</c:v>
                </c:pt>
                <c:pt idx="2">
                  <c:v>0.5245034116831544</c:v>
                </c:pt>
                <c:pt idx="3">
                  <c:v>0.15133674183777068</c:v>
                </c:pt>
              </c:numCache>
            </c:numRef>
          </c:yVal>
          <c:smooth val="0"/>
          <c:extLst>
            <c:ext xmlns:c16="http://schemas.microsoft.com/office/drawing/2014/chart" uri="{C3380CC4-5D6E-409C-BE32-E72D297353CC}">
              <c16:uniqueId val="{00000000-AB8D-4721-89C8-E1DE70773FEC}"/>
            </c:ext>
          </c:extLst>
        </c:ser>
        <c:ser>
          <c:idx val="1"/>
          <c:order val="1"/>
          <c:tx>
            <c:v>Cropland area</c:v>
          </c:tx>
          <c:spPr>
            <a:ln w="19050" cap="rnd">
              <a:solidFill>
                <a:schemeClr val="accent2"/>
              </a:solidFill>
              <a:round/>
            </a:ln>
            <a:effectLst/>
          </c:spPr>
          <c:marker>
            <c:symbol val="none"/>
          </c:marker>
          <c:yVal>
            <c:numRef>
              <c:f>Gini_2018!$V$27:$Y$27</c:f>
              <c:numCache>
                <c:formatCode>0.00</c:formatCode>
                <c:ptCount val="4"/>
                <c:pt idx="0">
                  <c:v>0.29405465047680157</c:v>
                </c:pt>
                <c:pt idx="1">
                  <c:v>0.34478885002522397</c:v>
                </c:pt>
                <c:pt idx="2">
                  <c:v>0.32926258331093394</c:v>
                </c:pt>
                <c:pt idx="3">
                  <c:v>9.6583555165077994E-2</c:v>
                </c:pt>
              </c:numCache>
            </c:numRef>
          </c:yVal>
          <c:smooth val="0"/>
          <c:extLst>
            <c:ext xmlns:c16="http://schemas.microsoft.com/office/drawing/2014/chart" uri="{C3380CC4-5D6E-409C-BE32-E72D297353CC}">
              <c16:uniqueId val="{00000002-AB8D-4721-89C8-E1DE70773FEC}"/>
            </c:ext>
          </c:extLst>
        </c:ser>
        <c:ser>
          <c:idx val="2"/>
          <c:order val="2"/>
          <c:tx>
            <c:v>Country area</c:v>
          </c:tx>
          <c:spPr>
            <a:ln w="19050" cap="rnd">
              <a:solidFill>
                <a:schemeClr val="accent3"/>
              </a:solidFill>
              <a:round/>
            </a:ln>
            <a:effectLst/>
          </c:spPr>
          <c:marker>
            <c:symbol val="none"/>
          </c:marker>
          <c:yVal>
            <c:numRef>
              <c:f>Gini_2018!$V$28:$Y$28</c:f>
              <c:numCache>
                <c:formatCode>0.00</c:formatCode>
                <c:ptCount val="4"/>
                <c:pt idx="0">
                  <c:v>0.11209302356990047</c:v>
                </c:pt>
                <c:pt idx="1">
                  <c:v>5.6055789516695098E-2</c:v>
                </c:pt>
                <c:pt idx="2">
                  <c:v>0.68370275974215133</c:v>
                </c:pt>
                <c:pt idx="3">
                  <c:v>0.3517581294006481</c:v>
                </c:pt>
              </c:numCache>
            </c:numRef>
          </c:yVal>
          <c:smooth val="0"/>
          <c:extLst>
            <c:ext xmlns:c16="http://schemas.microsoft.com/office/drawing/2014/chart" uri="{C3380CC4-5D6E-409C-BE32-E72D297353CC}">
              <c16:uniqueId val="{00000003-AB8D-4721-89C8-E1DE70773FEC}"/>
            </c:ext>
          </c:extLst>
        </c:ser>
        <c:dLbls>
          <c:showLegendKey val="0"/>
          <c:showVal val="0"/>
          <c:showCatName val="0"/>
          <c:showSerName val="0"/>
          <c:showPercent val="0"/>
          <c:showBubbleSize val="0"/>
        </c:dLbls>
        <c:axId val="858995727"/>
        <c:axId val="984727407"/>
      </c:scatterChart>
      <c:valAx>
        <c:axId val="858995727"/>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727407"/>
        <c:crosses val="autoZero"/>
        <c:crossBetween val="midCat"/>
      </c:valAx>
      <c:valAx>
        <c:axId val="9847274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9957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xVal>
          <c:yVal>
            <c:numRef>
              <c:f>Gini_format!$H$94:$H$105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yVal>
          <c:smooth val="1"/>
          <c:extLst>
            <c:ext xmlns:c16="http://schemas.microsoft.com/office/drawing/2014/chart" uri="{C3380CC4-5D6E-409C-BE32-E72D297353CC}">
              <c16:uniqueId val="{00000000-7A8E-48CB-AF66-ED0C977A2FB4}"/>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7A8E-48CB-AF66-ED0C977A2FB4}"/>
              </c:ext>
            </c:extLst>
          </c:dPt>
          <c:xVal>
            <c:numRef>
              <c:f>Gini_format!$H$94:$H$105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xVal>
          <c:yVal>
            <c:numRef>
              <c:f>Gini_format!$G$94:$G$105</c:f>
              <c:numCache>
                <c:formatCode>0.00</c:formatCode>
                <c:ptCount val="12"/>
                <c:pt idx="0">
                  <c:v>0</c:v>
                </c:pt>
                <c:pt idx="1">
                  <c:v>7.4822354531115009E-3</c:v>
                </c:pt>
                <c:pt idx="2">
                  <c:v>1.8868572307361529E-2</c:v>
                </c:pt>
                <c:pt idx="3">
                  <c:v>2.0490978887534421E-2</c:v>
                </c:pt>
                <c:pt idx="4">
                  <c:v>2.740232119356666E-2</c:v>
                </c:pt>
                <c:pt idx="5">
                  <c:v>0.25973098001163397</c:v>
                </c:pt>
                <c:pt idx="6">
                  <c:v>0.29475787324783959</c:v>
                </c:pt>
                <c:pt idx="7">
                  <c:v>0.3049961108100403</c:v>
                </c:pt>
                <c:pt idx="8">
                  <c:v>0.49893945658838834</c:v>
                </c:pt>
                <c:pt idx="9">
                  <c:v>0.79696072237104254</c:v>
                </c:pt>
                <c:pt idx="10">
                  <c:v>0.8595345633602115</c:v>
                </c:pt>
                <c:pt idx="11">
                  <c:v>1</c:v>
                </c:pt>
              </c:numCache>
            </c:numRef>
          </c:yVal>
          <c:smooth val="0"/>
          <c:extLst>
            <c:ext xmlns:c16="http://schemas.microsoft.com/office/drawing/2014/chart" uri="{C3380CC4-5D6E-409C-BE32-E72D297353CC}">
              <c16:uniqueId val="{00000002-7A8E-48CB-AF66-ED0C977A2FB4}"/>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Precipitation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01861863580613"/>
          <c:y val="0.1566342980154827"/>
          <c:w val="0.54960252622417904"/>
          <c:h val="0.65904922055244786"/>
        </c:manualLayout>
      </c:layout>
      <c:scatterChart>
        <c:scatterStyle val="smoothMarker"/>
        <c:varyColors val="0"/>
        <c:ser>
          <c:idx val="1"/>
          <c:order val="1"/>
          <c:tx>
            <c:v>Equality Line</c:v>
          </c:tx>
          <c:spPr>
            <a:ln w="19050" cap="rnd">
              <a:solidFill>
                <a:schemeClr val="accent2"/>
              </a:solidFill>
              <a:round/>
            </a:ln>
            <a:effectLst/>
          </c:spPr>
          <c:marker>
            <c:symbol val="none"/>
          </c:marker>
          <c:xVal>
            <c:numRef>
              <c:f>Gini_format!$H$115:$H$126</c:f>
              <c:numCache>
                <c:formatCode>0.00</c:formatCode>
                <c:ptCount val="12"/>
                <c:pt idx="0">
                  <c:v>0</c:v>
                </c:pt>
                <c:pt idx="1">
                  <c:v>8.6508040877704764E-3</c:v>
                </c:pt>
                <c:pt idx="2">
                  <c:v>2.233691110888162E-2</c:v>
                </c:pt>
                <c:pt idx="3">
                  <c:v>4.5534073596056365E-2</c:v>
                </c:pt>
                <c:pt idx="4">
                  <c:v>5.3837159897602418E-2</c:v>
                </c:pt>
                <c:pt idx="5">
                  <c:v>0.11688690634392547</c:v>
                </c:pt>
                <c:pt idx="6">
                  <c:v>0.17846731707242672</c:v>
                </c:pt>
                <c:pt idx="7">
                  <c:v>0.25736713399590871</c:v>
                </c:pt>
                <c:pt idx="8">
                  <c:v>0.38405950424456814</c:v>
                </c:pt>
                <c:pt idx="9">
                  <c:v>0.65743534284662219</c:v>
                </c:pt>
                <c:pt idx="10">
                  <c:v>0.98464491670321019</c:v>
                </c:pt>
                <c:pt idx="11">
                  <c:v>1.0000000000000002</c:v>
                </c:pt>
              </c:numCache>
            </c:numRef>
          </c:xVal>
          <c:yVal>
            <c:numRef>
              <c:f>Gini_format!$H$115:$H$126</c:f>
              <c:numCache>
                <c:formatCode>0.00</c:formatCode>
                <c:ptCount val="12"/>
                <c:pt idx="0">
                  <c:v>0</c:v>
                </c:pt>
                <c:pt idx="1">
                  <c:v>8.6508040877704764E-3</c:v>
                </c:pt>
                <c:pt idx="2">
                  <c:v>2.233691110888162E-2</c:v>
                </c:pt>
                <c:pt idx="3">
                  <c:v>4.5534073596056365E-2</c:v>
                </c:pt>
                <c:pt idx="4">
                  <c:v>5.3837159897602418E-2</c:v>
                </c:pt>
                <c:pt idx="5">
                  <c:v>0.11688690634392547</c:v>
                </c:pt>
                <c:pt idx="6">
                  <c:v>0.17846731707242672</c:v>
                </c:pt>
                <c:pt idx="7">
                  <c:v>0.25736713399590871</c:v>
                </c:pt>
                <c:pt idx="8">
                  <c:v>0.38405950424456814</c:v>
                </c:pt>
                <c:pt idx="9">
                  <c:v>0.65743534284662219</c:v>
                </c:pt>
                <c:pt idx="10">
                  <c:v>0.98464491670321019</c:v>
                </c:pt>
                <c:pt idx="11">
                  <c:v>1.0000000000000002</c:v>
                </c:pt>
              </c:numCache>
            </c:numRef>
          </c:yVal>
          <c:smooth val="1"/>
          <c:extLst>
            <c:ext xmlns:c16="http://schemas.microsoft.com/office/drawing/2014/chart" uri="{C3380CC4-5D6E-409C-BE32-E72D297353CC}">
              <c16:uniqueId val="{00000000-1484-4AD9-A414-0FAD0EC5310F}"/>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1484-4AD9-A414-0FAD0EC5310F}"/>
              </c:ext>
            </c:extLst>
          </c:dPt>
          <c:xVal>
            <c:numRef>
              <c:f>Gini_format!$H$115:$H$126</c:f>
              <c:numCache>
                <c:formatCode>0.00</c:formatCode>
                <c:ptCount val="12"/>
                <c:pt idx="0">
                  <c:v>0</c:v>
                </c:pt>
                <c:pt idx="1">
                  <c:v>8.6508040877704764E-3</c:v>
                </c:pt>
                <c:pt idx="2">
                  <c:v>2.233691110888162E-2</c:v>
                </c:pt>
                <c:pt idx="3">
                  <c:v>4.5534073596056365E-2</c:v>
                </c:pt>
                <c:pt idx="4">
                  <c:v>5.3837159897602418E-2</c:v>
                </c:pt>
                <c:pt idx="5">
                  <c:v>0.11688690634392547</c:v>
                </c:pt>
                <c:pt idx="6">
                  <c:v>0.17846731707242672</c:v>
                </c:pt>
                <c:pt idx="7">
                  <c:v>0.25736713399590871</c:v>
                </c:pt>
                <c:pt idx="8">
                  <c:v>0.38405950424456814</c:v>
                </c:pt>
                <c:pt idx="9">
                  <c:v>0.65743534284662219</c:v>
                </c:pt>
                <c:pt idx="10">
                  <c:v>0.98464491670321019</c:v>
                </c:pt>
                <c:pt idx="11">
                  <c:v>1.0000000000000002</c:v>
                </c:pt>
              </c:numCache>
            </c:numRef>
          </c:xVal>
          <c:yVal>
            <c:numRef>
              <c:f>Gini_format!$G$115:$G$126</c:f>
              <c:numCache>
                <c:formatCode>0.00</c:formatCode>
                <c:ptCount val="12"/>
                <c:pt idx="0">
                  <c:v>0</c:v>
                </c:pt>
                <c:pt idx="1">
                  <c:v>6.4642065696603936E-3</c:v>
                </c:pt>
                <c:pt idx="2">
                  <c:v>1.8824555763140863E-2</c:v>
                </c:pt>
                <c:pt idx="3">
                  <c:v>4.8811890677872394E-2</c:v>
                </c:pt>
                <c:pt idx="4">
                  <c:v>5.4111799982835523E-2</c:v>
                </c:pt>
                <c:pt idx="5">
                  <c:v>0.22186773995796827</c:v>
                </c:pt>
                <c:pt idx="6">
                  <c:v>0.24941529497162282</c:v>
                </c:pt>
                <c:pt idx="7">
                  <c:v>0.25885180514567308</c:v>
                </c:pt>
                <c:pt idx="8">
                  <c:v>0.46597445576360913</c:v>
                </c:pt>
                <c:pt idx="9">
                  <c:v>0.81461445553693856</c:v>
                </c:pt>
                <c:pt idx="10">
                  <c:v>0.86860884557118179</c:v>
                </c:pt>
                <c:pt idx="11">
                  <c:v>1</c:v>
                </c:pt>
              </c:numCache>
            </c:numRef>
          </c:yVal>
          <c:smooth val="0"/>
          <c:extLst>
            <c:ext xmlns:c16="http://schemas.microsoft.com/office/drawing/2014/chart" uri="{C3380CC4-5D6E-409C-BE32-E72D297353CC}">
              <c16:uniqueId val="{00000002-1484-4AD9-A414-0FAD0EC5310F}"/>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ETa</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Gini_format!$H$136:$H$147</c:f>
              <c:numCache>
                <c:formatCode>0.00</c:formatCode>
                <c:ptCount val="12"/>
                <c:pt idx="0">
                  <c:v>0</c:v>
                </c:pt>
                <c:pt idx="1">
                  <c:v>6.1580410728501248E-2</c:v>
                </c:pt>
                <c:pt idx="2">
                  <c:v>0.38878998458508923</c:v>
                </c:pt>
                <c:pt idx="3">
                  <c:v>0.40414506788187921</c:v>
                </c:pt>
                <c:pt idx="4">
                  <c:v>0.41244815418342529</c:v>
                </c:pt>
                <c:pt idx="5">
                  <c:v>0.42109895827119576</c:v>
                </c:pt>
                <c:pt idx="6">
                  <c:v>0.43478506529230687</c:v>
                </c:pt>
                <c:pt idx="7">
                  <c:v>0.45798222777948161</c:v>
                </c:pt>
                <c:pt idx="8">
                  <c:v>0.52103197422580472</c:v>
                </c:pt>
                <c:pt idx="9">
                  <c:v>0.59993179114928674</c:v>
                </c:pt>
                <c:pt idx="10">
                  <c:v>0.72662416139794617</c:v>
                </c:pt>
                <c:pt idx="11">
                  <c:v>1.0000000000000002</c:v>
                </c:pt>
              </c:numCache>
            </c:numRef>
          </c:xVal>
          <c:yVal>
            <c:numRef>
              <c:f>Gini_format!$H$136:$H$147</c:f>
              <c:numCache>
                <c:formatCode>0.00</c:formatCode>
                <c:ptCount val="12"/>
                <c:pt idx="0">
                  <c:v>0</c:v>
                </c:pt>
                <c:pt idx="1">
                  <c:v>6.1580410728501248E-2</c:v>
                </c:pt>
                <c:pt idx="2">
                  <c:v>0.38878998458508923</c:v>
                </c:pt>
                <c:pt idx="3">
                  <c:v>0.40414506788187921</c:v>
                </c:pt>
                <c:pt idx="4">
                  <c:v>0.41244815418342529</c:v>
                </c:pt>
                <c:pt idx="5">
                  <c:v>0.42109895827119576</c:v>
                </c:pt>
                <c:pt idx="6">
                  <c:v>0.43478506529230687</c:v>
                </c:pt>
                <c:pt idx="7">
                  <c:v>0.45798222777948161</c:v>
                </c:pt>
                <c:pt idx="8">
                  <c:v>0.52103197422580472</c:v>
                </c:pt>
                <c:pt idx="9">
                  <c:v>0.59993179114928674</c:v>
                </c:pt>
                <c:pt idx="10">
                  <c:v>0.72662416139794617</c:v>
                </c:pt>
                <c:pt idx="11">
                  <c:v>1.0000000000000002</c:v>
                </c:pt>
              </c:numCache>
            </c:numRef>
          </c:yVal>
          <c:smooth val="1"/>
          <c:extLst>
            <c:ext xmlns:c16="http://schemas.microsoft.com/office/drawing/2014/chart" uri="{C3380CC4-5D6E-409C-BE32-E72D297353CC}">
              <c16:uniqueId val="{00000000-EBEF-45C7-B641-213CD74EB045}"/>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EBEF-45C7-B641-213CD74EB045}"/>
              </c:ext>
            </c:extLst>
          </c:dPt>
          <c:xVal>
            <c:numRef>
              <c:f>Gini_format!$H$136:$H$147</c:f>
              <c:numCache>
                <c:formatCode>0.00</c:formatCode>
                <c:ptCount val="12"/>
                <c:pt idx="0">
                  <c:v>0</c:v>
                </c:pt>
                <c:pt idx="1">
                  <c:v>6.1580410728501248E-2</c:v>
                </c:pt>
                <c:pt idx="2">
                  <c:v>0.38878998458508923</c:v>
                </c:pt>
                <c:pt idx="3">
                  <c:v>0.40414506788187921</c:v>
                </c:pt>
                <c:pt idx="4">
                  <c:v>0.41244815418342529</c:v>
                </c:pt>
                <c:pt idx="5">
                  <c:v>0.42109895827119576</c:v>
                </c:pt>
                <c:pt idx="6">
                  <c:v>0.43478506529230687</c:v>
                </c:pt>
                <c:pt idx="7">
                  <c:v>0.45798222777948161</c:v>
                </c:pt>
                <c:pt idx="8">
                  <c:v>0.52103197422580472</c:v>
                </c:pt>
                <c:pt idx="9">
                  <c:v>0.59993179114928674</c:v>
                </c:pt>
                <c:pt idx="10">
                  <c:v>0.72662416139794617</c:v>
                </c:pt>
                <c:pt idx="11">
                  <c:v>1.0000000000000002</c:v>
                </c:pt>
              </c:numCache>
            </c:numRef>
          </c:xVal>
          <c:yVal>
            <c:numRef>
              <c:f>Gini_format!$G$136:$G$147</c:f>
              <c:numCache>
                <c:formatCode>0.00</c:formatCode>
                <c:ptCount val="12"/>
                <c:pt idx="0">
                  <c:v>0</c:v>
                </c:pt>
                <c:pt idx="1">
                  <c:v>3.5466968162584246E-2</c:v>
                </c:pt>
                <c:pt idx="2">
                  <c:v>-2.3283916658713502E-3</c:v>
                </c:pt>
                <c:pt idx="3">
                  <c:v>-0.30327709541773212</c:v>
                </c:pt>
                <c:pt idx="4">
                  <c:v>-0.24470653494995714</c:v>
                </c:pt>
                <c:pt idx="5">
                  <c:v>2.0986868685884628</c:v>
                </c:pt>
                <c:pt idx="6">
                  <c:v>2.385769755652122</c:v>
                </c:pt>
                <c:pt idx="7">
                  <c:v>2.4132862282319718</c:v>
                </c:pt>
                <c:pt idx="8">
                  <c:v>2.1281011273083195</c:v>
                </c:pt>
                <c:pt idx="9">
                  <c:v>0.10426867813669372</c:v>
                </c:pt>
                <c:pt idx="10">
                  <c:v>0.60206051057051591</c:v>
                </c:pt>
                <c:pt idx="11">
                  <c:v>1</c:v>
                </c:pt>
              </c:numCache>
            </c:numRef>
          </c:yVal>
          <c:smooth val="0"/>
          <c:extLst>
            <c:ext xmlns:c16="http://schemas.microsoft.com/office/drawing/2014/chart" uri="{C3380CC4-5D6E-409C-BE32-E72D297353CC}">
              <c16:uniqueId val="{00000002-EBEF-45C7-B641-213CD74EB045}"/>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Gini_format!$H$157:$H$168</c:f>
              <c:numCache>
                <c:formatCode>0.00</c:formatCode>
                <c:ptCount val="12"/>
                <c:pt idx="0">
                  <c:v>0</c:v>
                </c:pt>
                <c:pt idx="1">
                  <c:v>8.3030863015460567E-3</c:v>
                </c:pt>
                <c:pt idx="2">
                  <c:v>1.6953890389316533E-2</c:v>
                </c:pt>
                <c:pt idx="3">
                  <c:v>3.0639997410427677E-2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xVal>
          <c:yVal>
            <c:numRef>
              <c:f>Gini_format!$H$157:$H$168</c:f>
              <c:numCache>
                <c:formatCode>0.00</c:formatCode>
                <c:ptCount val="12"/>
                <c:pt idx="0">
                  <c:v>0</c:v>
                </c:pt>
                <c:pt idx="1">
                  <c:v>8.3030863015460567E-3</c:v>
                </c:pt>
                <c:pt idx="2">
                  <c:v>1.6953890389316533E-2</c:v>
                </c:pt>
                <c:pt idx="3">
                  <c:v>3.0639997410427677E-2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yVal>
          <c:smooth val="1"/>
          <c:extLst>
            <c:ext xmlns:c16="http://schemas.microsoft.com/office/drawing/2014/chart" uri="{C3380CC4-5D6E-409C-BE32-E72D297353CC}">
              <c16:uniqueId val="{00000000-4E97-4634-807F-6AC3E92D1376}"/>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4E97-4634-807F-6AC3E92D1376}"/>
              </c:ext>
            </c:extLst>
          </c:dPt>
          <c:xVal>
            <c:numRef>
              <c:f>Gini_format!$H$157:$H$168</c:f>
              <c:numCache>
                <c:formatCode>0.00</c:formatCode>
                <c:ptCount val="12"/>
                <c:pt idx="0">
                  <c:v>0</c:v>
                </c:pt>
                <c:pt idx="1">
                  <c:v>8.3030863015460567E-3</c:v>
                </c:pt>
                <c:pt idx="2">
                  <c:v>1.6953890389316533E-2</c:v>
                </c:pt>
                <c:pt idx="3">
                  <c:v>3.0639997410427677E-2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xVal>
          <c:yVal>
            <c:numRef>
              <c:f>Gini_format!$G$157:$G$168</c:f>
              <c:numCache>
                <c:formatCode>0.00</c:formatCode>
                <c:ptCount val="12"/>
                <c:pt idx="0">
                  <c:v>0</c:v>
                </c:pt>
                <c:pt idx="1">
                  <c:v>1.0190307089459937E-2</c:v>
                </c:pt>
                <c:pt idx="2">
                  <c:v>-6.6898940983625005E-4</c:v>
                </c:pt>
                <c:pt idx="3">
                  <c:v>0.20317672101798984</c:v>
                </c:pt>
                <c:pt idx="4">
                  <c:v>0.22000511172881626</c:v>
                </c:pt>
                <c:pt idx="5">
                  <c:v>0.89330479452107769</c:v>
                </c:pt>
                <c:pt idx="6">
                  <c:v>0.97578894613778222</c:v>
                </c:pt>
                <c:pt idx="7">
                  <c:v>1.0032204582824014</c:v>
                </c:pt>
                <c:pt idx="8">
                  <c:v>1.0949560040862045</c:v>
                </c:pt>
                <c:pt idx="9">
                  <c:v>0.63422198695802501</c:v>
                </c:pt>
                <c:pt idx="10">
                  <c:v>0.77724666321092806</c:v>
                </c:pt>
                <c:pt idx="11">
                  <c:v>0.99999999999999978</c:v>
                </c:pt>
              </c:numCache>
            </c:numRef>
          </c:yVal>
          <c:smooth val="0"/>
          <c:extLst>
            <c:ext xmlns:c16="http://schemas.microsoft.com/office/drawing/2014/chart" uri="{C3380CC4-5D6E-409C-BE32-E72D297353CC}">
              <c16:uniqueId val="{00000002-4E97-4634-807F-6AC3E92D1376}"/>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E2A8-4E43-A749-76B4B982F3B7}"/>
              </c:ext>
            </c:extLst>
          </c:dPt>
          <c:xVal>
            <c:numRef>
              <c:f>Gini_format!$H$6:$H$17</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Gini_format!$G$6:$G$17</c:f>
              <c:numCache>
                <c:formatCode>0.00</c:formatCode>
                <c:ptCount val="12"/>
                <c:pt idx="0">
                  <c:v>0</c:v>
                </c:pt>
                <c:pt idx="1">
                  <c:v>7.4822354531115009E-3</c:v>
                </c:pt>
                <c:pt idx="2">
                  <c:v>1.8868572307361529E-2</c:v>
                </c:pt>
                <c:pt idx="3">
                  <c:v>2.0490978887534421E-2</c:v>
                </c:pt>
                <c:pt idx="4">
                  <c:v>2.740232119356666E-2</c:v>
                </c:pt>
                <c:pt idx="5">
                  <c:v>0.25973098001163397</c:v>
                </c:pt>
                <c:pt idx="6">
                  <c:v>0.29475787324783959</c:v>
                </c:pt>
                <c:pt idx="7">
                  <c:v>0.3049961108100403</c:v>
                </c:pt>
                <c:pt idx="8">
                  <c:v>0.49893945658838834</c:v>
                </c:pt>
                <c:pt idx="9">
                  <c:v>0.79696072237104254</c:v>
                </c:pt>
                <c:pt idx="10">
                  <c:v>0.8595345633602115</c:v>
                </c:pt>
                <c:pt idx="11">
                  <c:v>1</c:v>
                </c:pt>
              </c:numCache>
            </c:numRef>
          </c:yVal>
          <c:smooth val="1"/>
          <c:extLst>
            <c:ext xmlns:c16="http://schemas.microsoft.com/office/drawing/2014/chart" uri="{C3380CC4-5D6E-409C-BE32-E72D297353CC}">
              <c16:uniqueId val="{00000001-E2A8-4E43-A749-76B4B982F3B7}"/>
            </c:ext>
          </c:extLst>
        </c:ser>
        <c:ser>
          <c:idx val="1"/>
          <c:order val="1"/>
          <c:tx>
            <c:v>Equality Line</c:v>
          </c:tx>
          <c:spPr>
            <a:ln w="19050" cap="rnd">
              <a:solidFill>
                <a:schemeClr val="accent2"/>
              </a:solidFill>
              <a:round/>
            </a:ln>
            <a:effectLst/>
          </c:spPr>
          <c:marker>
            <c:symbol val="none"/>
          </c:marker>
          <c:xVal>
            <c:numRef>
              <c:f>Gini_format!$H$6:$H$17</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Gini_format!$H$6:$H$17</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yVal>
          <c:smooth val="1"/>
          <c:extLst>
            <c:ext xmlns:c16="http://schemas.microsoft.com/office/drawing/2014/chart" uri="{C3380CC4-5D6E-409C-BE32-E72D297353CC}">
              <c16:uniqueId val="{00000002-E2A8-4E43-A749-76B4B982F3B7}"/>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Precipitation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91A1-4A06-B994-17DF1811B316}"/>
              </c:ext>
            </c:extLst>
          </c:dPt>
          <c:xVal>
            <c:numRef>
              <c:f>Gini_format!$H$27:$H$38</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Gini_format!$G$27:$G$38</c:f>
              <c:numCache>
                <c:formatCode>0.00</c:formatCode>
                <c:ptCount val="12"/>
                <c:pt idx="0">
                  <c:v>0</c:v>
                </c:pt>
                <c:pt idx="1">
                  <c:v>6.4642065696603936E-3</c:v>
                </c:pt>
                <c:pt idx="2">
                  <c:v>1.8824555763140863E-2</c:v>
                </c:pt>
                <c:pt idx="3">
                  <c:v>4.8811890677872394E-2</c:v>
                </c:pt>
                <c:pt idx="4">
                  <c:v>5.4111799982835523E-2</c:v>
                </c:pt>
                <c:pt idx="5">
                  <c:v>0.22186773995796827</c:v>
                </c:pt>
                <c:pt idx="6">
                  <c:v>0.24941529497162282</c:v>
                </c:pt>
                <c:pt idx="7">
                  <c:v>0.25885180514567308</c:v>
                </c:pt>
                <c:pt idx="8">
                  <c:v>0.46597445576360913</c:v>
                </c:pt>
                <c:pt idx="9">
                  <c:v>0.81461445553693856</c:v>
                </c:pt>
                <c:pt idx="10">
                  <c:v>0.86860884557118179</c:v>
                </c:pt>
                <c:pt idx="11">
                  <c:v>1</c:v>
                </c:pt>
              </c:numCache>
            </c:numRef>
          </c:yVal>
          <c:smooth val="1"/>
          <c:extLst>
            <c:ext xmlns:c16="http://schemas.microsoft.com/office/drawing/2014/chart" uri="{C3380CC4-5D6E-409C-BE32-E72D297353CC}">
              <c16:uniqueId val="{00000001-91A1-4A06-B994-17DF1811B316}"/>
            </c:ext>
          </c:extLst>
        </c:ser>
        <c:ser>
          <c:idx val="2"/>
          <c:order val="1"/>
          <c:tx>
            <c:v>Equality Line</c:v>
          </c:tx>
          <c:spPr>
            <a:ln w="19050" cap="rnd">
              <a:solidFill>
                <a:schemeClr val="accent2"/>
              </a:solidFill>
              <a:round/>
            </a:ln>
            <a:effectLst/>
          </c:spPr>
          <c:marker>
            <c:symbol val="none"/>
          </c:marker>
          <c:xVal>
            <c:numRef>
              <c:f>Gini_format!$H$27:$H$38</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Gini_format!$H$27:$H$38</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yVal>
          <c:smooth val="1"/>
          <c:extLst>
            <c:ext xmlns:c16="http://schemas.microsoft.com/office/drawing/2014/chart" uri="{C3380CC4-5D6E-409C-BE32-E72D297353CC}">
              <c16:uniqueId val="{00000002-91A1-4A06-B994-17DF1811B316}"/>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ETa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#REF!$H$6:$H$17</c:f>
            </c:numRef>
          </c:xVal>
          <c:yVal>
            <c:numRef>
              <c:f>#REF!$H$6:$H$17</c:f>
              <c:numCache>
                <c:formatCode>General</c:formatCode>
                <c:ptCount val="1"/>
                <c:pt idx="0">
                  <c:v>1</c:v>
                </c:pt>
              </c:numCache>
            </c:numRef>
          </c:yVal>
          <c:smooth val="1"/>
          <c:extLst>
            <c:ext xmlns:c16="http://schemas.microsoft.com/office/drawing/2014/chart" uri="{C3380CC4-5D6E-409C-BE32-E72D297353CC}">
              <c16:uniqueId val="{00000000-8A79-4A6F-9995-832EA47A1234}"/>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8A79-4A6F-9995-832EA47A1234}"/>
              </c:ext>
            </c:extLst>
          </c:dPt>
          <c:xVal>
            <c:numRef>
              <c:f>#REF!$H$6:$H$17</c:f>
            </c:numRef>
          </c:xVal>
          <c:yVal>
            <c:numRef>
              <c:f>#REF!$G$6:$G$17</c:f>
              <c:numCache>
                <c:formatCode>General</c:formatCode>
                <c:ptCount val="1"/>
                <c:pt idx="0">
                  <c:v>1</c:v>
                </c:pt>
              </c:numCache>
            </c:numRef>
          </c:yVal>
          <c:smooth val="0"/>
          <c:extLst>
            <c:ext xmlns:c16="http://schemas.microsoft.com/office/drawing/2014/chart" uri="{C3380CC4-5D6E-409C-BE32-E72D297353CC}">
              <c16:uniqueId val="{00000002-8A79-4A6F-9995-832EA47A1234}"/>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Gini_format!$H$49:$H$60</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Gini_format!$H$49:$H$60</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yVal>
          <c:smooth val="1"/>
          <c:extLst>
            <c:ext xmlns:c16="http://schemas.microsoft.com/office/drawing/2014/chart" uri="{C3380CC4-5D6E-409C-BE32-E72D297353CC}">
              <c16:uniqueId val="{00000000-C002-4AFA-B5B6-4BFEF90BD4B4}"/>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C002-4AFA-B5B6-4BFEF90BD4B4}"/>
              </c:ext>
            </c:extLst>
          </c:dPt>
          <c:xVal>
            <c:numRef>
              <c:f>Gini_format!$H$49:$H$60</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Gini_format!$G$49:$G$60</c:f>
              <c:numCache>
                <c:formatCode>0.00</c:formatCode>
                <c:ptCount val="12"/>
                <c:pt idx="0">
                  <c:v>0</c:v>
                </c:pt>
                <c:pt idx="1">
                  <c:v>3.5466968162584246E-2</c:v>
                </c:pt>
                <c:pt idx="2">
                  <c:v>-2.3283916658713502E-3</c:v>
                </c:pt>
                <c:pt idx="3">
                  <c:v>-0.30327709541773212</c:v>
                </c:pt>
                <c:pt idx="4">
                  <c:v>-0.24470653494995714</c:v>
                </c:pt>
                <c:pt idx="5">
                  <c:v>2.0986868685884628</c:v>
                </c:pt>
                <c:pt idx="6">
                  <c:v>2.385769755652122</c:v>
                </c:pt>
                <c:pt idx="7">
                  <c:v>2.4132862282319718</c:v>
                </c:pt>
                <c:pt idx="8">
                  <c:v>2.1281011273083195</c:v>
                </c:pt>
                <c:pt idx="9">
                  <c:v>0.10426867813669372</c:v>
                </c:pt>
                <c:pt idx="10">
                  <c:v>0.60206051057051591</c:v>
                </c:pt>
                <c:pt idx="11">
                  <c:v>1</c:v>
                </c:pt>
              </c:numCache>
            </c:numRef>
          </c:yVal>
          <c:smooth val="0"/>
          <c:extLst>
            <c:ext xmlns:c16="http://schemas.microsoft.com/office/drawing/2014/chart" uri="{C3380CC4-5D6E-409C-BE32-E72D297353CC}">
              <c16:uniqueId val="{00000002-C002-4AFA-B5B6-4BFEF90BD4B4}"/>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Gini_format!$H$70:$H$81</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Gini_format!$H$70:$H$81</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yVal>
          <c:smooth val="1"/>
          <c:extLst>
            <c:ext xmlns:c16="http://schemas.microsoft.com/office/drawing/2014/chart" uri="{C3380CC4-5D6E-409C-BE32-E72D297353CC}">
              <c16:uniqueId val="{00000000-B21C-4B30-9303-963E5617798A}"/>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tx>
            <c:v>Lorenz Curve</c:v>
          </c:tx>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B21C-4B30-9303-963E5617798A}"/>
              </c:ext>
            </c:extLst>
          </c:dPt>
          <c:xVal>
            <c:numRef>
              <c:f>Gini_format!$H$70:$H$81</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Gini_format!$G$70:$G$81</c:f>
              <c:numCache>
                <c:formatCode>0.00</c:formatCode>
                <c:ptCount val="12"/>
                <c:pt idx="0">
                  <c:v>0</c:v>
                </c:pt>
                <c:pt idx="1">
                  <c:v>1.0190307089459937E-2</c:v>
                </c:pt>
                <c:pt idx="2">
                  <c:v>-6.6898940983625005E-4</c:v>
                </c:pt>
                <c:pt idx="3">
                  <c:v>0.20317672101798984</c:v>
                </c:pt>
                <c:pt idx="4">
                  <c:v>0.22000511172881626</c:v>
                </c:pt>
                <c:pt idx="5">
                  <c:v>0.89330479452107769</c:v>
                </c:pt>
                <c:pt idx="6">
                  <c:v>0.97578894613778222</c:v>
                </c:pt>
                <c:pt idx="7">
                  <c:v>1.0032204582824014</c:v>
                </c:pt>
                <c:pt idx="8">
                  <c:v>1.0949560040862045</c:v>
                </c:pt>
                <c:pt idx="9">
                  <c:v>0.63422198695802501</c:v>
                </c:pt>
                <c:pt idx="10">
                  <c:v>0.77724666321092806</c:v>
                </c:pt>
                <c:pt idx="11">
                  <c:v>0.99999999999999978</c:v>
                </c:pt>
              </c:numCache>
            </c:numRef>
          </c:yVal>
          <c:smooth val="0"/>
          <c:extLst>
            <c:ext xmlns:c16="http://schemas.microsoft.com/office/drawing/2014/chart" uri="{C3380CC4-5D6E-409C-BE32-E72D297353CC}">
              <c16:uniqueId val="{00000002-B21C-4B30-9303-963E5617798A}"/>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1.6122160326311905E-2"/>
              <c:y val="0.1433927801895390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Gini_format!$H$157:$H$168</c:f>
              <c:numCache>
                <c:formatCode>0.00</c:formatCode>
                <c:ptCount val="12"/>
                <c:pt idx="0">
                  <c:v>0</c:v>
                </c:pt>
                <c:pt idx="1">
                  <c:v>8.3030863015460567E-3</c:v>
                </c:pt>
                <c:pt idx="2">
                  <c:v>1.6953890389316533E-2</c:v>
                </c:pt>
                <c:pt idx="3">
                  <c:v>3.0639997410427677E-2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xVal>
          <c:yVal>
            <c:numRef>
              <c:f>Gini_format!$H$157:$H$168</c:f>
              <c:numCache>
                <c:formatCode>0.00</c:formatCode>
                <c:ptCount val="12"/>
                <c:pt idx="0">
                  <c:v>0</c:v>
                </c:pt>
                <c:pt idx="1">
                  <c:v>8.3030863015460567E-3</c:v>
                </c:pt>
                <c:pt idx="2">
                  <c:v>1.6953890389316533E-2</c:v>
                </c:pt>
                <c:pt idx="3">
                  <c:v>3.0639997410427677E-2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yVal>
          <c:smooth val="1"/>
          <c:extLst>
            <c:ext xmlns:c16="http://schemas.microsoft.com/office/drawing/2014/chart" uri="{C3380CC4-5D6E-409C-BE32-E72D297353CC}">
              <c16:uniqueId val="{00000000-9B86-47FE-9633-C734E544021A}"/>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9B86-47FE-9633-C734E544021A}"/>
              </c:ext>
            </c:extLst>
          </c:dPt>
          <c:xVal>
            <c:numRef>
              <c:f>Gini_format!$H$281:$H$292</c:f>
              <c:numCache>
                <c:formatCode>0.00</c:formatCode>
                <c:ptCount val="12"/>
                <c:pt idx="0">
                  <c:v>0</c:v>
                </c:pt>
                <c:pt idx="1">
                  <c:v>8.3030863015460549E-3</c:v>
                </c:pt>
                <c:pt idx="2">
                  <c:v>1.695389038931653E-2</c:v>
                </c:pt>
                <c:pt idx="3">
                  <c:v>3.0639997410427673E-2</c:v>
                </c:pt>
                <c:pt idx="4">
                  <c:v>4.5995080707217632E-2</c:v>
                </c:pt>
                <c:pt idx="5">
                  <c:v>6.9192243194392378E-2</c:v>
                </c:pt>
                <c:pt idx="6">
                  <c:v>0.13077265392289361</c:v>
                </c:pt>
                <c:pt idx="7">
                  <c:v>0.19382240036921666</c:v>
                </c:pt>
                <c:pt idx="8">
                  <c:v>0.27272221729269863</c:v>
                </c:pt>
                <c:pt idx="9">
                  <c:v>0.39941458754135806</c:v>
                </c:pt>
                <c:pt idx="10">
                  <c:v>0.67279042614341211</c:v>
                </c:pt>
                <c:pt idx="11">
                  <c:v>1</c:v>
                </c:pt>
              </c:numCache>
            </c:numRef>
          </c:xVal>
          <c:yVal>
            <c:numRef>
              <c:f>Gini_format!$G$281:$G$292</c:f>
              <c:numCache>
                <c:formatCode>0.00</c:formatCode>
                <c:ptCount val="12"/>
                <c:pt idx="0">
                  <c:v>0</c:v>
                </c:pt>
                <c:pt idx="1">
                  <c:v>8.3030863015460532E-3</c:v>
                </c:pt>
                <c:pt idx="2">
                  <c:v>1.695389038931653E-2</c:v>
                </c:pt>
                <c:pt idx="3">
                  <c:v>3.0639997410427673E-2</c:v>
                </c:pt>
                <c:pt idx="4">
                  <c:v>4.5995080707217632E-2</c:v>
                </c:pt>
                <c:pt idx="5">
                  <c:v>6.9192243194392378E-2</c:v>
                </c:pt>
                <c:pt idx="6">
                  <c:v>0.13077265392289361</c:v>
                </c:pt>
                <c:pt idx="7">
                  <c:v>0.19382240036921666</c:v>
                </c:pt>
                <c:pt idx="8">
                  <c:v>0.27272221729269863</c:v>
                </c:pt>
                <c:pt idx="9">
                  <c:v>0.39941458754135806</c:v>
                </c:pt>
                <c:pt idx="10">
                  <c:v>0.67279042614341211</c:v>
                </c:pt>
                <c:pt idx="11">
                  <c:v>1</c:v>
                </c:pt>
              </c:numCache>
            </c:numRef>
          </c:yVal>
          <c:smooth val="0"/>
          <c:extLst>
            <c:ext xmlns:c16="http://schemas.microsoft.com/office/drawing/2014/chart" uri="{C3380CC4-5D6E-409C-BE32-E72D297353CC}">
              <c16:uniqueId val="{00000002-9B86-47FE-9633-C734E544021A}"/>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Gini_format!$H$70:$H$81</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Gini_format!$H$70:$H$81</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yVal>
          <c:smooth val="1"/>
          <c:extLst>
            <c:ext xmlns:c16="http://schemas.microsoft.com/office/drawing/2014/chart" uri="{C3380CC4-5D6E-409C-BE32-E72D297353CC}">
              <c16:uniqueId val="{00000000-79D3-413E-87AC-3CDBAD434B55}"/>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79D3-413E-87AC-3CDBAD434B55}"/>
              </c:ext>
            </c:extLst>
          </c:dPt>
          <c:xVal>
            <c:numRef>
              <c:f>Gini_format!$H$261:$H$272</c:f>
              <c:numCache>
                <c:formatCode>0.00</c:formatCode>
                <c:ptCount val="12"/>
                <c:pt idx="0">
                  <c:v>0</c:v>
                </c:pt>
                <c:pt idx="1">
                  <c:v>4.8230826802841548E-3</c:v>
                </c:pt>
                <c:pt idx="2">
                  <c:v>1.931093352199631E-2</c:v>
                </c:pt>
                <c:pt idx="3">
                  <c:v>4.2376133576973701E-2</c:v>
                </c:pt>
                <c:pt idx="4">
                  <c:v>8.3147433719130359E-2</c:v>
                </c:pt>
                <c:pt idx="5">
                  <c:v>0.12586523300618602</c:v>
                </c:pt>
                <c:pt idx="6">
                  <c:v>0.17071321748589596</c:v>
                </c:pt>
                <c:pt idx="7">
                  <c:v>0.24452143745386207</c:v>
                </c:pt>
                <c:pt idx="8">
                  <c:v>0.38278191347953416</c:v>
                </c:pt>
                <c:pt idx="9">
                  <c:v>0.529452635022164</c:v>
                </c:pt>
                <c:pt idx="10">
                  <c:v>0.68616540717339991</c:v>
                </c:pt>
                <c:pt idx="11">
                  <c:v>1</c:v>
                </c:pt>
              </c:numCache>
            </c:numRef>
          </c:xVal>
          <c:yVal>
            <c:numRef>
              <c:f>Gini_format!$G$261:$G$272</c:f>
              <c:numCache>
                <c:formatCode>0.00</c:formatCode>
                <c:ptCount val="12"/>
                <c:pt idx="0">
                  <c:v>0</c:v>
                </c:pt>
                <c:pt idx="1">
                  <c:v>4.8230826802841556E-3</c:v>
                </c:pt>
                <c:pt idx="2">
                  <c:v>1.931093352199631E-2</c:v>
                </c:pt>
                <c:pt idx="3">
                  <c:v>4.2376133576973708E-2</c:v>
                </c:pt>
                <c:pt idx="4">
                  <c:v>8.3147433719130373E-2</c:v>
                </c:pt>
                <c:pt idx="5">
                  <c:v>0.12586523300618604</c:v>
                </c:pt>
                <c:pt idx="6">
                  <c:v>0.17071321748589599</c:v>
                </c:pt>
                <c:pt idx="7">
                  <c:v>0.24452143745386212</c:v>
                </c:pt>
                <c:pt idx="8">
                  <c:v>0.38278191347953422</c:v>
                </c:pt>
                <c:pt idx="9">
                  <c:v>0.529452635022164</c:v>
                </c:pt>
                <c:pt idx="10">
                  <c:v>0.68616540717339991</c:v>
                </c:pt>
                <c:pt idx="11">
                  <c:v>1</c:v>
                </c:pt>
              </c:numCache>
            </c:numRef>
          </c:yVal>
          <c:smooth val="0"/>
          <c:extLst>
            <c:ext xmlns:c16="http://schemas.microsoft.com/office/drawing/2014/chart" uri="{C3380CC4-5D6E-409C-BE32-E72D297353CC}">
              <c16:uniqueId val="{00000002-79D3-413E-87AC-3CDBAD434B55}"/>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2.4106839487888897E-2"/>
              <c:y val="0.213799288086293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Gini_format!$H$70:$H$81</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Gini_format!$H$70:$H$81</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yVal>
          <c:smooth val="1"/>
          <c:extLst>
            <c:ext xmlns:c16="http://schemas.microsoft.com/office/drawing/2014/chart" uri="{C3380CC4-5D6E-409C-BE32-E72D297353CC}">
              <c16:uniqueId val="{00000000-0128-4395-9E34-36880EBE1192}"/>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0128-4395-9E34-36880EBE1192}"/>
              </c:ext>
            </c:extLst>
          </c:dPt>
          <c:xVal>
            <c:numRef>
              <c:f>Gini_format!$H$303:$H$314</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Gini_format!$G$303:$G$314</c:f>
              <c:numCache>
                <c:formatCode>0.00</c:formatCode>
                <c:ptCount val="12"/>
                <c:pt idx="0">
                  <c:v>0</c:v>
                </c:pt>
                <c:pt idx="1">
                  <c:v>9.0909090909090925E-2</c:v>
                </c:pt>
                <c:pt idx="2">
                  <c:v>0.18181818181818185</c:v>
                </c:pt>
                <c:pt idx="3">
                  <c:v>0.27272727272727276</c:v>
                </c:pt>
                <c:pt idx="4">
                  <c:v>0.3636363636363637</c:v>
                </c:pt>
                <c:pt idx="5">
                  <c:v>0.45454545454545464</c:v>
                </c:pt>
                <c:pt idx="6">
                  <c:v>0.54545454545454553</c:v>
                </c:pt>
                <c:pt idx="7">
                  <c:v>0.63636363636363646</c:v>
                </c:pt>
                <c:pt idx="8">
                  <c:v>0.7272727272727274</c:v>
                </c:pt>
                <c:pt idx="9">
                  <c:v>0.81818181818181834</c:v>
                </c:pt>
                <c:pt idx="10">
                  <c:v>0.90909090909090928</c:v>
                </c:pt>
                <c:pt idx="11">
                  <c:v>1.0000000000000002</c:v>
                </c:pt>
              </c:numCache>
            </c:numRef>
          </c:yVal>
          <c:smooth val="0"/>
          <c:extLst>
            <c:ext xmlns:c16="http://schemas.microsoft.com/office/drawing/2014/chart" uri="{C3380CC4-5D6E-409C-BE32-E72D297353CC}">
              <c16:uniqueId val="{00000002-0128-4395-9E34-36880EBE1192}"/>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2.4106839487888897E-2"/>
              <c:y val="0.213799288086293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Gini_format!$H$70:$H$81</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xVal>
          <c:yVal>
            <c:numRef>
              <c:f>Gini_format!$H$70:$H$81</c:f>
              <c:numCache>
                <c:formatCode>0.00</c:formatCode>
                <c:ptCount val="12"/>
                <c:pt idx="0">
                  <c:v>0</c:v>
                </c:pt>
                <c:pt idx="1">
                  <c:v>2.3065200054977395E-2</c:v>
                </c:pt>
                <c:pt idx="2">
                  <c:v>3.7553050896689547E-2</c:v>
                </c:pt>
                <c:pt idx="3">
                  <c:v>0.35138764372328968</c:v>
                </c:pt>
                <c:pt idx="4">
                  <c:v>0.35621072640357382</c:v>
                </c:pt>
                <c:pt idx="5">
                  <c:v>0.5028814479462036</c:v>
                </c:pt>
                <c:pt idx="6">
                  <c:v>0.57668966791416976</c:v>
                </c:pt>
                <c:pt idx="7">
                  <c:v>0.61940746720122541</c:v>
                </c:pt>
                <c:pt idx="8">
                  <c:v>0.75766794322689757</c:v>
                </c:pt>
                <c:pt idx="9">
                  <c:v>0.79843924336905425</c:v>
                </c:pt>
                <c:pt idx="10">
                  <c:v>0.8432872278487642</c:v>
                </c:pt>
                <c:pt idx="11">
                  <c:v>1</c:v>
                </c:pt>
              </c:numCache>
            </c:numRef>
          </c:yVal>
          <c:smooth val="1"/>
          <c:extLst>
            <c:ext xmlns:c16="http://schemas.microsoft.com/office/drawing/2014/chart" uri="{C3380CC4-5D6E-409C-BE32-E72D297353CC}">
              <c16:uniqueId val="{00000000-6827-407C-92F1-DF65A1D48534}"/>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6827-407C-92F1-DF65A1D48534}"/>
              </c:ext>
            </c:extLst>
          </c:dPt>
          <c:xVal>
            <c:numRef>
              <c:f>Gini_format!$H$348:$H$359</c:f>
              <c:numCache>
                <c:formatCode>0.00</c:formatCode>
                <c:ptCount val="12"/>
                <c:pt idx="0">
                  <c:v>0</c:v>
                </c:pt>
                <c:pt idx="1">
                  <c:v>0.33482575255695196</c:v>
                </c:pt>
                <c:pt idx="2">
                  <c:v>0.34808406518308155</c:v>
                </c:pt>
                <c:pt idx="3">
                  <c:v>0.39253782057246689</c:v>
                </c:pt>
                <c:pt idx="4">
                  <c:v>0.44095975227368978</c:v>
                </c:pt>
                <c:pt idx="5">
                  <c:v>0.48280754910912532</c:v>
                </c:pt>
                <c:pt idx="6">
                  <c:v>0.64673822668644565</c:v>
                </c:pt>
                <c:pt idx="7">
                  <c:v>0.84776248541944721</c:v>
                </c:pt>
                <c:pt idx="8">
                  <c:v>1.2303401660277686</c:v>
                </c:pt>
                <c:pt idx="9">
                  <c:v>1.4536568384480413</c:v>
                </c:pt>
                <c:pt idx="10">
                  <c:v>1.883448786534734</c:v>
                </c:pt>
                <c:pt idx="11">
                  <c:v>2.0544517697225677</c:v>
                </c:pt>
              </c:numCache>
            </c:numRef>
          </c:xVal>
          <c:yVal>
            <c:numRef>
              <c:f>Gini_format!$G$348:$G$359</c:f>
              <c:numCache>
                <c:formatCode>0.00</c:formatCode>
                <c:ptCount val="12"/>
                <c:pt idx="0">
                  <c:v>0</c:v>
                </c:pt>
                <c:pt idx="1">
                  <c:v>1.8710793017646152E-2</c:v>
                </c:pt>
                <c:pt idx="2">
                  <c:v>2.2170147168324786E-2</c:v>
                </c:pt>
                <c:pt idx="3">
                  <c:v>0.16996129077176741</c:v>
                </c:pt>
                <c:pt idx="4">
                  <c:v>0.17495833246993467</c:v>
                </c:pt>
                <c:pt idx="5">
                  <c:v>0.37719192826501613</c:v>
                </c:pt>
                <c:pt idx="6">
                  <c:v>0.4757515713522944</c:v>
                </c:pt>
                <c:pt idx="7">
                  <c:v>0.50706908815300022</c:v>
                </c:pt>
                <c:pt idx="8">
                  <c:v>0.59548219706974992</c:v>
                </c:pt>
                <c:pt idx="9">
                  <c:v>0.65695284971896939</c:v>
                </c:pt>
                <c:pt idx="10">
                  <c:v>0.8112008006607665</c:v>
                </c:pt>
                <c:pt idx="11">
                  <c:v>1.0261577245315827</c:v>
                </c:pt>
              </c:numCache>
            </c:numRef>
          </c:yVal>
          <c:smooth val="0"/>
          <c:extLst>
            <c:ext xmlns:c16="http://schemas.microsoft.com/office/drawing/2014/chart" uri="{C3380CC4-5D6E-409C-BE32-E72D297353CC}">
              <c16:uniqueId val="{00000002-6827-407C-92F1-DF65A1D48534}"/>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total available water</a:t>
                </a:r>
                <a:endParaRPr lang="en-US"/>
              </a:p>
            </c:rich>
          </c:tx>
          <c:layout>
            <c:manualLayout>
              <c:xMode val="edge"/>
              <c:yMode val="edge"/>
              <c:x val="2.4106839487888897E-2"/>
              <c:y val="0.213799288086293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xVal>
          <c:yVal>
            <c:numRef>
              <c:f>Gini_format!$H$94:$H$105</c:f>
              <c:numCache>
                <c:formatCode>0.00</c:formatCode>
                <c:ptCount val="12"/>
                <c:pt idx="0">
                  <c:v>0</c:v>
                </c:pt>
                <c:pt idx="1">
                  <c:v>6.1580410728501248E-2</c:v>
                </c:pt>
                <c:pt idx="2">
                  <c:v>7.0231214816271731E-2</c:v>
                </c:pt>
                <c:pt idx="3">
                  <c:v>8.3917321837382874E-2</c:v>
                </c:pt>
                <c:pt idx="4">
                  <c:v>9.2220408138928928E-2</c:v>
                </c:pt>
                <c:pt idx="5">
                  <c:v>0.11541757062610367</c:v>
                </c:pt>
                <c:pt idx="6">
                  <c:v>0.17846731707242672</c:v>
                </c:pt>
                <c:pt idx="7">
                  <c:v>0.25736713399590871</c:v>
                </c:pt>
                <c:pt idx="8">
                  <c:v>0.38405950424456814</c:v>
                </c:pt>
                <c:pt idx="9">
                  <c:v>0.71126907810115614</c:v>
                </c:pt>
                <c:pt idx="10">
                  <c:v>0.98464491670321008</c:v>
                </c:pt>
                <c:pt idx="11">
                  <c:v>1</c:v>
                </c:pt>
              </c:numCache>
            </c:numRef>
          </c:yVal>
          <c:smooth val="1"/>
          <c:extLst>
            <c:ext xmlns:c16="http://schemas.microsoft.com/office/drawing/2014/chart" uri="{C3380CC4-5D6E-409C-BE32-E72D297353CC}">
              <c16:uniqueId val="{00000000-D6DB-4BFA-B869-76A8D6113302}"/>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D6DB-4BFA-B869-76A8D6113302}"/>
              </c:ext>
            </c:extLst>
          </c:dPt>
          <c:xVal>
            <c:numRef>
              <c:f>Gini_format!$H$178:$H$189</c:f>
              <c:numCache>
                <c:formatCode>0.00</c:formatCode>
                <c:ptCount val="12"/>
                <c:pt idx="0">
                  <c:v>0</c:v>
                </c:pt>
                <c:pt idx="1">
                  <c:v>8.2249727275718124E-2</c:v>
                </c:pt>
                <c:pt idx="2">
                  <c:v>9.0263247322775519E-2</c:v>
                </c:pt>
                <c:pt idx="3">
                  <c:v>9.4581027823807909E-2</c:v>
                </c:pt>
                <c:pt idx="4">
                  <c:v>0.10127079145171206</c:v>
                </c:pt>
                <c:pt idx="5">
                  <c:v>0.10808687676914244</c:v>
                </c:pt>
                <c:pt idx="6">
                  <c:v>0.12427174144854033</c:v>
                </c:pt>
                <c:pt idx="7">
                  <c:v>0.16345651867644251</c:v>
                </c:pt>
                <c:pt idx="8">
                  <c:v>0.24099269172425059</c:v>
                </c:pt>
                <c:pt idx="9">
                  <c:v>0.67926609315684749</c:v>
                </c:pt>
                <c:pt idx="10">
                  <c:v>0.79811612788873898</c:v>
                </c:pt>
                <c:pt idx="11">
                  <c:v>1</c:v>
                </c:pt>
              </c:numCache>
            </c:numRef>
          </c:xVal>
          <c:yVal>
            <c:numRef>
              <c:f>Gini_format!$G$178:$G$189</c:f>
              <c:numCache>
                <c:formatCode>0.00</c:formatCode>
                <c:ptCount val="12"/>
                <c:pt idx="0">
                  <c:v>0</c:v>
                </c:pt>
                <c:pt idx="1">
                  <c:v>7.48223545311148E-3</c:v>
                </c:pt>
                <c:pt idx="2">
                  <c:v>1.8868572307361501E-2</c:v>
                </c:pt>
                <c:pt idx="3">
                  <c:v>2.0490978887534393E-2</c:v>
                </c:pt>
                <c:pt idx="4">
                  <c:v>2.7402321193566621E-2</c:v>
                </c:pt>
                <c:pt idx="5">
                  <c:v>0.25973098001163392</c:v>
                </c:pt>
                <c:pt idx="6">
                  <c:v>0.29475787324783953</c:v>
                </c:pt>
                <c:pt idx="7">
                  <c:v>0.30499611081004024</c:v>
                </c:pt>
                <c:pt idx="8">
                  <c:v>0.4989394565883884</c:v>
                </c:pt>
                <c:pt idx="9">
                  <c:v>0.79696072237104254</c:v>
                </c:pt>
                <c:pt idx="10">
                  <c:v>0.8595345633602115</c:v>
                </c:pt>
                <c:pt idx="11">
                  <c:v>0.99999999999999989</c:v>
                </c:pt>
              </c:numCache>
            </c:numRef>
          </c:yVal>
          <c:smooth val="0"/>
          <c:extLst>
            <c:ext xmlns:c16="http://schemas.microsoft.com/office/drawing/2014/chart" uri="{C3380CC4-5D6E-409C-BE32-E72D297353CC}">
              <c16:uniqueId val="{00000002-D6DB-4BFA-B869-76A8D6113302}"/>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Precipitation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01861863580613"/>
          <c:y val="0.1566342980154827"/>
          <c:w val="0.54960252622417904"/>
          <c:h val="0.65904922055244786"/>
        </c:manualLayout>
      </c:layout>
      <c:scatterChart>
        <c:scatterStyle val="smoothMarker"/>
        <c:varyColors val="0"/>
        <c:ser>
          <c:idx val="1"/>
          <c:order val="1"/>
          <c:tx>
            <c:v>Equality Line</c:v>
          </c:tx>
          <c:spPr>
            <a:ln w="19050" cap="rnd">
              <a:solidFill>
                <a:schemeClr val="accent2"/>
              </a:solidFill>
              <a:round/>
            </a:ln>
            <a:effectLst/>
          </c:spPr>
          <c:marker>
            <c:symbol val="none"/>
          </c:marker>
          <c:xVal>
            <c:numRef>
              <c:f>Gini_format!$H$115:$H$126</c:f>
              <c:numCache>
                <c:formatCode>0.00</c:formatCode>
                <c:ptCount val="12"/>
                <c:pt idx="0">
                  <c:v>0</c:v>
                </c:pt>
                <c:pt idx="1">
                  <c:v>8.6508040877704764E-3</c:v>
                </c:pt>
                <c:pt idx="2">
                  <c:v>2.233691110888162E-2</c:v>
                </c:pt>
                <c:pt idx="3">
                  <c:v>4.5534073596056365E-2</c:v>
                </c:pt>
                <c:pt idx="4">
                  <c:v>5.3837159897602418E-2</c:v>
                </c:pt>
                <c:pt idx="5">
                  <c:v>0.11688690634392547</c:v>
                </c:pt>
                <c:pt idx="6">
                  <c:v>0.17846731707242672</c:v>
                </c:pt>
                <c:pt idx="7">
                  <c:v>0.25736713399590871</c:v>
                </c:pt>
                <c:pt idx="8">
                  <c:v>0.38405950424456814</c:v>
                </c:pt>
                <c:pt idx="9">
                  <c:v>0.65743534284662219</c:v>
                </c:pt>
                <c:pt idx="10">
                  <c:v>0.98464491670321019</c:v>
                </c:pt>
                <c:pt idx="11">
                  <c:v>1.0000000000000002</c:v>
                </c:pt>
              </c:numCache>
            </c:numRef>
          </c:xVal>
          <c:yVal>
            <c:numRef>
              <c:f>Gini_format!$H$115:$H$126</c:f>
              <c:numCache>
                <c:formatCode>0.00</c:formatCode>
                <c:ptCount val="12"/>
                <c:pt idx="0">
                  <c:v>0</c:v>
                </c:pt>
                <c:pt idx="1">
                  <c:v>8.6508040877704764E-3</c:v>
                </c:pt>
                <c:pt idx="2">
                  <c:v>2.233691110888162E-2</c:v>
                </c:pt>
                <c:pt idx="3">
                  <c:v>4.5534073596056365E-2</c:v>
                </c:pt>
                <c:pt idx="4">
                  <c:v>5.3837159897602418E-2</c:v>
                </c:pt>
                <c:pt idx="5">
                  <c:v>0.11688690634392547</c:v>
                </c:pt>
                <c:pt idx="6">
                  <c:v>0.17846731707242672</c:v>
                </c:pt>
                <c:pt idx="7">
                  <c:v>0.25736713399590871</c:v>
                </c:pt>
                <c:pt idx="8">
                  <c:v>0.38405950424456814</c:v>
                </c:pt>
                <c:pt idx="9">
                  <c:v>0.65743534284662219</c:v>
                </c:pt>
                <c:pt idx="10">
                  <c:v>0.98464491670321019</c:v>
                </c:pt>
                <c:pt idx="11">
                  <c:v>1.0000000000000002</c:v>
                </c:pt>
              </c:numCache>
            </c:numRef>
          </c:yVal>
          <c:smooth val="1"/>
          <c:extLst>
            <c:ext xmlns:c16="http://schemas.microsoft.com/office/drawing/2014/chart" uri="{C3380CC4-5D6E-409C-BE32-E72D297353CC}">
              <c16:uniqueId val="{00000000-6F0D-427E-A191-DB6B3C71A853}"/>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6F0D-427E-A191-DB6B3C71A853}"/>
              </c:ext>
            </c:extLst>
          </c:dPt>
          <c:xVal>
            <c:numRef>
              <c:f>Gini_format!$H$199:$H$210</c:f>
              <c:numCache>
                <c:formatCode>0.00</c:formatCode>
                <c:ptCount val="12"/>
                <c:pt idx="0">
                  <c:v>0</c:v>
                </c:pt>
                <c:pt idx="1">
                  <c:v>8.0135200470573958E-3</c:v>
                </c:pt>
                <c:pt idx="2">
                  <c:v>1.2331300548089792E-2</c:v>
                </c:pt>
                <c:pt idx="3">
                  <c:v>1.9147385865520176E-2</c:v>
                </c:pt>
                <c:pt idx="4">
                  <c:v>2.5837149493424316E-2</c:v>
                </c:pt>
                <c:pt idx="5">
                  <c:v>4.2022014172822211E-2</c:v>
                </c:pt>
                <c:pt idx="6">
                  <c:v>0.12427174144854033</c:v>
                </c:pt>
                <c:pt idx="7">
                  <c:v>0.16345651867644251</c:v>
                </c:pt>
                <c:pt idx="8">
                  <c:v>0.24099269172425059</c:v>
                </c:pt>
                <c:pt idx="9">
                  <c:v>0.35984272645614207</c:v>
                </c:pt>
                <c:pt idx="10">
                  <c:v>0.79811612788873898</c:v>
                </c:pt>
                <c:pt idx="11">
                  <c:v>1</c:v>
                </c:pt>
              </c:numCache>
            </c:numRef>
          </c:xVal>
          <c:yVal>
            <c:numRef>
              <c:f>Gini_format!$G$199:$G$210</c:f>
              <c:numCache>
                <c:formatCode>0.00</c:formatCode>
                <c:ptCount val="12"/>
                <c:pt idx="0">
                  <c:v>0</c:v>
                </c:pt>
                <c:pt idx="1">
                  <c:v>6.4642065696603936E-3</c:v>
                </c:pt>
                <c:pt idx="2">
                  <c:v>1.8824555763140863E-2</c:v>
                </c:pt>
                <c:pt idx="3">
                  <c:v>4.8811890677872394E-2</c:v>
                </c:pt>
                <c:pt idx="4">
                  <c:v>5.4111799982835523E-2</c:v>
                </c:pt>
                <c:pt idx="5">
                  <c:v>0.22186773995796827</c:v>
                </c:pt>
                <c:pt idx="6">
                  <c:v>0.24941529497162282</c:v>
                </c:pt>
                <c:pt idx="7">
                  <c:v>0.25885180514567308</c:v>
                </c:pt>
                <c:pt idx="8">
                  <c:v>0.46597445576360913</c:v>
                </c:pt>
                <c:pt idx="9">
                  <c:v>0.81461445553693856</c:v>
                </c:pt>
                <c:pt idx="10">
                  <c:v>0.86860884557118179</c:v>
                </c:pt>
                <c:pt idx="11">
                  <c:v>1</c:v>
                </c:pt>
              </c:numCache>
            </c:numRef>
          </c:yVal>
          <c:smooth val="0"/>
          <c:extLst>
            <c:ext xmlns:c16="http://schemas.microsoft.com/office/drawing/2014/chart" uri="{C3380CC4-5D6E-409C-BE32-E72D297353CC}">
              <c16:uniqueId val="{00000002-6F0D-427E-A191-DB6B3C71A853}"/>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ETa</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Gini_format!$H$136:$H$147</c:f>
              <c:numCache>
                <c:formatCode>0.00</c:formatCode>
                <c:ptCount val="12"/>
                <c:pt idx="0">
                  <c:v>0</c:v>
                </c:pt>
                <c:pt idx="1">
                  <c:v>6.1580410728501248E-2</c:v>
                </c:pt>
                <c:pt idx="2">
                  <c:v>0.38878998458508923</c:v>
                </c:pt>
                <c:pt idx="3">
                  <c:v>0.40414506788187921</c:v>
                </c:pt>
                <c:pt idx="4">
                  <c:v>0.41244815418342529</c:v>
                </c:pt>
                <c:pt idx="5">
                  <c:v>0.42109895827119576</c:v>
                </c:pt>
                <c:pt idx="6">
                  <c:v>0.43478506529230687</c:v>
                </c:pt>
                <c:pt idx="7">
                  <c:v>0.45798222777948161</c:v>
                </c:pt>
                <c:pt idx="8">
                  <c:v>0.52103197422580472</c:v>
                </c:pt>
                <c:pt idx="9">
                  <c:v>0.59993179114928674</c:v>
                </c:pt>
                <c:pt idx="10">
                  <c:v>0.72662416139794617</c:v>
                </c:pt>
                <c:pt idx="11">
                  <c:v>1.0000000000000002</c:v>
                </c:pt>
              </c:numCache>
            </c:numRef>
          </c:xVal>
          <c:yVal>
            <c:numRef>
              <c:f>Gini_format!$H$136:$H$147</c:f>
              <c:numCache>
                <c:formatCode>0.00</c:formatCode>
                <c:ptCount val="12"/>
                <c:pt idx="0">
                  <c:v>0</c:v>
                </c:pt>
                <c:pt idx="1">
                  <c:v>6.1580410728501248E-2</c:v>
                </c:pt>
                <c:pt idx="2">
                  <c:v>0.38878998458508923</c:v>
                </c:pt>
                <c:pt idx="3">
                  <c:v>0.40414506788187921</c:v>
                </c:pt>
                <c:pt idx="4">
                  <c:v>0.41244815418342529</c:v>
                </c:pt>
                <c:pt idx="5">
                  <c:v>0.42109895827119576</c:v>
                </c:pt>
                <c:pt idx="6">
                  <c:v>0.43478506529230687</c:v>
                </c:pt>
                <c:pt idx="7">
                  <c:v>0.45798222777948161</c:v>
                </c:pt>
                <c:pt idx="8">
                  <c:v>0.52103197422580472</c:v>
                </c:pt>
                <c:pt idx="9">
                  <c:v>0.59993179114928674</c:v>
                </c:pt>
                <c:pt idx="10">
                  <c:v>0.72662416139794617</c:v>
                </c:pt>
                <c:pt idx="11">
                  <c:v>1.0000000000000002</c:v>
                </c:pt>
              </c:numCache>
            </c:numRef>
          </c:yVal>
          <c:smooth val="1"/>
          <c:extLst>
            <c:ext xmlns:c16="http://schemas.microsoft.com/office/drawing/2014/chart" uri="{C3380CC4-5D6E-409C-BE32-E72D297353CC}">
              <c16:uniqueId val="{00000000-7516-452C-9A5E-533D32A5CB07}"/>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7516-452C-9A5E-533D32A5CB07}"/>
              </c:ext>
            </c:extLst>
          </c:dPt>
          <c:xVal>
            <c:numRef>
              <c:f>Gini_format!$H$220:$H$231</c:f>
              <c:numCache>
                <c:formatCode>0.00</c:formatCode>
                <c:ptCount val="12"/>
                <c:pt idx="0">
                  <c:v>0</c:v>
                </c:pt>
                <c:pt idx="1">
                  <c:v>8.2249727275718124E-2</c:v>
                </c:pt>
                <c:pt idx="2">
                  <c:v>0.52052312870831507</c:v>
                </c:pt>
                <c:pt idx="3">
                  <c:v>0.7224070008195761</c:v>
                </c:pt>
                <c:pt idx="4">
                  <c:v>0.72909676444748028</c:v>
                </c:pt>
                <c:pt idx="5">
                  <c:v>0.73711028449453764</c:v>
                </c:pt>
                <c:pt idx="6">
                  <c:v>0.74142806499557001</c:v>
                </c:pt>
                <c:pt idx="7">
                  <c:v>0.7482441503130004</c:v>
                </c:pt>
                <c:pt idx="8">
                  <c:v>0.76442901499239835</c:v>
                </c:pt>
                <c:pt idx="9">
                  <c:v>0.80361379222030049</c:v>
                </c:pt>
                <c:pt idx="10">
                  <c:v>0.88114996526810863</c:v>
                </c:pt>
                <c:pt idx="11">
                  <c:v>1.0000000000000002</c:v>
                </c:pt>
              </c:numCache>
            </c:numRef>
          </c:xVal>
          <c:yVal>
            <c:numRef>
              <c:f>Gini_format!$G$220:$G$231</c:f>
              <c:numCache>
                <c:formatCode>0.00</c:formatCode>
                <c:ptCount val="12"/>
                <c:pt idx="0">
                  <c:v>0</c:v>
                </c:pt>
                <c:pt idx="1">
                  <c:v>3.5466968162584246E-2</c:v>
                </c:pt>
                <c:pt idx="2">
                  <c:v>-2.3283916658713502E-3</c:v>
                </c:pt>
                <c:pt idx="3">
                  <c:v>-0.30327709541773212</c:v>
                </c:pt>
                <c:pt idx="4">
                  <c:v>-0.24470653494995714</c:v>
                </c:pt>
                <c:pt idx="5">
                  <c:v>2.0986868685884628</c:v>
                </c:pt>
                <c:pt idx="6">
                  <c:v>2.385769755652122</c:v>
                </c:pt>
                <c:pt idx="7">
                  <c:v>2.4132862282319718</c:v>
                </c:pt>
                <c:pt idx="8">
                  <c:v>2.1281011273083195</c:v>
                </c:pt>
                <c:pt idx="9">
                  <c:v>0.10426867813669372</c:v>
                </c:pt>
                <c:pt idx="10">
                  <c:v>0.60206051057051591</c:v>
                </c:pt>
                <c:pt idx="11">
                  <c:v>1</c:v>
                </c:pt>
              </c:numCache>
            </c:numRef>
          </c:yVal>
          <c:smooth val="0"/>
          <c:extLst>
            <c:ext xmlns:c16="http://schemas.microsoft.com/office/drawing/2014/chart" uri="{C3380CC4-5D6E-409C-BE32-E72D297353CC}">
              <c16:uniqueId val="{00000002-7516-452C-9A5E-533D32A5CB07}"/>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Gini_format!$H$157:$H$168</c:f>
              <c:numCache>
                <c:formatCode>0.00</c:formatCode>
                <c:ptCount val="12"/>
                <c:pt idx="0">
                  <c:v>0</c:v>
                </c:pt>
                <c:pt idx="1">
                  <c:v>8.3030863015460567E-3</c:v>
                </c:pt>
                <c:pt idx="2">
                  <c:v>1.6953890389316533E-2</c:v>
                </c:pt>
                <c:pt idx="3">
                  <c:v>3.0639997410427677E-2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xVal>
          <c:yVal>
            <c:numRef>
              <c:f>Gini_format!$H$157:$H$168</c:f>
              <c:numCache>
                <c:formatCode>0.00</c:formatCode>
                <c:ptCount val="12"/>
                <c:pt idx="0">
                  <c:v>0</c:v>
                </c:pt>
                <c:pt idx="1">
                  <c:v>8.3030863015460567E-3</c:v>
                </c:pt>
                <c:pt idx="2">
                  <c:v>1.6953890389316533E-2</c:v>
                </c:pt>
                <c:pt idx="3">
                  <c:v>3.0639997410427677E-2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yVal>
          <c:smooth val="1"/>
          <c:extLst>
            <c:ext xmlns:c16="http://schemas.microsoft.com/office/drawing/2014/chart" uri="{C3380CC4-5D6E-409C-BE32-E72D297353CC}">
              <c16:uniqueId val="{00000000-5B25-4A9D-987B-0D4E29AED2B2}"/>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5B25-4A9D-987B-0D4E29AED2B2}"/>
              </c:ext>
            </c:extLst>
          </c:dPt>
          <c:xVal>
            <c:numRef>
              <c:f>Gini_format!$H$241:$H$252</c:f>
              <c:numCache>
                <c:formatCode>0.00</c:formatCode>
                <c:ptCount val="12"/>
                <c:pt idx="0">
                  <c:v>0</c:v>
                </c:pt>
                <c:pt idx="1">
                  <c:v>6.6897636279041406E-3</c:v>
                </c:pt>
                <c:pt idx="2">
                  <c:v>1.4703283674961536E-2</c:v>
                </c:pt>
                <c:pt idx="3">
                  <c:v>1.9021064175993932E-2</c:v>
                </c:pt>
                <c:pt idx="4">
                  <c:v>2.5837149493424316E-2</c:v>
                </c:pt>
                <c:pt idx="5">
                  <c:v>0.22772102160468533</c:v>
                </c:pt>
                <c:pt idx="6">
                  <c:v>0.24390588628408322</c:v>
                </c:pt>
                <c:pt idx="7">
                  <c:v>0.68217928771668013</c:v>
                </c:pt>
                <c:pt idx="8">
                  <c:v>0.76442901499239824</c:v>
                </c:pt>
                <c:pt idx="9">
                  <c:v>0.80361379222030038</c:v>
                </c:pt>
                <c:pt idx="10">
                  <c:v>0.92246382695219187</c:v>
                </c:pt>
                <c:pt idx="11">
                  <c:v>1</c:v>
                </c:pt>
              </c:numCache>
            </c:numRef>
          </c:xVal>
          <c:yVal>
            <c:numRef>
              <c:f>Gini_format!$G$241:$G$252</c:f>
              <c:numCache>
                <c:formatCode>0.00</c:formatCode>
                <c:ptCount val="12"/>
                <c:pt idx="0">
                  <c:v>0</c:v>
                </c:pt>
                <c:pt idx="1">
                  <c:v>1.0190307089459937E-2</c:v>
                </c:pt>
                <c:pt idx="2">
                  <c:v>-6.6898940983625005E-4</c:v>
                </c:pt>
                <c:pt idx="3">
                  <c:v>0.20317672101798984</c:v>
                </c:pt>
                <c:pt idx="4">
                  <c:v>0.22000511172881626</c:v>
                </c:pt>
                <c:pt idx="5">
                  <c:v>0.89330479452107769</c:v>
                </c:pt>
                <c:pt idx="6">
                  <c:v>0.97578894613778222</c:v>
                </c:pt>
                <c:pt idx="7">
                  <c:v>1.0032204582824014</c:v>
                </c:pt>
                <c:pt idx="8">
                  <c:v>1.0949560040862045</c:v>
                </c:pt>
                <c:pt idx="9">
                  <c:v>0.63422198695802501</c:v>
                </c:pt>
                <c:pt idx="10">
                  <c:v>0.77724666321092806</c:v>
                </c:pt>
                <c:pt idx="11">
                  <c:v>0.99999999999999978</c:v>
                </c:pt>
              </c:numCache>
            </c:numRef>
          </c:yVal>
          <c:smooth val="0"/>
          <c:extLst>
            <c:ext xmlns:c16="http://schemas.microsoft.com/office/drawing/2014/chart" uri="{C3380CC4-5D6E-409C-BE32-E72D297353CC}">
              <c16:uniqueId val="{00000002-5B25-4A9D-987B-0D4E29AED2B2}"/>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area</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Lorenz</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1"/>
          <c:tx>
            <c:v>Equality Line</c:v>
          </c:tx>
          <c:spPr>
            <a:ln w="19050" cap="rnd">
              <a:solidFill>
                <a:schemeClr val="accent2"/>
              </a:solidFill>
              <a:round/>
            </a:ln>
            <a:effectLst/>
          </c:spPr>
          <c:marker>
            <c:symbol val="none"/>
          </c:marker>
          <c:xVal>
            <c:numRef>
              <c:f>Gini_format!$H$157:$H$168</c:f>
              <c:numCache>
                <c:formatCode>0.00</c:formatCode>
                <c:ptCount val="12"/>
                <c:pt idx="0">
                  <c:v>0</c:v>
                </c:pt>
                <c:pt idx="1">
                  <c:v>8.3030863015460567E-3</c:v>
                </c:pt>
                <c:pt idx="2">
                  <c:v>1.6953890389316533E-2</c:v>
                </c:pt>
                <c:pt idx="3">
                  <c:v>3.0639997410427677E-2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xVal>
          <c:yVal>
            <c:numRef>
              <c:f>Gini_format!$H$157:$H$168</c:f>
              <c:numCache>
                <c:formatCode>0.00</c:formatCode>
                <c:ptCount val="12"/>
                <c:pt idx="0">
                  <c:v>0</c:v>
                </c:pt>
                <c:pt idx="1">
                  <c:v>8.3030863015460567E-3</c:v>
                </c:pt>
                <c:pt idx="2">
                  <c:v>1.6953890389316533E-2</c:v>
                </c:pt>
                <c:pt idx="3">
                  <c:v>3.0639997410427677E-2</c:v>
                </c:pt>
                <c:pt idx="4">
                  <c:v>5.3837159897602418E-2</c:v>
                </c:pt>
                <c:pt idx="5">
                  <c:v>6.9192243194392378E-2</c:v>
                </c:pt>
                <c:pt idx="6">
                  <c:v>0.13224198964071543</c:v>
                </c:pt>
                <c:pt idx="7">
                  <c:v>0.45945156349730343</c:v>
                </c:pt>
                <c:pt idx="8">
                  <c:v>0.52103197422580472</c:v>
                </c:pt>
                <c:pt idx="9">
                  <c:v>0.59993179114928674</c:v>
                </c:pt>
                <c:pt idx="10">
                  <c:v>0.87330762975134069</c:v>
                </c:pt>
                <c:pt idx="11">
                  <c:v>1.0000000000000002</c:v>
                </c:pt>
              </c:numCache>
            </c:numRef>
          </c:yVal>
          <c:smooth val="1"/>
          <c:extLst>
            <c:ext xmlns:c16="http://schemas.microsoft.com/office/drawing/2014/chart" uri="{C3380CC4-5D6E-409C-BE32-E72D297353CC}">
              <c16:uniqueId val="{00000000-E05C-40C7-83F2-808450A1A557}"/>
            </c:ext>
          </c:extLst>
        </c:ser>
        <c:dLbls>
          <c:showLegendKey val="0"/>
          <c:showVal val="0"/>
          <c:showCatName val="0"/>
          <c:showSerName val="0"/>
          <c:showPercent val="0"/>
          <c:showBubbleSize val="0"/>
        </c:dLbls>
        <c:axId val="474189871"/>
        <c:axId val="474195695"/>
      </c:scatterChart>
      <c:scatterChart>
        <c:scatterStyle val="lineMarker"/>
        <c:varyColors val="0"/>
        <c:ser>
          <c:idx val="0"/>
          <c:order val="0"/>
          <c:spPr>
            <a:ln w="19050" cap="rnd">
              <a:solidFill>
                <a:schemeClr val="accent1">
                  <a:alpha val="97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E05C-40C7-83F2-808450A1A557}"/>
              </c:ext>
            </c:extLst>
          </c:dPt>
          <c:xVal>
            <c:numRef>
              <c:f>Gini_format!$H$324:$H$335</c:f>
              <c:numCache>
                <c:formatCode>0.00</c:formatCode>
                <c:ptCount val="12"/>
                <c:pt idx="0">
                  <c:v>0</c:v>
                </c:pt>
                <c:pt idx="1">
                  <c:v>4.3177805010323955E-3</c:v>
                </c:pt>
                <c:pt idx="2">
                  <c:v>1.1007544128936536E-2</c:v>
                </c:pt>
                <c:pt idx="3">
                  <c:v>9.325727140465466E-2</c:v>
                </c:pt>
                <c:pt idx="4">
                  <c:v>0.10127079145171206</c:v>
                </c:pt>
                <c:pt idx="5">
                  <c:v>0.22012082618360357</c:v>
                </c:pt>
                <c:pt idx="6">
                  <c:v>0.23630569086300146</c:v>
                </c:pt>
                <c:pt idx="7">
                  <c:v>0.24312177618043185</c:v>
                </c:pt>
                <c:pt idx="8">
                  <c:v>0.6813951776130287</c:v>
                </c:pt>
                <c:pt idx="9">
                  <c:v>0.88327904972428972</c:v>
                </c:pt>
                <c:pt idx="10">
                  <c:v>0.92246382695219187</c:v>
                </c:pt>
                <c:pt idx="11">
                  <c:v>1</c:v>
                </c:pt>
              </c:numCache>
            </c:numRef>
          </c:xVal>
          <c:yVal>
            <c:numRef>
              <c:f>Gini_format!$G$324:$G$335</c:f>
              <c:numCache>
                <c:formatCode>0.00</c:formatCode>
                <c:ptCount val="12"/>
                <c:pt idx="0">
                  <c:v>0</c:v>
                </c:pt>
                <c:pt idx="1">
                  <c:v>9.0909090909090925E-2</c:v>
                </c:pt>
                <c:pt idx="2">
                  <c:v>0.18181818181818182</c:v>
                </c:pt>
                <c:pt idx="3">
                  <c:v>0.27272727272727271</c:v>
                </c:pt>
                <c:pt idx="4">
                  <c:v>0.36363636363636365</c:v>
                </c:pt>
                <c:pt idx="5">
                  <c:v>0.45454545454545459</c:v>
                </c:pt>
                <c:pt idx="6">
                  <c:v>0.54545454545454553</c:v>
                </c:pt>
                <c:pt idx="7">
                  <c:v>0.63636363636363646</c:v>
                </c:pt>
                <c:pt idx="8">
                  <c:v>0.7272727272727274</c:v>
                </c:pt>
                <c:pt idx="9">
                  <c:v>0.81818181818181834</c:v>
                </c:pt>
                <c:pt idx="10">
                  <c:v>0.90909090909090928</c:v>
                </c:pt>
                <c:pt idx="11">
                  <c:v>1.0000000000000002</c:v>
                </c:pt>
              </c:numCache>
            </c:numRef>
          </c:yVal>
          <c:smooth val="0"/>
          <c:extLst>
            <c:ext xmlns:c16="http://schemas.microsoft.com/office/drawing/2014/chart" uri="{C3380CC4-5D6E-409C-BE32-E72D297353CC}">
              <c16:uniqueId val="{00000002-E05C-40C7-83F2-808450A1A557}"/>
            </c:ext>
          </c:extLst>
        </c:ser>
        <c:dLbls>
          <c:showLegendKey val="0"/>
          <c:showVal val="0"/>
          <c:showCatName val="0"/>
          <c:showSerName val="0"/>
          <c:showPercent val="0"/>
          <c:showBubbleSize val="0"/>
        </c:dLbls>
        <c:axId val="474189871"/>
        <c:axId val="474195695"/>
      </c:scatterChart>
      <c:valAx>
        <c:axId val="474189871"/>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95695"/>
        <c:crosses val="autoZero"/>
        <c:crossBetween val="midCat"/>
      </c:valAx>
      <c:valAx>
        <c:axId val="474195695"/>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total</a:t>
                </a:r>
                <a:r>
                  <a:rPr lang="en-US" baseline="0"/>
                  <a:t> available water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89871"/>
        <c:crosses val="autoZero"/>
        <c:crossBetween val="midCat"/>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c:spPr>
          <c:marker>
            <c:symbol val="none"/>
          </c:marker>
          <c:cat>
            <c:strRef>
              <c:f>Utilitarianism!$B$4:$B$14</c:f>
              <c:strCache>
                <c:ptCount val="11"/>
                <c:pt idx="0">
                  <c:v>Burundi</c:v>
                </c:pt>
                <c:pt idx="1">
                  <c:v>Congo</c:v>
                </c:pt>
                <c:pt idx="2">
                  <c:v>Egypt</c:v>
                </c:pt>
                <c:pt idx="3">
                  <c:v>Eritrea</c:v>
                </c:pt>
                <c:pt idx="4">
                  <c:v>Ethiopia</c:v>
                </c:pt>
                <c:pt idx="5">
                  <c:v>Kenya</c:v>
                </c:pt>
                <c:pt idx="6">
                  <c:v>Rwanda</c:v>
                </c:pt>
                <c:pt idx="7">
                  <c:v>Sudan</c:v>
                </c:pt>
                <c:pt idx="8">
                  <c:v>South Sudan</c:v>
                </c:pt>
                <c:pt idx="9">
                  <c:v>Tanzania</c:v>
                </c:pt>
                <c:pt idx="10">
                  <c:v>Uganda</c:v>
                </c:pt>
              </c:strCache>
            </c:strRef>
          </c:cat>
          <c:val>
            <c:numRef>
              <c:f>Utilitarianism!$D$4:$D$14</c:f>
              <c:numCache>
                <c:formatCode>_-* #,##0.0_-;\-* #,##0.0_-;_-* "-"??_-;_-@_-</c:formatCode>
                <c:ptCount val="11"/>
                <c:pt idx="0">
                  <c:v>4.5376418747929925</c:v>
                </c:pt>
                <c:pt idx="1">
                  <c:v>2.8309348591687482</c:v>
                </c:pt>
                <c:pt idx="2">
                  <c:v>69.271813069261029</c:v>
                </c:pt>
                <c:pt idx="3">
                  <c:v>1.1215507094546049</c:v>
                </c:pt>
                <c:pt idx="4">
                  <c:v>29.910739995094342</c:v>
                </c:pt>
                <c:pt idx="5">
                  <c:v>15.757944722787245</c:v>
                </c:pt>
                <c:pt idx="6">
                  <c:v>8.8569452121066199</c:v>
                </c:pt>
                <c:pt idx="7">
                  <c:v>29.117384905391187</c:v>
                </c:pt>
                <c:pt idx="8">
                  <c:v>9.6890374893495448</c:v>
                </c:pt>
                <c:pt idx="9">
                  <c:v>8.9436766609828364</c:v>
                </c:pt>
                <c:pt idx="10">
                  <c:v>30.238653792381729</c:v>
                </c:pt>
              </c:numCache>
            </c:numRef>
          </c:val>
          <c:smooth val="0"/>
          <c:extLst>
            <c:ext xmlns:c16="http://schemas.microsoft.com/office/drawing/2014/chart" uri="{C3380CC4-5D6E-409C-BE32-E72D297353CC}">
              <c16:uniqueId val="{00000000-4955-489C-84C2-81946CE32205}"/>
            </c:ext>
          </c:extLst>
        </c:ser>
        <c:ser>
          <c:idx val="1"/>
          <c:order val="1"/>
          <c:spPr>
            <a:ln w="31750" cap="rnd">
              <a:solidFill>
                <a:schemeClr val="accent2"/>
              </a:solidFill>
              <a:round/>
            </a:ln>
            <a:effectLst/>
          </c:spPr>
          <c:marker>
            <c:symbol val="none"/>
          </c:marker>
          <c:cat>
            <c:strRef>
              <c:f>Utilitarianism!$B$4:$B$14</c:f>
              <c:strCache>
                <c:ptCount val="11"/>
                <c:pt idx="0">
                  <c:v>Burundi</c:v>
                </c:pt>
                <c:pt idx="1">
                  <c:v>Congo</c:v>
                </c:pt>
                <c:pt idx="2">
                  <c:v>Egypt</c:v>
                </c:pt>
                <c:pt idx="3">
                  <c:v>Eritrea</c:v>
                </c:pt>
                <c:pt idx="4">
                  <c:v>Ethiopia</c:v>
                </c:pt>
                <c:pt idx="5">
                  <c:v>Kenya</c:v>
                </c:pt>
                <c:pt idx="6">
                  <c:v>Rwanda</c:v>
                </c:pt>
                <c:pt idx="7">
                  <c:v>Sudan</c:v>
                </c:pt>
                <c:pt idx="8">
                  <c:v>South Sudan</c:v>
                </c:pt>
                <c:pt idx="9">
                  <c:v>Tanzania</c:v>
                </c:pt>
                <c:pt idx="10">
                  <c:v>Uganda</c:v>
                </c:pt>
              </c:strCache>
            </c:strRef>
          </c:cat>
          <c:val>
            <c:numRef>
              <c:f>Utilitarianism!$E$4:$E$14</c:f>
              <c:numCache>
                <c:formatCode>_-* #,##0.0_-;\-* #,##0.0_-;_-* "-"??_-;_-@_-</c:formatCode>
                <c:ptCount val="11"/>
                <c:pt idx="0">
                  <c:v>4.6792163012865338</c:v>
                </c:pt>
                <c:pt idx="1">
                  <c:v>2.9212416811762312</c:v>
                </c:pt>
                <c:pt idx="2">
                  <c:v>70.615686242804699</c:v>
                </c:pt>
                <c:pt idx="3">
                  <c:v>1.1373645744579148</c:v>
                </c:pt>
                <c:pt idx="4">
                  <c:v>30.733285344959441</c:v>
                </c:pt>
                <c:pt idx="5">
                  <c:v>16.117225862466793</c:v>
                </c:pt>
                <c:pt idx="6">
                  <c:v>9.0854543985789711</c:v>
                </c:pt>
                <c:pt idx="7">
                  <c:v>29.822025620101655</c:v>
                </c:pt>
                <c:pt idx="8">
                  <c:v>9.8043370354728054</c:v>
                </c:pt>
                <c:pt idx="9">
                  <c:v>9.2101982254801253</c:v>
                </c:pt>
                <c:pt idx="10">
                  <c:v>31.242577098288798</c:v>
                </c:pt>
              </c:numCache>
            </c:numRef>
          </c:val>
          <c:smooth val="0"/>
          <c:extLst>
            <c:ext xmlns:c16="http://schemas.microsoft.com/office/drawing/2014/chart" uri="{C3380CC4-5D6E-409C-BE32-E72D297353CC}">
              <c16:uniqueId val="{00000001-4955-489C-84C2-81946CE32205}"/>
            </c:ext>
          </c:extLst>
        </c:ser>
        <c:ser>
          <c:idx val="2"/>
          <c:order val="2"/>
          <c:spPr>
            <a:ln w="31750" cap="rnd">
              <a:solidFill>
                <a:schemeClr val="accent3"/>
              </a:solidFill>
              <a:round/>
            </a:ln>
            <a:effectLst/>
          </c:spPr>
          <c:marker>
            <c:symbol val="none"/>
          </c:marker>
          <c:cat>
            <c:strRef>
              <c:f>Utilitarianism!$B$4:$B$14</c:f>
              <c:strCache>
                <c:ptCount val="11"/>
                <c:pt idx="0">
                  <c:v>Burundi</c:v>
                </c:pt>
                <c:pt idx="1">
                  <c:v>Congo</c:v>
                </c:pt>
                <c:pt idx="2">
                  <c:v>Egypt</c:v>
                </c:pt>
                <c:pt idx="3">
                  <c:v>Eritrea</c:v>
                </c:pt>
                <c:pt idx="4">
                  <c:v>Ethiopia</c:v>
                </c:pt>
                <c:pt idx="5">
                  <c:v>Kenya</c:v>
                </c:pt>
                <c:pt idx="6">
                  <c:v>Rwanda</c:v>
                </c:pt>
                <c:pt idx="7">
                  <c:v>Sudan</c:v>
                </c:pt>
                <c:pt idx="8">
                  <c:v>South Sudan</c:v>
                </c:pt>
                <c:pt idx="9">
                  <c:v>Tanzania</c:v>
                </c:pt>
                <c:pt idx="10">
                  <c:v>Uganda</c:v>
                </c:pt>
              </c:strCache>
            </c:strRef>
          </c:cat>
          <c:val>
            <c:numRef>
              <c:f>Utilitarianism!$F$4:$F$14</c:f>
              <c:numCache>
                <c:formatCode>_-* #,##0.0_-;\-* #,##0.0_-;_-* "-"??_-;_-@_-</c:formatCode>
                <c:ptCount val="11"/>
                <c:pt idx="0">
                  <c:v>4.8252078498866728</c:v>
                </c:pt>
                <c:pt idx="1">
                  <c:v>3.0144292908057531</c:v>
                </c:pt>
                <c:pt idx="2">
                  <c:v>71.985630555915122</c:v>
                </c:pt>
                <c:pt idx="3">
                  <c:v>1.1534014149577714</c:v>
                </c:pt>
                <c:pt idx="4">
                  <c:v>31.578450691945829</c:v>
                </c:pt>
                <c:pt idx="5">
                  <c:v>16.484698612131034</c:v>
                </c:pt>
                <c:pt idx="6">
                  <c:v>9.3198591220623097</c:v>
                </c:pt>
                <c:pt idx="7">
                  <c:v>30.543718640108114</c:v>
                </c:pt>
                <c:pt idx="8">
                  <c:v>9.9210086461949327</c:v>
                </c:pt>
                <c:pt idx="9">
                  <c:v>9.4846621325994338</c:v>
                </c:pt>
                <c:pt idx="10">
                  <c:v>32.279830657951983</c:v>
                </c:pt>
              </c:numCache>
            </c:numRef>
          </c:val>
          <c:smooth val="0"/>
          <c:extLst>
            <c:ext xmlns:c16="http://schemas.microsoft.com/office/drawing/2014/chart" uri="{C3380CC4-5D6E-409C-BE32-E72D297353CC}">
              <c16:uniqueId val="{00000002-4955-489C-84C2-81946CE32205}"/>
            </c:ext>
          </c:extLst>
        </c:ser>
        <c:ser>
          <c:idx val="3"/>
          <c:order val="3"/>
          <c:spPr>
            <a:ln w="31750" cap="rnd">
              <a:solidFill>
                <a:schemeClr val="accent4"/>
              </a:solidFill>
              <a:round/>
            </a:ln>
            <a:effectLst/>
          </c:spPr>
          <c:marker>
            <c:symbol val="none"/>
          </c:marker>
          <c:cat>
            <c:strRef>
              <c:f>Utilitarianism!$B$4:$B$14</c:f>
              <c:strCache>
                <c:ptCount val="11"/>
                <c:pt idx="0">
                  <c:v>Burundi</c:v>
                </c:pt>
                <c:pt idx="1">
                  <c:v>Congo</c:v>
                </c:pt>
                <c:pt idx="2">
                  <c:v>Egypt</c:v>
                </c:pt>
                <c:pt idx="3">
                  <c:v>Eritrea</c:v>
                </c:pt>
                <c:pt idx="4">
                  <c:v>Ethiopia</c:v>
                </c:pt>
                <c:pt idx="5">
                  <c:v>Kenya</c:v>
                </c:pt>
                <c:pt idx="6">
                  <c:v>Rwanda</c:v>
                </c:pt>
                <c:pt idx="7">
                  <c:v>Sudan</c:v>
                </c:pt>
                <c:pt idx="8">
                  <c:v>South Sudan</c:v>
                </c:pt>
                <c:pt idx="9">
                  <c:v>Tanzania</c:v>
                </c:pt>
                <c:pt idx="10">
                  <c:v>Uganda</c:v>
                </c:pt>
              </c:strCache>
            </c:strRef>
          </c:cat>
          <c:val>
            <c:numRef>
              <c:f>Utilitarianism!$G$4:$G$14</c:f>
              <c:numCache>
                <c:formatCode>_-* #,##0.0_-;\-* #,##0.0_-;_-* "-"??_-;_-@_-</c:formatCode>
                <c:ptCount val="11"/>
                <c:pt idx="0">
                  <c:v>4.9757543348031366</c:v>
                </c:pt>
                <c:pt idx="1">
                  <c:v>3.1105895851824568</c:v>
                </c:pt>
                <c:pt idx="2">
                  <c:v>73.382151788699886</c:v>
                </c:pt>
                <c:pt idx="3">
                  <c:v>1.1696643749086759</c:v>
                </c:pt>
                <c:pt idx="4">
                  <c:v>32.446858085974341</c:v>
                </c:pt>
                <c:pt idx="5">
                  <c:v>16.86054974048762</c:v>
                </c:pt>
                <c:pt idx="6">
                  <c:v>9.5603114874115178</c:v>
                </c:pt>
                <c:pt idx="7">
                  <c:v>31.282876631198732</c:v>
                </c:pt>
                <c:pt idx="8">
                  <c:v>10.039068649084653</c:v>
                </c:pt>
                <c:pt idx="9">
                  <c:v>9.7673050641508965</c:v>
                </c:pt>
                <c:pt idx="10">
                  <c:v>33.351521035795983</c:v>
                </c:pt>
              </c:numCache>
            </c:numRef>
          </c:val>
          <c:smooth val="0"/>
          <c:extLst>
            <c:ext xmlns:c16="http://schemas.microsoft.com/office/drawing/2014/chart" uri="{C3380CC4-5D6E-409C-BE32-E72D297353CC}">
              <c16:uniqueId val="{00000003-4955-489C-84C2-81946CE32205}"/>
            </c:ext>
          </c:extLst>
        </c:ser>
        <c:ser>
          <c:idx val="4"/>
          <c:order val="4"/>
          <c:spPr>
            <a:ln w="31750" cap="rnd">
              <a:solidFill>
                <a:schemeClr val="accent5"/>
              </a:solidFill>
              <a:round/>
            </a:ln>
            <a:effectLst/>
          </c:spPr>
          <c:marker>
            <c:symbol val="none"/>
          </c:marker>
          <c:cat>
            <c:strRef>
              <c:f>Utilitarianism!$B$4:$B$14</c:f>
              <c:strCache>
                <c:ptCount val="11"/>
                <c:pt idx="0">
                  <c:v>Burundi</c:v>
                </c:pt>
                <c:pt idx="1">
                  <c:v>Congo</c:v>
                </c:pt>
                <c:pt idx="2">
                  <c:v>Egypt</c:v>
                </c:pt>
                <c:pt idx="3">
                  <c:v>Eritrea</c:v>
                </c:pt>
                <c:pt idx="4">
                  <c:v>Ethiopia</c:v>
                </c:pt>
                <c:pt idx="5">
                  <c:v>Kenya</c:v>
                </c:pt>
                <c:pt idx="6">
                  <c:v>Rwanda</c:v>
                </c:pt>
                <c:pt idx="7">
                  <c:v>Sudan</c:v>
                </c:pt>
                <c:pt idx="8">
                  <c:v>South Sudan</c:v>
                </c:pt>
                <c:pt idx="9">
                  <c:v>Tanzania</c:v>
                </c:pt>
                <c:pt idx="10">
                  <c:v>Uganda</c:v>
                </c:pt>
              </c:strCache>
            </c:strRef>
          </c:cat>
          <c:val>
            <c:numRef>
              <c:f>Utilitarianism!$H$4:$H$14</c:f>
              <c:numCache>
                <c:formatCode>_-* #,##0.0_-;\-* #,##0.0_-;_-* "-"??_-;_-@_-</c:formatCode>
                <c:ptCount val="11"/>
                <c:pt idx="0">
                  <c:v>5.1309978700489935</c:v>
                </c:pt>
                <c:pt idx="1">
                  <c:v>3.2098173929497773</c:v>
                </c:pt>
                <c:pt idx="2">
                  <c:v>74.805765533400674</c:v>
                </c:pt>
                <c:pt idx="3">
                  <c:v>1.1861566425948882</c:v>
                </c:pt>
                <c:pt idx="4">
                  <c:v>33.33914668333864</c:v>
                </c:pt>
                <c:pt idx="5">
                  <c:v>17.244970274570736</c:v>
                </c:pt>
                <c:pt idx="6">
                  <c:v>9.8069675237867351</c:v>
                </c:pt>
                <c:pt idx="7">
                  <c:v>32.039922245673743</c:v>
                </c:pt>
                <c:pt idx="8">
                  <c:v>10.15853356600876</c:v>
                </c:pt>
                <c:pt idx="9">
                  <c:v>10.058370755062594</c:v>
                </c:pt>
                <c:pt idx="10">
                  <c:v>34.458791534184407</c:v>
                </c:pt>
              </c:numCache>
            </c:numRef>
          </c:val>
          <c:smooth val="0"/>
          <c:extLst>
            <c:ext xmlns:c16="http://schemas.microsoft.com/office/drawing/2014/chart" uri="{C3380CC4-5D6E-409C-BE32-E72D297353CC}">
              <c16:uniqueId val="{00000004-4955-489C-84C2-81946CE32205}"/>
            </c:ext>
          </c:extLst>
        </c:ser>
        <c:ser>
          <c:idx val="5"/>
          <c:order val="5"/>
          <c:spPr>
            <a:ln w="31750" cap="rnd">
              <a:solidFill>
                <a:schemeClr val="accent6"/>
              </a:solidFill>
              <a:round/>
            </a:ln>
            <a:effectLst/>
          </c:spPr>
          <c:marker>
            <c:symbol val="none"/>
          </c:marker>
          <c:cat>
            <c:strRef>
              <c:f>Utilitarianism!$B$4:$B$14</c:f>
              <c:strCache>
                <c:ptCount val="11"/>
                <c:pt idx="0">
                  <c:v>Burundi</c:v>
                </c:pt>
                <c:pt idx="1">
                  <c:v>Congo</c:v>
                </c:pt>
                <c:pt idx="2">
                  <c:v>Egypt</c:v>
                </c:pt>
                <c:pt idx="3">
                  <c:v>Eritrea</c:v>
                </c:pt>
                <c:pt idx="4">
                  <c:v>Ethiopia</c:v>
                </c:pt>
                <c:pt idx="5">
                  <c:v>Kenya</c:v>
                </c:pt>
                <c:pt idx="6">
                  <c:v>Rwanda</c:v>
                </c:pt>
                <c:pt idx="7">
                  <c:v>Sudan</c:v>
                </c:pt>
                <c:pt idx="8">
                  <c:v>South Sudan</c:v>
                </c:pt>
                <c:pt idx="9">
                  <c:v>Tanzania</c:v>
                </c:pt>
                <c:pt idx="10">
                  <c:v>Uganda</c:v>
                </c:pt>
              </c:strCache>
            </c:strRef>
          </c:cat>
          <c:val>
            <c:numRef>
              <c:f>Utilitarianism!$I$4:$I$14</c:f>
              <c:numCache>
                <c:formatCode>_-* #,##0.0_-;\-* #,##0.0_-;_-* "-"??_-;_-@_-</c:formatCode>
                <c:ptCount val="11"/>
                <c:pt idx="0">
                  <c:v>5.2910850035945218</c:v>
                </c:pt>
                <c:pt idx="1">
                  <c:v>3.3122105677848754</c:v>
                </c:pt>
                <c:pt idx="2">
                  <c:v>76.256997384748658</c:v>
                </c:pt>
                <c:pt idx="3">
                  <c:v>1.2028814512554762</c:v>
                </c:pt>
                <c:pt idx="4">
                  <c:v>34.255973217130453</c:v>
                </c:pt>
                <c:pt idx="5">
                  <c:v>17.638155596830948</c:v>
                </c:pt>
                <c:pt idx="6">
                  <c:v>10.059987285900434</c:v>
                </c:pt>
                <c:pt idx="7">
                  <c:v>32.815288364019047</c:v>
                </c:pt>
                <c:pt idx="8">
                  <c:v>10.279420115444264</c:v>
                </c:pt>
                <c:pt idx="9">
                  <c:v>10.358110203563459</c:v>
                </c:pt>
                <c:pt idx="10">
                  <c:v>35.602823413119324</c:v>
                </c:pt>
              </c:numCache>
            </c:numRef>
          </c:val>
          <c:smooth val="0"/>
          <c:extLst>
            <c:ext xmlns:c16="http://schemas.microsoft.com/office/drawing/2014/chart" uri="{C3380CC4-5D6E-409C-BE32-E72D297353CC}">
              <c16:uniqueId val="{00000005-4955-489C-84C2-81946CE32205}"/>
            </c:ext>
          </c:extLst>
        </c:ser>
        <c:ser>
          <c:idx val="6"/>
          <c:order val="6"/>
          <c:spPr>
            <a:ln w="31750" cap="rnd">
              <a:solidFill>
                <a:schemeClr val="accent1">
                  <a:lumMod val="60000"/>
                </a:schemeClr>
              </a:solidFill>
              <a:round/>
            </a:ln>
            <a:effectLst/>
          </c:spPr>
          <c:marker>
            <c:symbol val="none"/>
          </c:marker>
          <c:cat>
            <c:strRef>
              <c:f>Utilitarianism!$B$4:$B$14</c:f>
              <c:strCache>
                <c:ptCount val="11"/>
                <c:pt idx="0">
                  <c:v>Burundi</c:v>
                </c:pt>
                <c:pt idx="1">
                  <c:v>Congo</c:v>
                </c:pt>
                <c:pt idx="2">
                  <c:v>Egypt</c:v>
                </c:pt>
                <c:pt idx="3">
                  <c:v>Eritrea</c:v>
                </c:pt>
                <c:pt idx="4">
                  <c:v>Ethiopia</c:v>
                </c:pt>
                <c:pt idx="5">
                  <c:v>Kenya</c:v>
                </c:pt>
                <c:pt idx="6">
                  <c:v>Rwanda</c:v>
                </c:pt>
                <c:pt idx="7">
                  <c:v>Sudan</c:v>
                </c:pt>
                <c:pt idx="8">
                  <c:v>South Sudan</c:v>
                </c:pt>
                <c:pt idx="9">
                  <c:v>Tanzania</c:v>
                </c:pt>
                <c:pt idx="10">
                  <c:v>Uganda</c:v>
                </c:pt>
              </c:strCache>
            </c:strRef>
          </c:cat>
          <c:val>
            <c:numRef>
              <c:f>Utilitarianism!$J$4:$J$14</c:f>
              <c:numCache>
                <c:formatCode>_-* #,##0.0_-;\-* #,##0.0_-;_-* "-"??_-;_-@_-</c:formatCode>
                <c:ptCount val="11"/>
                <c:pt idx="0">
                  <c:v>5.4561668557066705</c:v>
                </c:pt>
                <c:pt idx="1">
                  <c:v>3.417870084897213</c:v>
                </c:pt>
                <c:pt idx="2">
                  <c:v>77.736383134012783</c:v>
                </c:pt>
                <c:pt idx="3">
                  <c:v>1.2198420797181784</c:v>
                </c:pt>
                <c:pt idx="4">
                  <c:v>35.198012480601541</c:v>
                </c:pt>
                <c:pt idx="5">
                  <c:v>18.040305544438691</c:v>
                </c:pt>
                <c:pt idx="6">
                  <c:v>10.319534957876666</c:v>
                </c:pt>
                <c:pt idx="7">
                  <c:v>33.609418342428306</c:v>
                </c:pt>
                <c:pt idx="8">
                  <c:v>10.401745214818051</c:v>
                </c:pt>
                <c:pt idx="9">
                  <c:v>10.66678188762965</c:v>
                </c:pt>
                <c:pt idx="10">
                  <c:v>36.784837150434882</c:v>
                </c:pt>
              </c:numCache>
            </c:numRef>
          </c:val>
          <c:smooth val="0"/>
          <c:extLst>
            <c:ext xmlns:c16="http://schemas.microsoft.com/office/drawing/2014/chart" uri="{C3380CC4-5D6E-409C-BE32-E72D297353CC}">
              <c16:uniqueId val="{00000006-4955-489C-84C2-81946CE32205}"/>
            </c:ext>
          </c:extLst>
        </c:ser>
        <c:ser>
          <c:idx val="7"/>
          <c:order val="7"/>
          <c:spPr>
            <a:ln w="31750" cap="rnd">
              <a:solidFill>
                <a:schemeClr val="accent2">
                  <a:lumMod val="60000"/>
                </a:schemeClr>
              </a:solidFill>
              <a:round/>
            </a:ln>
            <a:effectLst/>
          </c:spPr>
          <c:marker>
            <c:symbol val="none"/>
          </c:marker>
          <c:cat>
            <c:strRef>
              <c:f>Utilitarianism!$B$4:$B$14</c:f>
              <c:strCache>
                <c:ptCount val="11"/>
                <c:pt idx="0">
                  <c:v>Burundi</c:v>
                </c:pt>
                <c:pt idx="1">
                  <c:v>Congo</c:v>
                </c:pt>
                <c:pt idx="2">
                  <c:v>Egypt</c:v>
                </c:pt>
                <c:pt idx="3">
                  <c:v>Eritrea</c:v>
                </c:pt>
                <c:pt idx="4">
                  <c:v>Ethiopia</c:v>
                </c:pt>
                <c:pt idx="5">
                  <c:v>Kenya</c:v>
                </c:pt>
                <c:pt idx="6">
                  <c:v>Rwanda</c:v>
                </c:pt>
                <c:pt idx="7">
                  <c:v>Sudan</c:v>
                </c:pt>
                <c:pt idx="8">
                  <c:v>South Sudan</c:v>
                </c:pt>
                <c:pt idx="9">
                  <c:v>Tanzania</c:v>
                </c:pt>
                <c:pt idx="10">
                  <c:v>Uganda</c:v>
                </c:pt>
              </c:strCache>
            </c:strRef>
          </c:cat>
          <c:val>
            <c:numRef>
              <c:f>Utilitarianism!$K$4:$K$14</c:f>
              <c:numCache>
                <c:formatCode>_-* #,##0.0_-;\-* #,##0.0_-;_-* "-"??_-;_-@_-</c:formatCode>
                <c:ptCount val="11"/>
                <c:pt idx="0">
                  <c:v>5.6263992616047176</c:v>
                </c:pt>
                <c:pt idx="1">
                  <c:v>3.5269001406054343</c:v>
                </c:pt>
                <c:pt idx="2">
                  <c:v>79.244468966812633</c:v>
                </c:pt>
                <c:pt idx="3">
                  <c:v>1.2370418530422047</c:v>
                </c:pt>
                <c:pt idx="4">
                  <c:v>36.16595782381809</c:v>
                </c:pt>
                <c:pt idx="5">
                  <c:v>18.451624510851893</c:v>
                </c:pt>
                <c:pt idx="6">
                  <c:v>10.585778959789884</c:v>
                </c:pt>
                <c:pt idx="7">
                  <c:v>34.422766266315072</c:v>
                </c:pt>
                <c:pt idx="8">
                  <c:v>10.525525982874386</c:v>
                </c:pt>
                <c:pt idx="9">
                  <c:v>10.984651987881014</c:v>
                </c:pt>
                <c:pt idx="10">
                  <c:v>38.006093743829318</c:v>
                </c:pt>
              </c:numCache>
            </c:numRef>
          </c:val>
          <c:smooth val="0"/>
          <c:extLst>
            <c:ext xmlns:c16="http://schemas.microsoft.com/office/drawing/2014/chart" uri="{C3380CC4-5D6E-409C-BE32-E72D297353CC}">
              <c16:uniqueId val="{00000007-4955-489C-84C2-81946CE32205}"/>
            </c:ext>
          </c:extLst>
        </c:ser>
        <c:ser>
          <c:idx val="8"/>
          <c:order val="8"/>
          <c:spPr>
            <a:ln w="31750" cap="rnd">
              <a:solidFill>
                <a:schemeClr val="accent3">
                  <a:lumMod val="60000"/>
                </a:schemeClr>
              </a:solidFill>
              <a:round/>
            </a:ln>
            <a:effectLst/>
          </c:spPr>
          <c:marker>
            <c:symbol val="none"/>
          </c:marker>
          <c:cat>
            <c:strRef>
              <c:f>Utilitarianism!$B$4:$B$14</c:f>
              <c:strCache>
                <c:ptCount val="11"/>
                <c:pt idx="0">
                  <c:v>Burundi</c:v>
                </c:pt>
                <c:pt idx="1">
                  <c:v>Congo</c:v>
                </c:pt>
                <c:pt idx="2">
                  <c:v>Egypt</c:v>
                </c:pt>
                <c:pt idx="3">
                  <c:v>Eritrea</c:v>
                </c:pt>
                <c:pt idx="4">
                  <c:v>Ethiopia</c:v>
                </c:pt>
                <c:pt idx="5">
                  <c:v>Kenya</c:v>
                </c:pt>
                <c:pt idx="6">
                  <c:v>Rwanda</c:v>
                </c:pt>
                <c:pt idx="7">
                  <c:v>Sudan</c:v>
                </c:pt>
                <c:pt idx="8">
                  <c:v>South Sudan</c:v>
                </c:pt>
                <c:pt idx="9">
                  <c:v>Tanzania</c:v>
                </c:pt>
                <c:pt idx="10">
                  <c:v>Uganda</c:v>
                </c:pt>
              </c:strCache>
            </c:strRef>
          </c:cat>
          <c:val>
            <c:numRef>
              <c:f>Utilitarianism!$L$4:$L$14</c:f>
              <c:numCache>
                <c:formatCode>_-* #,##0.0_-;\-* #,##0.0_-;_-* "-"??_-;_-@_-</c:formatCode>
                <c:ptCount val="11"/>
                <c:pt idx="0">
                  <c:v>5.8019429185667839</c:v>
                </c:pt>
                <c:pt idx="1">
                  <c:v>3.6394082550907476</c:v>
                </c:pt>
                <c:pt idx="2">
                  <c:v>80.78181166476881</c:v>
                </c:pt>
                <c:pt idx="3">
                  <c:v>1.2544841431700997</c:v>
                </c:pt>
                <c:pt idx="4">
                  <c:v>37.160521663973093</c:v>
                </c:pt>
                <c:pt idx="5">
                  <c:v>18.872321549699315</c:v>
                </c:pt>
                <c:pt idx="6">
                  <c:v>10.858892056952463</c:v>
                </c:pt>
                <c:pt idx="7">
                  <c:v>35.255797209959894</c:v>
                </c:pt>
                <c:pt idx="8">
                  <c:v>10.650779742070592</c:v>
                </c:pt>
                <c:pt idx="9">
                  <c:v>11.311994617119868</c:v>
                </c:pt>
                <c:pt idx="10">
                  <c:v>39.267896056124449</c:v>
                </c:pt>
              </c:numCache>
            </c:numRef>
          </c:val>
          <c:smooth val="0"/>
          <c:extLst>
            <c:ext xmlns:c16="http://schemas.microsoft.com/office/drawing/2014/chart" uri="{C3380CC4-5D6E-409C-BE32-E72D297353CC}">
              <c16:uniqueId val="{00000008-4955-489C-84C2-81946CE32205}"/>
            </c:ext>
          </c:extLst>
        </c:ser>
        <c:dLbls>
          <c:showLegendKey val="0"/>
          <c:showVal val="0"/>
          <c:showCatName val="0"/>
          <c:showSerName val="0"/>
          <c:showPercent val="0"/>
          <c:showBubbleSize val="0"/>
        </c:dLbls>
        <c:smooth val="0"/>
        <c:axId val="904870815"/>
        <c:axId val="1079640351"/>
      </c:lineChart>
      <c:catAx>
        <c:axId val="904870815"/>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79640351"/>
        <c:crosses val="autoZero"/>
        <c:auto val="1"/>
        <c:lblAlgn val="ctr"/>
        <c:lblOffset val="100"/>
        <c:noMultiLvlLbl val="0"/>
      </c:catAx>
      <c:valAx>
        <c:axId val="1079640351"/>
        <c:scaling>
          <c:orientation val="minMax"/>
        </c:scaling>
        <c:delete val="0"/>
        <c:axPos val="l"/>
        <c:majorGridlines>
          <c:spPr>
            <a:ln w="9525" cap="flat" cmpd="sng" algn="ctr">
              <a:solidFill>
                <a:schemeClr val="tx2">
                  <a:lumMod val="15000"/>
                  <a:lumOff val="85000"/>
                </a:schemeClr>
              </a:solidFill>
              <a:round/>
            </a:ln>
            <a:effectLst/>
          </c:spPr>
        </c:majorGridlines>
        <c:numFmt formatCode="_-* #,##0.0_-;\-* #,##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4870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Utilitarianism!$B$21:$B$31</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Utilitarianism!$D$21:$D$31</c:f>
              <c:numCache>
                <c:formatCode>_-* #,##0_-;\-* #,##0_-;_-* "-"??_-;_-@_-</c:formatCode>
                <c:ptCount val="11"/>
                <c:pt idx="0">
                  <c:v>1.2332552620142447</c:v>
                </c:pt>
                <c:pt idx="1">
                  <c:v>2.4187231998381997</c:v>
                </c:pt>
                <c:pt idx="2">
                  <c:v>56.5</c:v>
                </c:pt>
                <c:pt idx="3">
                  <c:v>3.502514612375089</c:v>
                </c:pt>
                <c:pt idx="4">
                  <c:v>103.97256102695296</c:v>
                </c:pt>
                <c:pt idx="5">
                  <c:v>17.520230893648204</c:v>
                </c:pt>
                <c:pt idx="6">
                  <c:v>7.3584735717562477</c:v>
                </c:pt>
                <c:pt idx="7">
                  <c:v>33.799999999999997</c:v>
                </c:pt>
                <c:pt idx="8">
                  <c:v>23.5</c:v>
                </c:pt>
                <c:pt idx="9">
                  <c:v>23.742632694444477</c:v>
                </c:pt>
                <c:pt idx="10">
                  <c:v>21.1</c:v>
                </c:pt>
              </c:numCache>
            </c:numRef>
          </c:val>
          <c:smooth val="0"/>
          <c:extLst>
            <c:ext xmlns:c16="http://schemas.microsoft.com/office/drawing/2014/chart" uri="{C3380CC4-5D6E-409C-BE32-E72D297353CC}">
              <c16:uniqueId val="{00000000-72C0-4F99-A8A7-7D20BAF6DAE9}"/>
            </c:ext>
          </c:extLst>
        </c:ser>
        <c:ser>
          <c:idx val="1"/>
          <c:order val="1"/>
          <c:spPr>
            <a:ln w="28575" cap="rnd">
              <a:solidFill>
                <a:schemeClr val="accent2"/>
              </a:solidFill>
              <a:round/>
            </a:ln>
            <a:effectLst/>
          </c:spPr>
          <c:marker>
            <c:symbol val="none"/>
          </c:marker>
          <c:cat>
            <c:strRef>
              <c:f>Utilitarianism!$B$21:$B$31</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Utilitarianism!$E$21:$E$31</c:f>
              <c:numCache>
                <c:formatCode>_-* #,##0_-;\-* #,##0_-;_-* "-"??_-;_-@_-</c:formatCode>
                <c:ptCount val="11"/>
                <c:pt idx="0">
                  <c:v>1.2659744256775787</c:v>
                </c:pt>
                <c:pt idx="1">
                  <c:v>3.8418556888470429E-2</c:v>
                </c:pt>
                <c:pt idx="2">
                  <c:v>56.5</c:v>
                </c:pt>
                <c:pt idx="3">
                  <c:v>0</c:v>
                </c:pt>
                <c:pt idx="4">
                  <c:v>64.093575287693014</c:v>
                </c:pt>
                <c:pt idx="5">
                  <c:v>16.824037840124145</c:v>
                </c:pt>
                <c:pt idx="6">
                  <c:v>7.6439418147629619</c:v>
                </c:pt>
                <c:pt idx="7">
                  <c:v>33.799999999999997</c:v>
                </c:pt>
                <c:pt idx="8">
                  <c:v>23.5</c:v>
                </c:pt>
                <c:pt idx="9">
                  <c:v>41.495772011888072</c:v>
                </c:pt>
                <c:pt idx="10">
                  <c:v>44.910297901754674</c:v>
                </c:pt>
              </c:numCache>
            </c:numRef>
          </c:val>
          <c:smooth val="0"/>
          <c:extLst>
            <c:ext xmlns:c16="http://schemas.microsoft.com/office/drawing/2014/chart" uri="{C3380CC4-5D6E-409C-BE32-E72D297353CC}">
              <c16:uniqueId val="{00000001-72C0-4F99-A8A7-7D20BAF6DAE9}"/>
            </c:ext>
          </c:extLst>
        </c:ser>
        <c:ser>
          <c:idx val="2"/>
          <c:order val="2"/>
          <c:spPr>
            <a:ln w="28575" cap="rnd">
              <a:solidFill>
                <a:schemeClr val="accent3"/>
              </a:solidFill>
              <a:round/>
            </a:ln>
            <a:effectLst/>
          </c:spPr>
          <c:marker>
            <c:symbol val="none"/>
          </c:marker>
          <c:cat>
            <c:strRef>
              <c:f>Utilitarianism!$B$21:$B$31</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Utilitarianism!$F$21:$F$31</c:f>
              <c:numCache>
                <c:formatCode>_-* #,##0_-;\-* #,##0_-;_-* "-"??_-;_-@_-</c:formatCode>
                <c:ptCount val="11"/>
                <c:pt idx="0">
                  <c:v>0.7693067514792219</c:v>
                </c:pt>
                <c:pt idx="1">
                  <c:v>2.4789683273851866</c:v>
                </c:pt>
                <c:pt idx="2">
                  <c:v>56.5</c:v>
                </c:pt>
                <c:pt idx="3">
                  <c:v>2.9981638556920855</c:v>
                </c:pt>
                <c:pt idx="4">
                  <c:v>108.47973776175608</c:v>
                </c:pt>
                <c:pt idx="5">
                  <c:v>25.321354259396958</c:v>
                </c:pt>
                <c:pt idx="6">
                  <c:v>7.3310475475487973</c:v>
                </c:pt>
                <c:pt idx="7">
                  <c:v>33.799999999999997</c:v>
                </c:pt>
                <c:pt idx="8">
                  <c:v>23.5</c:v>
                </c:pt>
                <c:pt idx="9">
                  <c:v>26.214891117774812</c:v>
                </c:pt>
                <c:pt idx="10">
                  <c:v>69.122346099497079</c:v>
                </c:pt>
              </c:numCache>
            </c:numRef>
          </c:val>
          <c:smooth val="0"/>
          <c:extLst>
            <c:ext xmlns:c16="http://schemas.microsoft.com/office/drawing/2014/chart" uri="{C3380CC4-5D6E-409C-BE32-E72D297353CC}">
              <c16:uniqueId val="{00000002-72C0-4F99-A8A7-7D20BAF6DAE9}"/>
            </c:ext>
          </c:extLst>
        </c:ser>
        <c:ser>
          <c:idx val="3"/>
          <c:order val="3"/>
          <c:spPr>
            <a:ln w="28575" cap="rnd">
              <a:solidFill>
                <a:schemeClr val="accent4"/>
              </a:solidFill>
              <a:round/>
            </a:ln>
            <a:effectLst/>
          </c:spPr>
          <c:marker>
            <c:symbol val="none"/>
          </c:marker>
          <c:cat>
            <c:strRef>
              <c:f>Utilitarianism!$B$21:$B$31</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Utilitarianism!$G$21:$G$31</c:f>
              <c:numCache>
                <c:formatCode>_-* #,##0_-;\-* #,##0_-;_-* "-"??_-;_-@_-</c:formatCode>
                <c:ptCount val="11"/>
                <c:pt idx="0">
                  <c:v>2.8482081257467033</c:v>
                </c:pt>
                <c:pt idx="1">
                  <c:v>4.4267135247947871E-3</c:v>
                </c:pt>
                <c:pt idx="2">
                  <c:v>56.5</c:v>
                </c:pt>
                <c:pt idx="3">
                  <c:v>0.45743447564730311</c:v>
                </c:pt>
                <c:pt idx="4">
                  <c:v>92.838566818258556</c:v>
                </c:pt>
                <c:pt idx="5">
                  <c:v>15.369887542025644</c:v>
                </c:pt>
                <c:pt idx="6">
                  <c:v>5.7083911264401186</c:v>
                </c:pt>
                <c:pt idx="7">
                  <c:v>33.799999999999997</c:v>
                </c:pt>
                <c:pt idx="8">
                  <c:v>23.5</c:v>
                </c:pt>
                <c:pt idx="9">
                  <c:v>24.613443607903758</c:v>
                </c:pt>
                <c:pt idx="10">
                  <c:v>21.1</c:v>
                </c:pt>
              </c:numCache>
            </c:numRef>
          </c:val>
          <c:smooth val="0"/>
          <c:extLst>
            <c:ext xmlns:c16="http://schemas.microsoft.com/office/drawing/2014/chart" uri="{C3380CC4-5D6E-409C-BE32-E72D297353CC}">
              <c16:uniqueId val="{00000003-72C0-4F99-A8A7-7D20BAF6DAE9}"/>
            </c:ext>
          </c:extLst>
        </c:ser>
        <c:ser>
          <c:idx val="4"/>
          <c:order val="4"/>
          <c:spPr>
            <a:ln w="28575" cap="rnd">
              <a:solidFill>
                <a:schemeClr val="accent5"/>
              </a:solidFill>
              <a:round/>
            </a:ln>
            <a:effectLst/>
          </c:spPr>
          <c:marker>
            <c:symbol val="none"/>
          </c:marker>
          <c:cat>
            <c:strRef>
              <c:f>Utilitarianism!$B$21:$B$31</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Utilitarianism!$H$21:$H$31</c:f>
              <c:numCache>
                <c:formatCode>_-* #,##0_-;\-* #,##0_-;_-* "-"??_-;_-@_-</c:formatCode>
                <c:ptCount val="11"/>
                <c:pt idx="0">
                  <c:v>1.522812179266253</c:v>
                </c:pt>
                <c:pt idx="1">
                  <c:v>0</c:v>
                </c:pt>
                <c:pt idx="2">
                  <c:v>56.5</c:v>
                </c:pt>
                <c:pt idx="3">
                  <c:v>2.4776537634861127</c:v>
                </c:pt>
                <c:pt idx="4">
                  <c:v>107.82811573630022</c:v>
                </c:pt>
                <c:pt idx="5">
                  <c:v>13.574455320634533</c:v>
                </c:pt>
                <c:pt idx="6">
                  <c:v>4.077002875061857</c:v>
                </c:pt>
                <c:pt idx="7">
                  <c:v>33.799999999999997</c:v>
                </c:pt>
                <c:pt idx="8">
                  <c:v>23.5</c:v>
                </c:pt>
                <c:pt idx="9">
                  <c:v>15.372343482549196</c:v>
                </c:pt>
                <c:pt idx="10">
                  <c:v>38.927918102531734</c:v>
                </c:pt>
              </c:numCache>
            </c:numRef>
          </c:val>
          <c:smooth val="0"/>
          <c:extLst>
            <c:ext xmlns:c16="http://schemas.microsoft.com/office/drawing/2014/chart" uri="{C3380CC4-5D6E-409C-BE32-E72D297353CC}">
              <c16:uniqueId val="{00000004-72C0-4F99-A8A7-7D20BAF6DAE9}"/>
            </c:ext>
          </c:extLst>
        </c:ser>
        <c:ser>
          <c:idx val="5"/>
          <c:order val="5"/>
          <c:spPr>
            <a:ln w="28575" cap="rnd">
              <a:solidFill>
                <a:schemeClr val="accent6"/>
              </a:solidFill>
              <a:round/>
            </a:ln>
            <a:effectLst/>
          </c:spPr>
          <c:marker>
            <c:symbol val="none"/>
          </c:marker>
          <c:cat>
            <c:strRef>
              <c:f>Utilitarianism!$B$21:$B$31</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Utilitarianism!$I$21:$I$31</c:f>
              <c:numCache>
                <c:formatCode>_-* #,##0_-;\-* #,##0_-;_-* "-"??_-;_-@_-</c:formatCode>
                <c:ptCount val="11"/>
                <c:pt idx="0">
                  <c:v>4.0079665040383814</c:v>
                </c:pt>
                <c:pt idx="1">
                  <c:v>0.55883956504878174</c:v>
                </c:pt>
                <c:pt idx="2">
                  <c:v>56.5</c:v>
                </c:pt>
                <c:pt idx="3">
                  <c:v>0.64927869200379018</c:v>
                </c:pt>
                <c:pt idx="4">
                  <c:v>59.803140686266872</c:v>
                </c:pt>
                <c:pt idx="5">
                  <c:v>21.776001224106345</c:v>
                </c:pt>
                <c:pt idx="6">
                  <c:v>5.8728694745348005</c:v>
                </c:pt>
                <c:pt idx="7">
                  <c:v>33.799999999999997</c:v>
                </c:pt>
                <c:pt idx="8">
                  <c:v>23.5</c:v>
                </c:pt>
                <c:pt idx="9">
                  <c:v>44.942843609111705</c:v>
                </c:pt>
                <c:pt idx="10">
                  <c:v>71.865197112775462</c:v>
                </c:pt>
              </c:numCache>
            </c:numRef>
          </c:val>
          <c:smooth val="0"/>
          <c:extLst>
            <c:ext xmlns:c16="http://schemas.microsoft.com/office/drawing/2014/chart" uri="{C3380CC4-5D6E-409C-BE32-E72D297353CC}">
              <c16:uniqueId val="{00000005-72C0-4F99-A8A7-7D20BAF6DAE9}"/>
            </c:ext>
          </c:extLst>
        </c:ser>
        <c:ser>
          <c:idx val="6"/>
          <c:order val="6"/>
          <c:spPr>
            <a:ln w="28575" cap="rnd">
              <a:solidFill>
                <a:schemeClr val="accent1">
                  <a:lumMod val="60000"/>
                </a:schemeClr>
              </a:solidFill>
              <a:round/>
            </a:ln>
            <a:effectLst/>
          </c:spPr>
          <c:marker>
            <c:symbol val="none"/>
          </c:marker>
          <c:cat>
            <c:strRef>
              <c:f>Utilitarianism!$B$21:$B$31</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Utilitarianism!$J$21:$J$31</c:f>
              <c:numCache>
                <c:formatCode>_-* #,##0_-;\-* #,##0_-;_-* "-"??_-;_-@_-</c:formatCode>
                <c:ptCount val="11"/>
                <c:pt idx="0">
                  <c:v>3.7154038785419865</c:v>
                </c:pt>
                <c:pt idx="1">
                  <c:v>0</c:v>
                </c:pt>
                <c:pt idx="2">
                  <c:v>56.5</c:v>
                </c:pt>
                <c:pt idx="3">
                  <c:v>1.7243620509396349</c:v>
                </c:pt>
                <c:pt idx="4">
                  <c:v>99.250775937174438</c:v>
                </c:pt>
                <c:pt idx="5">
                  <c:v>9.6132768537202793</c:v>
                </c:pt>
                <c:pt idx="6">
                  <c:v>7.1379012070421028</c:v>
                </c:pt>
                <c:pt idx="7">
                  <c:v>33.799999999999997</c:v>
                </c:pt>
                <c:pt idx="8">
                  <c:v>23.5</c:v>
                </c:pt>
                <c:pt idx="9">
                  <c:v>19.922849793244371</c:v>
                </c:pt>
                <c:pt idx="10">
                  <c:v>21.1</c:v>
                </c:pt>
              </c:numCache>
            </c:numRef>
          </c:val>
          <c:smooth val="0"/>
          <c:extLst>
            <c:ext xmlns:c16="http://schemas.microsoft.com/office/drawing/2014/chart" uri="{C3380CC4-5D6E-409C-BE32-E72D297353CC}">
              <c16:uniqueId val="{00000006-72C0-4F99-A8A7-7D20BAF6DAE9}"/>
            </c:ext>
          </c:extLst>
        </c:ser>
        <c:ser>
          <c:idx val="7"/>
          <c:order val="7"/>
          <c:spPr>
            <a:ln w="28575" cap="rnd">
              <a:solidFill>
                <a:schemeClr val="accent2">
                  <a:lumMod val="60000"/>
                </a:schemeClr>
              </a:solidFill>
              <a:round/>
            </a:ln>
            <a:effectLst/>
          </c:spPr>
          <c:marker>
            <c:symbol val="none"/>
          </c:marker>
          <c:cat>
            <c:strRef>
              <c:f>Utilitarianism!$B$21:$B$31</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Utilitarianism!$K$21:$K$31</c:f>
              <c:numCache>
                <c:formatCode>_-* #,##0_-;\-* #,##0_-;_-* "-"??_-;_-@_-</c:formatCode>
                <c:ptCount val="11"/>
                <c:pt idx="0">
                  <c:v>1.9832072109514134</c:v>
                </c:pt>
                <c:pt idx="1">
                  <c:v>0</c:v>
                </c:pt>
                <c:pt idx="2">
                  <c:v>56.5</c:v>
                </c:pt>
                <c:pt idx="3">
                  <c:v>3.2750912718752518</c:v>
                </c:pt>
                <c:pt idx="4">
                  <c:v>131.03557864571476</c:v>
                </c:pt>
                <c:pt idx="5">
                  <c:v>16.052819884560293</c:v>
                </c:pt>
                <c:pt idx="6">
                  <c:v>5.3386391808328861</c:v>
                </c:pt>
                <c:pt idx="7">
                  <c:v>33.799999999999997</c:v>
                </c:pt>
                <c:pt idx="8">
                  <c:v>23.5</c:v>
                </c:pt>
                <c:pt idx="9">
                  <c:v>27.835036451662162</c:v>
                </c:pt>
                <c:pt idx="10">
                  <c:v>43.351590870161743</c:v>
                </c:pt>
              </c:numCache>
            </c:numRef>
          </c:val>
          <c:smooth val="0"/>
          <c:extLst>
            <c:ext xmlns:c16="http://schemas.microsoft.com/office/drawing/2014/chart" uri="{C3380CC4-5D6E-409C-BE32-E72D297353CC}">
              <c16:uniqueId val="{00000007-72C0-4F99-A8A7-7D20BAF6DAE9}"/>
            </c:ext>
          </c:extLst>
        </c:ser>
        <c:ser>
          <c:idx val="8"/>
          <c:order val="8"/>
          <c:spPr>
            <a:ln w="28575" cap="rnd">
              <a:solidFill>
                <a:schemeClr val="accent3">
                  <a:lumMod val="60000"/>
                </a:schemeClr>
              </a:solidFill>
              <a:round/>
            </a:ln>
            <a:effectLst/>
          </c:spPr>
          <c:marker>
            <c:symbol val="none"/>
          </c:marker>
          <c:cat>
            <c:strRef>
              <c:f>Utilitarianism!$B$21:$B$31</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Utilitarianism!$L$21:$L$31</c:f>
              <c:numCache>
                <c:formatCode>_-* #,##0_-;\-* #,##0_-;_-* "-"??_-;_-@_-</c:formatCode>
                <c:ptCount val="11"/>
                <c:pt idx="0">
                  <c:v>7.1530660073489152</c:v>
                </c:pt>
                <c:pt idx="1">
                  <c:v>1.3224981196287995</c:v>
                </c:pt>
                <c:pt idx="2">
                  <c:v>56.5</c:v>
                </c:pt>
                <c:pt idx="3">
                  <c:v>1.9103503028842752</c:v>
                </c:pt>
                <c:pt idx="4">
                  <c:v>77.313145320001027</c:v>
                </c:pt>
                <c:pt idx="5">
                  <c:v>27.678981965070257</c:v>
                </c:pt>
                <c:pt idx="6">
                  <c:v>11.97256923586497</c:v>
                </c:pt>
                <c:pt idx="7">
                  <c:v>33.799999999999997</c:v>
                </c:pt>
                <c:pt idx="8">
                  <c:v>23.5</c:v>
                </c:pt>
                <c:pt idx="9">
                  <c:v>58.968413233176513</c:v>
                </c:pt>
                <c:pt idx="10">
                  <c:v>82.177225932354276</c:v>
                </c:pt>
              </c:numCache>
            </c:numRef>
          </c:val>
          <c:smooth val="0"/>
          <c:extLst>
            <c:ext xmlns:c16="http://schemas.microsoft.com/office/drawing/2014/chart" uri="{C3380CC4-5D6E-409C-BE32-E72D297353CC}">
              <c16:uniqueId val="{00000008-72C0-4F99-A8A7-7D20BAF6DAE9}"/>
            </c:ext>
          </c:extLst>
        </c:ser>
        <c:dLbls>
          <c:showLegendKey val="0"/>
          <c:showVal val="0"/>
          <c:showCatName val="0"/>
          <c:showSerName val="0"/>
          <c:showPercent val="0"/>
          <c:showBubbleSize val="0"/>
        </c:dLbls>
        <c:smooth val="0"/>
        <c:axId val="1296349951"/>
        <c:axId val="1067408703"/>
      </c:lineChart>
      <c:catAx>
        <c:axId val="129634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408703"/>
        <c:crosses val="autoZero"/>
        <c:auto val="1"/>
        <c:lblAlgn val="ctr"/>
        <c:lblOffset val="100"/>
        <c:noMultiLvlLbl val="0"/>
      </c:catAx>
      <c:valAx>
        <c:axId val="1067408703"/>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349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Utilitarianism!$B$37:$B$47</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Utilitarianism!$C$37:$C$47</c:f>
              <c:numCache>
                <c:formatCode>_-* #,##0.0_-;\-* #,##0.0_-;_-* "-"??_-;_-@_-</c:formatCode>
                <c:ptCount val="11"/>
                <c:pt idx="0">
                  <c:v>0.27178329538633011</c:v>
                </c:pt>
                <c:pt idx="1">
                  <c:v>0.85439027040997095</c:v>
                </c:pt>
                <c:pt idx="2">
                  <c:v>0.81562756187006102</c:v>
                </c:pt>
                <c:pt idx="3">
                  <c:v>3.1229213114031329</c:v>
                </c:pt>
                <c:pt idx="4">
                  <c:v>3.4760945748585788</c:v>
                </c:pt>
                <c:pt idx="5">
                  <c:v>1.1118347729899416</c:v>
                </c:pt>
                <c:pt idx="6">
                  <c:v>0.83081394267832875</c:v>
                </c:pt>
                <c:pt idx="7">
                  <c:v>1.16081853194659</c:v>
                </c:pt>
                <c:pt idx="8">
                  <c:v>2.42542151641294</c:v>
                </c:pt>
                <c:pt idx="9">
                  <c:v>2.6546837049714358</c:v>
                </c:pt>
                <c:pt idx="10">
                  <c:v>0.69778238624220423</c:v>
                </c:pt>
              </c:numCache>
            </c:numRef>
          </c:val>
          <c:smooth val="0"/>
          <c:extLst>
            <c:ext xmlns:c16="http://schemas.microsoft.com/office/drawing/2014/chart" uri="{C3380CC4-5D6E-409C-BE32-E72D297353CC}">
              <c16:uniqueId val="{00000000-BAF5-42D6-8D59-CF1C86EF4751}"/>
            </c:ext>
          </c:extLst>
        </c:ser>
        <c:ser>
          <c:idx val="1"/>
          <c:order val="1"/>
          <c:spPr>
            <a:ln w="28575" cap="rnd">
              <a:solidFill>
                <a:schemeClr val="accent2"/>
              </a:solidFill>
              <a:round/>
            </a:ln>
            <a:effectLst/>
          </c:spPr>
          <c:marker>
            <c:symbol val="none"/>
          </c:marker>
          <c:cat>
            <c:strRef>
              <c:f>Utilitarianism!$B$37:$B$47</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Utilitarianism!$D$37:$D$47</c:f>
              <c:numCache>
                <c:formatCode>_-* #,##0.0_-;\-* #,##0.0_-;_-* "-"??_-;_-@_-</c:formatCode>
                <c:ptCount val="11"/>
                <c:pt idx="0">
                  <c:v>0.27055266184841753</c:v>
                </c:pt>
                <c:pt idx="1">
                  <c:v>1.3151447597105792E-2</c:v>
                </c:pt>
                <c:pt idx="2">
                  <c:v>0.8001055148813625</c:v>
                </c:pt>
                <c:pt idx="3">
                  <c:v>0</c:v>
                </c:pt>
                <c:pt idx="4">
                  <c:v>2.0854775064978526</c:v>
                </c:pt>
                <c:pt idx="5">
                  <c:v>1.0438544439153981</c:v>
                </c:pt>
                <c:pt idx="6">
                  <c:v>0.84133841626661277</c:v>
                </c:pt>
                <c:pt idx="7">
                  <c:v>1.1333904822755223</c:v>
                </c:pt>
                <c:pt idx="8">
                  <c:v>2.3968984251536121</c:v>
                </c:pt>
                <c:pt idx="9">
                  <c:v>4.505415735471308</c:v>
                </c:pt>
                <c:pt idx="10">
                  <c:v>1.4374709794415288</c:v>
                </c:pt>
              </c:numCache>
            </c:numRef>
          </c:val>
          <c:smooth val="0"/>
          <c:extLst>
            <c:ext xmlns:c16="http://schemas.microsoft.com/office/drawing/2014/chart" uri="{C3380CC4-5D6E-409C-BE32-E72D297353CC}">
              <c16:uniqueId val="{00000001-BAF5-42D6-8D59-CF1C86EF4751}"/>
            </c:ext>
          </c:extLst>
        </c:ser>
        <c:ser>
          <c:idx val="2"/>
          <c:order val="2"/>
          <c:spPr>
            <a:ln w="28575" cap="rnd">
              <a:solidFill>
                <a:schemeClr val="accent3"/>
              </a:solidFill>
              <a:round/>
            </a:ln>
            <a:effectLst/>
          </c:spPr>
          <c:marker>
            <c:symbol val="none"/>
          </c:marker>
          <c:cat>
            <c:strRef>
              <c:f>Utilitarianism!$B$37:$B$47</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Utilitarianism!$E$37:$E$47</c:f>
              <c:numCache>
                <c:formatCode>_-* #,##0.0_-;\-* #,##0.0_-;_-* "-"??_-;_-@_-</c:formatCode>
                <c:ptCount val="11"/>
                <c:pt idx="0">
                  <c:v>0.1594349456878402</c:v>
                </c:pt>
                <c:pt idx="1">
                  <c:v>0.8223673830884789</c:v>
                </c:pt>
                <c:pt idx="2">
                  <c:v>0.78487886490225856</c:v>
                </c:pt>
                <c:pt idx="3">
                  <c:v>2.5994105927136002</c:v>
                </c:pt>
                <c:pt idx="4">
                  <c:v>3.4352457256373299</c:v>
                </c:pt>
                <c:pt idx="5">
                  <c:v>1.5360519992014328</c:v>
                </c:pt>
                <c:pt idx="6">
                  <c:v>0.78660497455315337</c:v>
                </c:pt>
                <c:pt idx="7">
                  <c:v>1.1066105079823494</c:v>
                </c:pt>
                <c:pt idx="8">
                  <c:v>2.3687107670260024</c:v>
                </c:pt>
                <c:pt idx="9">
                  <c:v>2.7639246133684017</c:v>
                </c:pt>
                <c:pt idx="10">
                  <c:v>2.1413478537710087</c:v>
                </c:pt>
              </c:numCache>
            </c:numRef>
          </c:val>
          <c:smooth val="0"/>
          <c:extLst>
            <c:ext xmlns:c16="http://schemas.microsoft.com/office/drawing/2014/chart" uri="{C3380CC4-5D6E-409C-BE32-E72D297353CC}">
              <c16:uniqueId val="{00000002-BAF5-42D6-8D59-CF1C86EF4751}"/>
            </c:ext>
          </c:extLst>
        </c:ser>
        <c:ser>
          <c:idx val="3"/>
          <c:order val="3"/>
          <c:spPr>
            <a:ln w="28575" cap="rnd">
              <a:solidFill>
                <a:schemeClr val="accent4"/>
              </a:solidFill>
              <a:round/>
            </a:ln>
            <a:effectLst/>
          </c:spPr>
          <c:marker>
            <c:symbol val="none"/>
          </c:marker>
          <c:cat>
            <c:strRef>
              <c:f>Utilitarianism!$B$37:$B$47</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Utilitarianism!$F$37:$F$47</c:f>
              <c:numCache>
                <c:formatCode>_-* #,##0.0_-;\-* #,##0.0_-;_-* "-"??_-;_-@_-</c:formatCode>
                <c:ptCount val="11"/>
                <c:pt idx="0">
                  <c:v>0.57241735304831753</c:v>
                </c:pt>
                <c:pt idx="1">
                  <c:v>1.4231107652008456E-3</c:v>
                </c:pt>
                <c:pt idx="2">
                  <c:v>0.76994199029062038</c:v>
                </c:pt>
                <c:pt idx="3">
                  <c:v>0.39108182266645358</c:v>
                </c:pt>
                <c:pt idx="4">
                  <c:v>2.8612498187733459</c:v>
                </c:pt>
                <c:pt idx="5">
                  <c:v>0.91158875473185697</c:v>
                </c:pt>
                <c:pt idx="6">
                  <c:v>0.59709258782588914</c:v>
                </c:pt>
                <c:pt idx="7">
                  <c:v>1.0804632962139713</c:v>
                </c:pt>
                <c:pt idx="8">
                  <c:v>2.3408545973179189</c:v>
                </c:pt>
                <c:pt idx="9">
                  <c:v>2.5199830911643062</c:v>
                </c:pt>
                <c:pt idx="10">
                  <c:v>0.63265480387996398</c:v>
                </c:pt>
              </c:numCache>
            </c:numRef>
          </c:val>
          <c:smooth val="0"/>
          <c:extLst>
            <c:ext xmlns:c16="http://schemas.microsoft.com/office/drawing/2014/chart" uri="{C3380CC4-5D6E-409C-BE32-E72D297353CC}">
              <c16:uniqueId val="{00000003-BAF5-42D6-8D59-CF1C86EF4751}"/>
            </c:ext>
          </c:extLst>
        </c:ser>
        <c:ser>
          <c:idx val="4"/>
          <c:order val="4"/>
          <c:spPr>
            <a:ln w="28575" cap="rnd">
              <a:solidFill>
                <a:schemeClr val="accent5"/>
              </a:solidFill>
              <a:round/>
            </a:ln>
            <a:effectLst/>
          </c:spPr>
          <c:marker>
            <c:symbol val="none"/>
          </c:marker>
          <c:cat>
            <c:strRef>
              <c:f>Utilitarianism!$B$37:$B$47</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Utilitarianism!$G$37:$G$47</c:f>
              <c:numCache>
                <c:formatCode>_-* #,##0.0_-;\-* #,##0.0_-;_-* "-"??_-;_-@_-</c:formatCode>
                <c:ptCount val="11"/>
                <c:pt idx="0">
                  <c:v>0.29678674944601224</c:v>
                </c:pt>
                <c:pt idx="1">
                  <c:v>0</c:v>
                </c:pt>
                <c:pt idx="2">
                  <c:v>0.75528937638867988</c:v>
                </c:pt>
                <c:pt idx="3">
                  <c:v>2.0888082353658524</c:v>
                </c:pt>
                <c:pt idx="4">
                  <c:v>3.2342794121418743</c:v>
                </c:pt>
                <c:pt idx="5">
                  <c:v>0.78715446327276606</c:v>
                </c:pt>
                <c:pt idx="6">
                  <c:v>0.41572513268480937</c:v>
                </c:pt>
                <c:pt idx="7">
                  <c:v>1.0549338959324071</c:v>
                </c:pt>
                <c:pt idx="8">
                  <c:v>2.3133260177072033</c:v>
                </c:pt>
                <c:pt idx="9">
                  <c:v>1.5283134671499323</c:v>
                </c:pt>
                <c:pt idx="10">
                  <c:v>1.1296948142802334</c:v>
                </c:pt>
              </c:numCache>
            </c:numRef>
          </c:val>
          <c:smooth val="0"/>
          <c:extLst>
            <c:ext xmlns:c16="http://schemas.microsoft.com/office/drawing/2014/chart" uri="{C3380CC4-5D6E-409C-BE32-E72D297353CC}">
              <c16:uniqueId val="{00000004-BAF5-42D6-8D59-CF1C86EF4751}"/>
            </c:ext>
          </c:extLst>
        </c:ser>
        <c:ser>
          <c:idx val="5"/>
          <c:order val="5"/>
          <c:spPr>
            <a:ln w="28575" cap="rnd">
              <a:solidFill>
                <a:schemeClr val="accent6"/>
              </a:solidFill>
              <a:round/>
            </a:ln>
            <a:effectLst/>
          </c:spPr>
          <c:marker>
            <c:symbol val="none"/>
          </c:marker>
          <c:cat>
            <c:strRef>
              <c:f>Utilitarianism!$B$37:$B$47</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Utilitarianism!$H$37:$H$47</c:f>
              <c:numCache>
                <c:formatCode>_-* #,##0.0_-;\-* #,##0.0_-;_-* "-"??_-;_-@_-</c:formatCode>
                <c:ptCount val="11"/>
                <c:pt idx="0">
                  <c:v>0.75749425709765605</c:v>
                </c:pt>
                <c:pt idx="1">
                  <c:v>0.16872102591669461</c:v>
                </c:pt>
                <c:pt idx="2">
                  <c:v>0.74091561348703139</c:v>
                </c:pt>
                <c:pt idx="3">
                  <c:v>0.53976947713851808</c:v>
                </c:pt>
                <c:pt idx="4">
                  <c:v>1.7457726367079536</c:v>
                </c:pt>
                <c:pt idx="5">
                  <c:v>1.2345962764961005</c:v>
                </c:pt>
                <c:pt idx="6">
                  <c:v>0.5837849798046878</c:v>
                </c:pt>
                <c:pt idx="7">
                  <c:v>1.0300077093657558</c:v>
                </c:pt>
                <c:pt idx="8">
                  <c:v>2.2861211757161808</c:v>
                </c:pt>
                <c:pt idx="9">
                  <c:v>4.3389037889990973</c:v>
                </c:pt>
                <c:pt idx="10">
                  <c:v>2.0185252242184188</c:v>
                </c:pt>
              </c:numCache>
            </c:numRef>
          </c:val>
          <c:smooth val="0"/>
          <c:extLst>
            <c:ext xmlns:c16="http://schemas.microsoft.com/office/drawing/2014/chart" uri="{C3380CC4-5D6E-409C-BE32-E72D297353CC}">
              <c16:uniqueId val="{00000005-BAF5-42D6-8D59-CF1C86EF4751}"/>
            </c:ext>
          </c:extLst>
        </c:ser>
        <c:ser>
          <c:idx val="6"/>
          <c:order val="6"/>
          <c:spPr>
            <a:ln w="28575" cap="rnd">
              <a:solidFill>
                <a:schemeClr val="accent1">
                  <a:lumMod val="60000"/>
                </a:schemeClr>
              </a:solidFill>
              <a:round/>
            </a:ln>
            <a:effectLst/>
          </c:spPr>
          <c:marker>
            <c:symbol val="none"/>
          </c:marker>
          <c:cat>
            <c:strRef>
              <c:f>Utilitarianism!$B$37:$B$47</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Utilitarianism!$I$37:$I$47</c:f>
              <c:numCache>
                <c:formatCode>_-* #,##0.0_-;\-* #,##0.0_-;_-* "-"??_-;_-@_-</c:formatCode>
                <c:ptCount val="11"/>
                <c:pt idx="0">
                  <c:v>0.68095495918641147</c:v>
                </c:pt>
                <c:pt idx="1">
                  <c:v>0</c:v>
                </c:pt>
                <c:pt idx="2">
                  <c:v>0.72681539482738022</c:v>
                </c:pt>
                <c:pt idx="3">
                  <c:v>1.413594496869641</c:v>
                </c:pt>
                <c:pt idx="4">
                  <c:v>2.8197835315807644</c:v>
                </c:pt>
                <c:pt idx="5">
                  <c:v>0.53287771817610796</c:v>
                </c:pt>
                <c:pt idx="6">
                  <c:v>0.69168826271516293</c:v>
                </c:pt>
                <c:pt idx="7">
                  <c:v>1.0056704836611559</c:v>
                </c:pt>
                <c:pt idx="8">
                  <c:v>2.2592362641725274</c:v>
                </c:pt>
                <c:pt idx="9">
                  <c:v>1.8677469927784924</c:v>
                </c:pt>
                <c:pt idx="10">
                  <c:v>0.57360591032956498</c:v>
                </c:pt>
              </c:numCache>
            </c:numRef>
          </c:val>
          <c:smooth val="0"/>
          <c:extLst>
            <c:ext xmlns:c16="http://schemas.microsoft.com/office/drawing/2014/chart" uri="{C3380CC4-5D6E-409C-BE32-E72D297353CC}">
              <c16:uniqueId val="{00000006-BAF5-42D6-8D59-CF1C86EF4751}"/>
            </c:ext>
          </c:extLst>
        </c:ser>
        <c:ser>
          <c:idx val="7"/>
          <c:order val="7"/>
          <c:spPr>
            <a:ln w="28575" cap="rnd">
              <a:solidFill>
                <a:schemeClr val="accent2">
                  <a:lumMod val="60000"/>
                </a:schemeClr>
              </a:solidFill>
              <a:round/>
            </a:ln>
            <a:effectLst/>
          </c:spPr>
          <c:marker>
            <c:symbol val="none"/>
          </c:marker>
          <c:cat>
            <c:strRef>
              <c:f>Utilitarianism!$B$37:$B$47</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Utilitarianism!$J$37:$J$47</c:f>
              <c:numCache>
                <c:formatCode>_-* #,##0.0_-;\-* #,##0.0_-;_-* "-"??_-;_-@_-</c:formatCode>
                <c:ptCount val="11"/>
                <c:pt idx="0">
                  <c:v>0.35248248813145522</c:v>
                </c:pt>
                <c:pt idx="1">
                  <c:v>0</c:v>
                </c:pt>
                <c:pt idx="2">
                  <c:v>0.71298351464330012</c:v>
                </c:pt>
                <c:pt idx="3">
                  <c:v>2.647518565213423</c:v>
                </c:pt>
                <c:pt idx="4">
                  <c:v>3.623174568859826</c:v>
                </c:pt>
                <c:pt idx="5">
                  <c:v>0.86999493595369892</c:v>
                </c:pt>
                <c:pt idx="6">
                  <c:v>0.50432180769235069</c:v>
                </c:pt>
                <c:pt idx="7">
                  <c:v>0.98190830273496954</c:v>
                </c:pt>
                <c:pt idx="8">
                  <c:v>2.2326675206764777</c:v>
                </c:pt>
                <c:pt idx="9">
                  <c:v>2.5339934740191672</c:v>
                </c:pt>
                <c:pt idx="10">
                  <c:v>1.1406484223914835</c:v>
                </c:pt>
              </c:numCache>
            </c:numRef>
          </c:val>
          <c:smooth val="0"/>
          <c:extLst>
            <c:ext xmlns:c16="http://schemas.microsoft.com/office/drawing/2014/chart" uri="{C3380CC4-5D6E-409C-BE32-E72D297353CC}">
              <c16:uniqueId val="{00000007-BAF5-42D6-8D59-CF1C86EF4751}"/>
            </c:ext>
          </c:extLst>
        </c:ser>
        <c:ser>
          <c:idx val="8"/>
          <c:order val="8"/>
          <c:spPr>
            <a:ln w="28575" cap="rnd">
              <a:solidFill>
                <a:schemeClr val="accent3">
                  <a:lumMod val="60000"/>
                </a:schemeClr>
              </a:solidFill>
              <a:round/>
            </a:ln>
            <a:effectLst/>
          </c:spPr>
          <c:marker>
            <c:symbol val="none"/>
          </c:marker>
          <c:cat>
            <c:strRef>
              <c:f>Utilitarianism!$B$37:$B$47</c:f>
              <c:strCache>
                <c:ptCount val="11"/>
                <c:pt idx="0">
                  <c:v> Burundi </c:v>
                </c:pt>
                <c:pt idx="1">
                  <c:v> Congo </c:v>
                </c:pt>
                <c:pt idx="2">
                  <c:v> Egypt </c:v>
                </c:pt>
                <c:pt idx="3">
                  <c:v> Eritrea </c:v>
                </c:pt>
                <c:pt idx="4">
                  <c:v> Ethiopia </c:v>
                </c:pt>
                <c:pt idx="5">
                  <c:v> Kenya </c:v>
                </c:pt>
                <c:pt idx="6">
                  <c:v> Rwanda </c:v>
                </c:pt>
                <c:pt idx="7">
                  <c:v> Sudan </c:v>
                </c:pt>
                <c:pt idx="8">
                  <c:v> South Sudan </c:v>
                </c:pt>
                <c:pt idx="9">
                  <c:v> Tanzania </c:v>
                </c:pt>
                <c:pt idx="10">
                  <c:v> Uganda </c:v>
                </c:pt>
              </c:strCache>
            </c:strRef>
          </c:cat>
          <c:val>
            <c:numRef>
              <c:f>Utilitarianism!$K$37:$K$47</c:f>
              <c:numCache>
                <c:formatCode>_-* #,##0.0_-;\-* #,##0.0_-;_-* "-"??_-;_-@_-</c:formatCode>
                <c:ptCount val="11"/>
                <c:pt idx="0">
                  <c:v>1.2328742470834047</c:v>
                </c:pt>
                <c:pt idx="1">
                  <c:v>0.36338273338224963</c:v>
                </c:pt>
                <c:pt idx="2">
                  <c:v>0.69941486623827742</c:v>
                </c:pt>
                <c:pt idx="3">
                  <c:v>1.5228174172507212</c:v>
                </c:pt>
                <c:pt idx="4">
                  <c:v>2.0805182989386197</c:v>
                </c:pt>
                <c:pt idx="5">
                  <c:v>1.4666442542418028</c:v>
                </c:pt>
                <c:pt idx="6">
                  <c:v>1.1025590063029929</c:v>
                </c:pt>
                <c:pt idx="7">
                  <c:v>0.95870757931553374</c:v>
                </c:pt>
                <c:pt idx="8">
                  <c:v>2.2064112270742933</c:v>
                </c:pt>
                <c:pt idx="9">
                  <c:v>5.2129102982361903</c:v>
                </c:pt>
                <c:pt idx="10">
                  <c:v>2.0927331022497557</c:v>
                </c:pt>
              </c:numCache>
            </c:numRef>
          </c:val>
          <c:smooth val="0"/>
          <c:extLst>
            <c:ext xmlns:c16="http://schemas.microsoft.com/office/drawing/2014/chart" uri="{C3380CC4-5D6E-409C-BE32-E72D297353CC}">
              <c16:uniqueId val="{00000008-BAF5-42D6-8D59-CF1C86EF4751}"/>
            </c:ext>
          </c:extLst>
        </c:ser>
        <c:dLbls>
          <c:showLegendKey val="0"/>
          <c:showVal val="0"/>
          <c:showCatName val="0"/>
          <c:showSerName val="0"/>
          <c:showPercent val="0"/>
          <c:showBubbleSize val="0"/>
        </c:dLbls>
        <c:smooth val="0"/>
        <c:axId val="1114487935"/>
        <c:axId val="984770671"/>
      </c:lineChart>
      <c:catAx>
        <c:axId val="1114487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770671"/>
        <c:crosses val="autoZero"/>
        <c:auto val="1"/>
        <c:lblAlgn val="ctr"/>
        <c:lblOffset val="100"/>
        <c:noMultiLvlLbl val="0"/>
      </c:catAx>
      <c:valAx>
        <c:axId val="984770671"/>
        <c:scaling>
          <c:orientation val="minMax"/>
        </c:scaling>
        <c:delete val="0"/>
        <c:axPos val="l"/>
        <c:majorGridlines>
          <c:spPr>
            <a:ln w="9525" cap="flat" cmpd="sng" algn="ctr">
              <a:solidFill>
                <a:schemeClr val="tx1">
                  <a:lumMod val="15000"/>
                  <a:lumOff val="85000"/>
                </a:schemeClr>
              </a:solidFill>
              <a:round/>
            </a:ln>
            <a:effectLst/>
          </c:spPr>
        </c:majorGridlines>
        <c:numFmt formatCode="_-* #,##0.0_-;\-* #,##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487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9.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6.xml"/><Relationship Id="rId13" Type="http://schemas.openxmlformats.org/officeDocument/2006/relationships/chart" Target="../charts/chart31.xml"/><Relationship Id="rId18" Type="http://schemas.openxmlformats.org/officeDocument/2006/relationships/chart" Target="../charts/chart36.xml"/><Relationship Id="rId3" Type="http://schemas.openxmlformats.org/officeDocument/2006/relationships/chart" Target="../charts/chart21.xml"/><Relationship Id="rId21" Type="http://schemas.openxmlformats.org/officeDocument/2006/relationships/chart" Target="../charts/chart39.xml"/><Relationship Id="rId7" Type="http://schemas.openxmlformats.org/officeDocument/2006/relationships/chart" Target="../charts/chart25.xml"/><Relationship Id="rId12" Type="http://schemas.openxmlformats.org/officeDocument/2006/relationships/chart" Target="../charts/chart30.xml"/><Relationship Id="rId17" Type="http://schemas.openxmlformats.org/officeDocument/2006/relationships/chart" Target="../charts/chart35.xml"/><Relationship Id="rId2" Type="http://schemas.openxmlformats.org/officeDocument/2006/relationships/chart" Target="../charts/chart20.xml"/><Relationship Id="rId16" Type="http://schemas.openxmlformats.org/officeDocument/2006/relationships/chart" Target="../charts/chart34.xml"/><Relationship Id="rId20" Type="http://schemas.openxmlformats.org/officeDocument/2006/relationships/chart" Target="../charts/chart38.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5" Type="http://schemas.openxmlformats.org/officeDocument/2006/relationships/chart" Target="../charts/chart33.xml"/><Relationship Id="rId10" Type="http://schemas.openxmlformats.org/officeDocument/2006/relationships/chart" Target="../charts/chart28.xml"/><Relationship Id="rId19" Type="http://schemas.openxmlformats.org/officeDocument/2006/relationships/chart" Target="../charts/chart37.xml"/><Relationship Id="rId4" Type="http://schemas.openxmlformats.org/officeDocument/2006/relationships/chart" Target="../charts/chart22.xml"/><Relationship Id="rId9" Type="http://schemas.openxmlformats.org/officeDocument/2006/relationships/chart" Target="../charts/chart27.xml"/><Relationship Id="rId14" Type="http://schemas.openxmlformats.org/officeDocument/2006/relationships/chart" Target="../charts/chart32.xml"/><Relationship Id="rId22" Type="http://schemas.openxmlformats.org/officeDocument/2006/relationships/chart" Target="../charts/chart4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48.xml"/><Relationship Id="rId13" Type="http://schemas.openxmlformats.org/officeDocument/2006/relationships/chart" Target="../charts/chart53.xml"/><Relationship Id="rId18" Type="http://schemas.openxmlformats.org/officeDocument/2006/relationships/chart" Target="../charts/chart58.xml"/><Relationship Id="rId3" Type="http://schemas.openxmlformats.org/officeDocument/2006/relationships/chart" Target="../charts/chart43.xml"/><Relationship Id="rId7" Type="http://schemas.openxmlformats.org/officeDocument/2006/relationships/chart" Target="../charts/chart47.xml"/><Relationship Id="rId12" Type="http://schemas.openxmlformats.org/officeDocument/2006/relationships/chart" Target="../charts/chart52.xml"/><Relationship Id="rId17" Type="http://schemas.openxmlformats.org/officeDocument/2006/relationships/chart" Target="../charts/chart57.xml"/><Relationship Id="rId2" Type="http://schemas.openxmlformats.org/officeDocument/2006/relationships/chart" Target="../charts/chart42.xml"/><Relationship Id="rId16" Type="http://schemas.openxmlformats.org/officeDocument/2006/relationships/chart" Target="../charts/chart56.xml"/><Relationship Id="rId1" Type="http://schemas.openxmlformats.org/officeDocument/2006/relationships/chart" Target="../charts/chart41.xml"/><Relationship Id="rId6" Type="http://schemas.openxmlformats.org/officeDocument/2006/relationships/chart" Target="../charts/chart46.xml"/><Relationship Id="rId11" Type="http://schemas.openxmlformats.org/officeDocument/2006/relationships/chart" Target="../charts/chart51.xml"/><Relationship Id="rId5" Type="http://schemas.openxmlformats.org/officeDocument/2006/relationships/chart" Target="../charts/chart45.xml"/><Relationship Id="rId15" Type="http://schemas.openxmlformats.org/officeDocument/2006/relationships/chart" Target="../charts/chart55.xml"/><Relationship Id="rId10" Type="http://schemas.openxmlformats.org/officeDocument/2006/relationships/chart" Target="../charts/chart50.xml"/><Relationship Id="rId4" Type="http://schemas.openxmlformats.org/officeDocument/2006/relationships/chart" Target="../charts/chart44.xml"/><Relationship Id="rId9" Type="http://schemas.openxmlformats.org/officeDocument/2006/relationships/chart" Target="../charts/chart49.xml"/><Relationship Id="rId14" Type="http://schemas.openxmlformats.org/officeDocument/2006/relationships/chart" Target="../charts/chart5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1.xml"/><Relationship Id="rId2" Type="http://schemas.openxmlformats.org/officeDocument/2006/relationships/chart" Target="../charts/chart60.xml"/><Relationship Id="rId1" Type="http://schemas.openxmlformats.org/officeDocument/2006/relationships/chart" Target="../charts/chart59.xml"/></Relationships>
</file>

<file path=xl/drawings/drawing1.xml><?xml version="1.0" encoding="utf-8"?>
<xdr:wsDr xmlns:xdr="http://schemas.openxmlformats.org/drawingml/2006/spreadsheetDrawing" xmlns:a="http://schemas.openxmlformats.org/drawingml/2006/main">
  <xdr:twoCellAnchor>
    <xdr:from>
      <xdr:col>9</xdr:col>
      <xdr:colOff>625083</xdr:colOff>
      <xdr:row>92</xdr:row>
      <xdr:rowOff>0</xdr:rowOff>
    </xdr:from>
    <xdr:to>
      <xdr:col>13</xdr:col>
      <xdr:colOff>955524</xdr:colOff>
      <xdr:row>107</xdr:row>
      <xdr:rowOff>133048</xdr:rowOff>
    </xdr:to>
    <xdr:graphicFrame macro="">
      <xdr:nvGraphicFramePr>
        <xdr:cNvPr id="2" name="Chart 1">
          <a:extLst>
            <a:ext uri="{FF2B5EF4-FFF2-40B4-BE49-F238E27FC236}">
              <a16:creationId xmlns:a16="http://schemas.microsoft.com/office/drawing/2014/main" id="{37B9F790-1B4D-4C55-9B6B-605A51B005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625083</xdr:colOff>
      <xdr:row>113</xdr:row>
      <xdr:rowOff>0</xdr:rowOff>
    </xdr:from>
    <xdr:to>
      <xdr:col>13</xdr:col>
      <xdr:colOff>955524</xdr:colOff>
      <xdr:row>128</xdr:row>
      <xdr:rowOff>133048</xdr:rowOff>
    </xdr:to>
    <xdr:graphicFrame macro="">
      <xdr:nvGraphicFramePr>
        <xdr:cNvPr id="3" name="Chart 2">
          <a:extLst>
            <a:ext uri="{FF2B5EF4-FFF2-40B4-BE49-F238E27FC236}">
              <a16:creationId xmlns:a16="http://schemas.microsoft.com/office/drawing/2014/main" id="{C59B84AD-765E-4BF1-9187-F252745CD9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625083</xdr:colOff>
      <xdr:row>134</xdr:row>
      <xdr:rowOff>0</xdr:rowOff>
    </xdr:from>
    <xdr:to>
      <xdr:col>13</xdr:col>
      <xdr:colOff>955524</xdr:colOff>
      <xdr:row>149</xdr:row>
      <xdr:rowOff>133048</xdr:rowOff>
    </xdr:to>
    <xdr:graphicFrame macro="">
      <xdr:nvGraphicFramePr>
        <xdr:cNvPr id="4" name="Chart 3">
          <a:extLst>
            <a:ext uri="{FF2B5EF4-FFF2-40B4-BE49-F238E27FC236}">
              <a16:creationId xmlns:a16="http://schemas.microsoft.com/office/drawing/2014/main" id="{BDB8662F-8770-4338-BC1A-3B2527508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628893</xdr:colOff>
      <xdr:row>154</xdr:row>
      <xdr:rowOff>158749</xdr:rowOff>
    </xdr:from>
    <xdr:to>
      <xdr:col>13</xdr:col>
      <xdr:colOff>1016000</xdr:colOff>
      <xdr:row>170</xdr:row>
      <xdr:rowOff>84666</xdr:rowOff>
    </xdr:to>
    <xdr:graphicFrame macro="">
      <xdr:nvGraphicFramePr>
        <xdr:cNvPr id="5" name="Chart 4">
          <a:extLst>
            <a:ext uri="{FF2B5EF4-FFF2-40B4-BE49-F238E27FC236}">
              <a16:creationId xmlns:a16="http://schemas.microsoft.com/office/drawing/2014/main" id="{0BCA7A87-4251-4254-92F7-E745DCE72A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625083</xdr:colOff>
      <xdr:row>4</xdr:row>
      <xdr:rowOff>0</xdr:rowOff>
    </xdr:from>
    <xdr:to>
      <xdr:col>13</xdr:col>
      <xdr:colOff>955524</xdr:colOff>
      <xdr:row>19</xdr:row>
      <xdr:rowOff>133048</xdr:rowOff>
    </xdr:to>
    <xdr:graphicFrame macro="">
      <xdr:nvGraphicFramePr>
        <xdr:cNvPr id="6" name="Chart 5">
          <a:extLst>
            <a:ext uri="{FF2B5EF4-FFF2-40B4-BE49-F238E27FC236}">
              <a16:creationId xmlns:a16="http://schemas.microsoft.com/office/drawing/2014/main" id="{BDEA163E-CA29-4EC4-A480-F1FDCA9338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625083</xdr:colOff>
      <xdr:row>25</xdr:row>
      <xdr:rowOff>0</xdr:rowOff>
    </xdr:from>
    <xdr:to>
      <xdr:col>13</xdr:col>
      <xdr:colOff>955524</xdr:colOff>
      <xdr:row>40</xdr:row>
      <xdr:rowOff>133048</xdr:rowOff>
    </xdr:to>
    <xdr:graphicFrame macro="">
      <xdr:nvGraphicFramePr>
        <xdr:cNvPr id="7" name="Chart 6">
          <a:extLst>
            <a:ext uri="{FF2B5EF4-FFF2-40B4-BE49-F238E27FC236}">
              <a16:creationId xmlns:a16="http://schemas.microsoft.com/office/drawing/2014/main" id="{F66376C8-A0C7-40D3-A9C5-57A8C6DAE4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515254</xdr:colOff>
      <xdr:row>46</xdr:row>
      <xdr:rowOff>155298</xdr:rowOff>
    </xdr:from>
    <xdr:to>
      <xdr:col>13</xdr:col>
      <xdr:colOff>303336</xdr:colOff>
      <xdr:row>62</xdr:row>
      <xdr:rowOff>92049</xdr:rowOff>
    </xdr:to>
    <xdr:graphicFrame macro="">
      <xdr:nvGraphicFramePr>
        <xdr:cNvPr id="8" name="Chart 7">
          <a:extLst>
            <a:ext uri="{FF2B5EF4-FFF2-40B4-BE49-F238E27FC236}">
              <a16:creationId xmlns:a16="http://schemas.microsoft.com/office/drawing/2014/main" id="{0274CE84-B07D-4ED3-8465-2749099CF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515254</xdr:colOff>
      <xdr:row>46</xdr:row>
      <xdr:rowOff>155298</xdr:rowOff>
    </xdr:from>
    <xdr:to>
      <xdr:col>13</xdr:col>
      <xdr:colOff>899584</xdr:colOff>
      <xdr:row>63</xdr:row>
      <xdr:rowOff>0</xdr:rowOff>
    </xdr:to>
    <xdr:graphicFrame macro="">
      <xdr:nvGraphicFramePr>
        <xdr:cNvPr id="9" name="Chart 8">
          <a:extLst>
            <a:ext uri="{FF2B5EF4-FFF2-40B4-BE49-F238E27FC236}">
              <a16:creationId xmlns:a16="http://schemas.microsoft.com/office/drawing/2014/main" id="{59564596-8191-4A2E-AE52-E3AB84A50E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625083</xdr:colOff>
      <xdr:row>68</xdr:row>
      <xdr:rowOff>0</xdr:rowOff>
    </xdr:from>
    <xdr:to>
      <xdr:col>13</xdr:col>
      <xdr:colOff>955524</xdr:colOff>
      <xdr:row>83</xdr:row>
      <xdr:rowOff>133048</xdr:rowOff>
    </xdr:to>
    <xdr:graphicFrame macro="">
      <xdr:nvGraphicFramePr>
        <xdr:cNvPr id="10" name="Chart 9">
          <a:extLst>
            <a:ext uri="{FF2B5EF4-FFF2-40B4-BE49-F238E27FC236}">
              <a16:creationId xmlns:a16="http://schemas.microsoft.com/office/drawing/2014/main" id="{6678DEC6-9DEA-47D0-9A9C-332DA8E95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628893</xdr:colOff>
      <xdr:row>278</xdr:row>
      <xdr:rowOff>158749</xdr:rowOff>
    </xdr:from>
    <xdr:to>
      <xdr:col>13</xdr:col>
      <xdr:colOff>1016000</xdr:colOff>
      <xdr:row>294</xdr:row>
      <xdr:rowOff>84666</xdr:rowOff>
    </xdr:to>
    <xdr:graphicFrame macro="">
      <xdr:nvGraphicFramePr>
        <xdr:cNvPr id="11" name="Chart 10">
          <a:extLst>
            <a:ext uri="{FF2B5EF4-FFF2-40B4-BE49-F238E27FC236}">
              <a16:creationId xmlns:a16="http://schemas.microsoft.com/office/drawing/2014/main" id="{66777124-0F08-4206-9CCC-BFC1ACFE7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625083</xdr:colOff>
      <xdr:row>259</xdr:row>
      <xdr:rowOff>0</xdr:rowOff>
    </xdr:from>
    <xdr:to>
      <xdr:col>13</xdr:col>
      <xdr:colOff>955524</xdr:colOff>
      <xdr:row>274</xdr:row>
      <xdr:rowOff>133048</xdr:rowOff>
    </xdr:to>
    <xdr:graphicFrame macro="">
      <xdr:nvGraphicFramePr>
        <xdr:cNvPr id="12" name="Chart 11">
          <a:extLst>
            <a:ext uri="{FF2B5EF4-FFF2-40B4-BE49-F238E27FC236}">
              <a16:creationId xmlns:a16="http://schemas.microsoft.com/office/drawing/2014/main" id="{342EBD9B-6849-498A-BCC6-3BE277973A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625083</xdr:colOff>
      <xdr:row>301</xdr:row>
      <xdr:rowOff>0</xdr:rowOff>
    </xdr:from>
    <xdr:to>
      <xdr:col>13</xdr:col>
      <xdr:colOff>955524</xdr:colOff>
      <xdr:row>316</xdr:row>
      <xdr:rowOff>133048</xdr:rowOff>
    </xdr:to>
    <xdr:graphicFrame macro="">
      <xdr:nvGraphicFramePr>
        <xdr:cNvPr id="13" name="Chart 12">
          <a:extLst>
            <a:ext uri="{FF2B5EF4-FFF2-40B4-BE49-F238E27FC236}">
              <a16:creationId xmlns:a16="http://schemas.microsoft.com/office/drawing/2014/main" id="{715D06B0-DA13-4518-9475-6F1F7FDB67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625083</xdr:colOff>
      <xdr:row>346</xdr:row>
      <xdr:rowOff>0</xdr:rowOff>
    </xdr:from>
    <xdr:to>
      <xdr:col>13</xdr:col>
      <xdr:colOff>955524</xdr:colOff>
      <xdr:row>361</xdr:row>
      <xdr:rowOff>133048</xdr:rowOff>
    </xdr:to>
    <xdr:graphicFrame macro="">
      <xdr:nvGraphicFramePr>
        <xdr:cNvPr id="14" name="Chart 13">
          <a:extLst>
            <a:ext uri="{FF2B5EF4-FFF2-40B4-BE49-F238E27FC236}">
              <a16:creationId xmlns:a16="http://schemas.microsoft.com/office/drawing/2014/main" id="{E52373C7-7629-430A-B208-763A3E5D8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625083</xdr:colOff>
      <xdr:row>176</xdr:row>
      <xdr:rowOff>0</xdr:rowOff>
    </xdr:from>
    <xdr:to>
      <xdr:col>13</xdr:col>
      <xdr:colOff>955524</xdr:colOff>
      <xdr:row>191</xdr:row>
      <xdr:rowOff>133048</xdr:rowOff>
    </xdr:to>
    <xdr:graphicFrame macro="">
      <xdr:nvGraphicFramePr>
        <xdr:cNvPr id="15" name="Chart 14">
          <a:extLst>
            <a:ext uri="{FF2B5EF4-FFF2-40B4-BE49-F238E27FC236}">
              <a16:creationId xmlns:a16="http://schemas.microsoft.com/office/drawing/2014/main" id="{F1F545BF-5B10-43CD-8044-73C40CDF25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625083</xdr:colOff>
      <xdr:row>197</xdr:row>
      <xdr:rowOff>0</xdr:rowOff>
    </xdr:from>
    <xdr:to>
      <xdr:col>13</xdr:col>
      <xdr:colOff>955524</xdr:colOff>
      <xdr:row>212</xdr:row>
      <xdr:rowOff>133048</xdr:rowOff>
    </xdr:to>
    <xdr:graphicFrame macro="">
      <xdr:nvGraphicFramePr>
        <xdr:cNvPr id="16" name="Chart 15">
          <a:extLst>
            <a:ext uri="{FF2B5EF4-FFF2-40B4-BE49-F238E27FC236}">
              <a16:creationId xmlns:a16="http://schemas.microsoft.com/office/drawing/2014/main" id="{3233ABDC-8619-488F-966F-0CEA4CE2F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625083</xdr:colOff>
      <xdr:row>218</xdr:row>
      <xdr:rowOff>0</xdr:rowOff>
    </xdr:from>
    <xdr:to>
      <xdr:col>13</xdr:col>
      <xdr:colOff>955524</xdr:colOff>
      <xdr:row>233</xdr:row>
      <xdr:rowOff>133048</xdr:rowOff>
    </xdr:to>
    <xdr:graphicFrame macro="">
      <xdr:nvGraphicFramePr>
        <xdr:cNvPr id="17" name="Chart 16">
          <a:extLst>
            <a:ext uri="{FF2B5EF4-FFF2-40B4-BE49-F238E27FC236}">
              <a16:creationId xmlns:a16="http://schemas.microsoft.com/office/drawing/2014/main" id="{C2AC146F-22E0-47A6-93AC-FC69D34B6F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628893</xdr:colOff>
      <xdr:row>238</xdr:row>
      <xdr:rowOff>158749</xdr:rowOff>
    </xdr:from>
    <xdr:to>
      <xdr:col>13</xdr:col>
      <xdr:colOff>1016000</xdr:colOff>
      <xdr:row>254</xdr:row>
      <xdr:rowOff>84666</xdr:rowOff>
    </xdr:to>
    <xdr:graphicFrame macro="">
      <xdr:nvGraphicFramePr>
        <xdr:cNvPr id="18" name="Chart 17">
          <a:extLst>
            <a:ext uri="{FF2B5EF4-FFF2-40B4-BE49-F238E27FC236}">
              <a16:creationId xmlns:a16="http://schemas.microsoft.com/office/drawing/2014/main" id="{A1445F53-EEAB-4E89-839B-EA2B1E5CD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628893</xdr:colOff>
      <xdr:row>321</xdr:row>
      <xdr:rowOff>158749</xdr:rowOff>
    </xdr:from>
    <xdr:to>
      <xdr:col>13</xdr:col>
      <xdr:colOff>1016000</xdr:colOff>
      <xdr:row>337</xdr:row>
      <xdr:rowOff>84666</xdr:rowOff>
    </xdr:to>
    <xdr:graphicFrame macro="">
      <xdr:nvGraphicFramePr>
        <xdr:cNvPr id="19" name="Chart 18">
          <a:extLst>
            <a:ext uri="{FF2B5EF4-FFF2-40B4-BE49-F238E27FC236}">
              <a16:creationId xmlns:a16="http://schemas.microsoft.com/office/drawing/2014/main" id="{756AA94A-9185-4093-A954-927353EF91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625083</xdr:colOff>
      <xdr:row>92</xdr:row>
      <xdr:rowOff>0</xdr:rowOff>
    </xdr:from>
    <xdr:to>
      <xdr:col>13</xdr:col>
      <xdr:colOff>955524</xdr:colOff>
      <xdr:row>107</xdr:row>
      <xdr:rowOff>133048</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625083</xdr:colOff>
      <xdr:row>113</xdr:row>
      <xdr:rowOff>0</xdr:rowOff>
    </xdr:from>
    <xdr:to>
      <xdr:col>13</xdr:col>
      <xdr:colOff>955524</xdr:colOff>
      <xdr:row>128</xdr:row>
      <xdr:rowOff>133048</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625083</xdr:colOff>
      <xdr:row>134</xdr:row>
      <xdr:rowOff>0</xdr:rowOff>
    </xdr:from>
    <xdr:to>
      <xdr:col>13</xdr:col>
      <xdr:colOff>955524</xdr:colOff>
      <xdr:row>149</xdr:row>
      <xdr:rowOff>133048</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628893</xdr:colOff>
      <xdr:row>154</xdr:row>
      <xdr:rowOff>158749</xdr:rowOff>
    </xdr:from>
    <xdr:to>
      <xdr:col>13</xdr:col>
      <xdr:colOff>1016000</xdr:colOff>
      <xdr:row>170</xdr:row>
      <xdr:rowOff>84666</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625083</xdr:colOff>
      <xdr:row>4</xdr:row>
      <xdr:rowOff>0</xdr:rowOff>
    </xdr:from>
    <xdr:to>
      <xdr:col>13</xdr:col>
      <xdr:colOff>955524</xdr:colOff>
      <xdr:row>19</xdr:row>
      <xdr:rowOff>133048</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625083</xdr:colOff>
      <xdr:row>25</xdr:row>
      <xdr:rowOff>0</xdr:rowOff>
    </xdr:from>
    <xdr:to>
      <xdr:col>13</xdr:col>
      <xdr:colOff>955524</xdr:colOff>
      <xdr:row>40</xdr:row>
      <xdr:rowOff>133048</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515254</xdr:colOff>
      <xdr:row>46</xdr:row>
      <xdr:rowOff>155298</xdr:rowOff>
    </xdr:from>
    <xdr:to>
      <xdr:col>13</xdr:col>
      <xdr:colOff>303336</xdr:colOff>
      <xdr:row>62</xdr:row>
      <xdr:rowOff>92049</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515254</xdr:colOff>
      <xdr:row>46</xdr:row>
      <xdr:rowOff>155298</xdr:rowOff>
    </xdr:from>
    <xdr:to>
      <xdr:col>13</xdr:col>
      <xdr:colOff>899584</xdr:colOff>
      <xdr:row>63</xdr:row>
      <xdr:rowOff>0</xdr:rowOff>
    </xdr:to>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625083</xdr:colOff>
      <xdr:row>68</xdr:row>
      <xdr:rowOff>0</xdr:rowOff>
    </xdr:from>
    <xdr:to>
      <xdr:col>13</xdr:col>
      <xdr:colOff>955524</xdr:colOff>
      <xdr:row>83</xdr:row>
      <xdr:rowOff>133048</xdr:rowOff>
    </xdr:to>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628893</xdr:colOff>
      <xdr:row>278</xdr:row>
      <xdr:rowOff>158749</xdr:rowOff>
    </xdr:from>
    <xdr:to>
      <xdr:col>13</xdr:col>
      <xdr:colOff>1016000</xdr:colOff>
      <xdr:row>294</xdr:row>
      <xdr:rowOff>84666</xdr:rowOff>
    </xdr:to>
    <xdr:graphicFrame macro="">
      <xdr:nvGraphicFramePr>
        <xdr:cNvPr id="13" name="Chart 12">
          <a:extLst>
            <a:ext uri="{FF2B5EF4-FFF2-40B4-BE49-F238E27FC236}">
              <a16:creationId xmlns:a16="http://schemas.microsoft.com/office/drawing/2014/main" id="{47EF1745-B088-49EC-B4F7-65F50FBBF2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625083</xdr:colOff>
      <xdr:row>259</xdr:row>
      <xdr:rowOff>0</xdr:rowOff>
    </xdr:from>
    <xdr:to>
      <xdr:col>13</xdr:col>
      <xdr:colOff>955524</xdr:colOff>
      <xdr:row>274</xdr:row>
      <xdr:rowOff>133048</xdr:rowOff>
    </xdr:to>
    <xdr:graphicFrame macro="">
      <xdr:nvGraphicFramePr>
        <xdr:cNvPr id="15" name="Chart 14">
          <a:extLst>
            <a:ext uri="{FF2B5EF4-FFF2-40B4-BE49-F238E27FC236}">
              <a16:creationId xmlns:a16="http://schemas.microsoft.com/office/drawing/2014/main" id="{18EAD28B-AF05-401C-959E-2186D2645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625083</xdr:colOff>
      <xdr:row>301</xdr:row>
      <xdr:rowOff>0</xdr:rowOff>
    </xdr:from>
    <xdr:to>
      <xdr:col>13</xdr:col>
      <xdr:colOff>955524</xdr:colOff>
      <xdr:row>316</xdr:row>
      <xdr:rowOff>133048</xdr:rowOff>
    </xdr:to>
    <xdr:graphicFrame macro="">
      <xdr:nvGraphicFramePr>
        <xdr:cNvPr id="17" name="Chart 16">
          <a:extLst>
            <a:ext uri="{FF2B5EF4-FFF2-40B4-BE49-F238E27FC236}">
              <a16:creationId xmlns:a16="http://schemas.microsoft.com/office/drawing/2014/main" id="{6478814F-8C49-4819-97BC-948E3013ED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625083</xdr:colOff>
      <xdr:row>346</xdr:row>
      <xdr:rowOff>0</xdr:rowOff>
    </xdr:from>
    <xdr:to>
      <xdr:col>13</xdr:col>
      <xdr:colOff>955524</xdr:colOff>
      <xdr:row>361</xdr:row>
      <xdr:rowOff>133048</xdr:rowOff>
    </xdr:to>
    <xdr:graphicFrame macro="">
      <xdr:nvGraphicFramePr>
        <xdr:cNvPr id="18" name="Chart 17">
          <a:extLst>
            <a:ext uri="{FF2B5EF4-FFF2-40B4-BE49-F238E27FC236}">
              <a16:creationId xmlns:a16="http://schemas.microsoft.com/office/drawing/2014/main" id="{F9C58760-3BF0-4D06-8ECC-427164B09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625083</xdr:colOff>
      <xdr:row>176</xdr:row>
      <xdr:rowOff>0</xdr:rowOff>
    </xdr:from>
    <xdr:to>
      <xdr:col>13</xdr:col>
      <xdr:colOff>955524</xdr:colOff>
      <xdr:row>191</xdr:row>
      <xdr:rowOff>133048</xdr:rowOff>
    </xdr:to>
    <xdr:graphicFrame macro="">
      <xdr:nvGraphicFramePr>
        <xdr:cNvPr id="16" name="Chart 15">
          <a:extLst>
            <a:ext uri="{FF2B5EF4-FFF2-40B4-BE49-F238E27FC236}">
              <a16:creationId xmlns:a16="http://schemas.microsoft.com/office/drawing/2014/main" id="{A1FFBC14-23AC-4293-8EC1-471144E24C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625083</xdr:colOff>
      <xdr:row>197</xdr:row>
      <xdr:rowOff>0</xdr:rowOff>
    </xdr:from>
    <xdr:to>
      <xdr:col>13</xdr:col>
      <xdr:colOff>955524</xdr:colOff>
      <xdr:row>212</xdr:row>
      <xdr:rowOff>133048</xdr:rowOff>
    </xdr:to>
    <xdr:graphicFrame macro="">
      <xdr:nvGraphicFramePr>
        <xdr:cNvPr id="19" name="Chart 18">
          <a:extLst>
            <a:ext uri="{FF2B5EF4-FFF2-40B4-BE49-F238E27FC236}">
              <a16:creationId xmlns:a16="http://schemas.microsoft.com/office/drawing/2014/main" id="{02D26C15-9789-45A4-9D83-148DDA458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625083</xdr:colOff>
      <xdr:row>218</xdr:row>
      <xdr:rowOff>0</xdr:rowOff>
    </xdr:from>
    <xdr:to>
      <xdr:col>13</xdr:col>
      <xdr:colOff>955524</xdr:colOff>
      <xdr:row>233</xdr:row>
      <xdr:rowOff>133048</xdr:rowOff>
    </xdr:to>
    <xdr:graphicFrame macro="">
      <xdr:nvGraphicFramePr>
        <xdr:cNvPr id="20" name="Chart 19">
          <a:extLst>
            <a:ext uri="{FF2B5EF4-FFF2-40B4-BE49-F238E27FC236}">
              <a16:creationId xmlns:a16="http://schemas.microsoft.com/office/drawing/2014/main" id="{CBE8E767-AC39-47F8-BC71-4263BD574A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628893</xdr:colOff>
      <xdr:row>238</xdr:row>
      <xdr:rowOff>158749</xdr:rowOff>
    </xdr:from>
    <xdr:to>
      <xdr:col>13</xdr:col>
      <xdr:colOff>1016000</xdr:colOff>
      <xdr:row>254</xdr:row>
      <xdr:rowOff>84666</xdr:rowOff>
    </xdr:to>
    <xdr:graphicFrame macro="">
      <xdr:nvGraphicFramePr>
        <xdr:cNvPr id="21" name="Chart 20">
          <a:extLst>
            <a:ext uri="{FF2B5EF4-FFF2-40B4-BE49-F238E27FC236}">
              <a16:creationId xmlns:a16="http://schemas.microsoft.com/office/drawing/2014/main" id="{A19C1B65-F5A9-4320-97CD-FBA07D26B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628893</xdr:colOff>
      <xdr:row>321</xdr:row>
      <xdr:rowOff>158749</xdr:rowOff>
    </xdr:from>
    <xdr:to>
      <xdr:col>13</xdr:col>
      <xdr:colOff>1016000</xdr:colOff>
      <xdr:row>337</xdr:row>
      <xdr:rowOff>84666</xdr:rowOff>
    </xdr:to>
    <xdr:graphicFrame macro="">
      <xdr:nvGraphicFramePr>
        <xdr:cNvPr id="23" name="Chart 22">
          <a:extLst>
            <a:ext uri="{FF2B5EF4-FFF2-40B4-BE49-F238E27FC236}">
              <a16:creationId xmlns:a16="http://schemas.microsoft.com/office/drawing/2014/main" id="{B42CF3C9-7353-417E-94A4-CF7C5601E4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14</xdr:col>
      <xdr:colOff>808183</xdr:colOff>
      <xdr:row>4</xdr:row>
      <xdr:rowOff>11546</xdr:rowOff>
    </xdr:from>
    <xdr:to>
      <xdr:col>19</xdr:col>
      <xdr:colOff>542637</xdr:colOff>
      <xdr:row>20</xdr:row>
      <xdr:rowOff>59849</xdr:rowOff>
    </xdr:to>
    <xdr:graphicFrame macro="">
      <xdr:nvGraphicFramePr>
        <xdr:cNvPr id="22" name="Chart 21">
          <a:extLst>
            <a:ext uri="{FF2B5EF4-FFF2-40B4-BE49-F238E27FC236}">
              <a16:creationId xmlns:a16="http://schemas.microsoft.com/office/drawing/2014/main" id="{D8F4513C-B152-43F4-A70E-67F099F86B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819609</xdr:colOff>
      <xdr:row>20</xdr:row>
      <xdr:rowOff>135518</xdr:rowOff>
    </xdr:from>
    <xdr:to>
      <xdr:col>19</xdr:col>
      <xdr:colOff>551162</xdr:colOff>
      <xdr:row>37</xdr:row>
      <xdr:rowOff>39688</xdr:rowOff>
    </xdr:to>
    <xdr:graphicFrame macro="">
      <xdr:nvGraphicFramePr>
        <xdr:cNvPr id="25" name="Chart 24">
          <a:extLst>
            <a:ext uri="{FF2B5EF4-FFF2-40B4-BE49-F238E27FC236}">
              <a16:creationId xmlns:a16="http://schemas.microsoft.com/office/drawing/2014/main" id="{5DA7822F-861D-43AD-9B28-67D1829A15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779115</xdr:colOff>
      <xdr:row>38</xdr:row>
      <xdr:rowOff>14636</xdr:rowOff>
    </xdr:from>
    <xdr:to>
      <xdr:col>19</xdr:col>
      <xdr:colOff>552939</xdr:colOff>
      <xdr:row>54</xdr:row>
      <xdr:rowOff>133251</xdr:rowOff>
    </xdr:to>
    <xdr:graphicFrame macro="">
      <xdr:nvGraphicFramePr>
        <xdr:cNvPr id="26" name="Chart 25">
          <a:extLst>
            <a:ext uri="{FF2B5EF4-FFF2-40B4-BE49-F238E27FC236}">
              <a16:creationId xmlns:a16="http://schemas.microsoft.com/office/drawing/2014/main" id="{3A8A9B48-DCF7-4E10-877E-5F4BB96B1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20</xdr:col>
      <xdr:colOff>390947</xdr:colOff>
      <xdr:row>7</xdr:row>
      <xdr:rowOff>95151</xdr:rowOff>
    </xdr:from>
    <xdr:to>
      <xdr:col>24</xdr:col>
      <xdr:colOff>311477</xdr:colOff>
      <xdr:row>19</xdr:row>
      <xdr:rowOff>96489</xdr:rowOff>
    </xdr:to>
    <xdr:graphicFrame macro="">
      <xdr:nvGraphicFramePr>
        <xdr:cNvPr id="3" name="Chart 2">
          <a:extLst>
            <a:ext uri="{FF2B5EF4-FFF2-40B4-BE49-F238E27FC236}">
              <a16:creationId xmlns:a16="http://schemas.microsoft.com/office/drawing/2014/main" id="{1E560582-5F2E-4693-8998-B4E426355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625083</xdr:colOff>
      <xdr:row>92</xdr:row>
      <xdr:rowOff>0</xdr:rowOff>
    </xdr:from>
    <xdr:to>
      <xdr:col>13</xdr:col>
      <xdr:colOff>955524</xdr:colOff>
      <xdr:row>107</xdr:row>
      <xdr:rowOff>133048</xdr:rowOff>
    </xdr:to>
    <xdr:graphicFrame macro="">
      <xdr:nvGraphicFramePr>
        <xdr:cNvPr id="2" name="Chart 1">
          <a:extLst>
            <a:ext uri="{FF2B5EF4-FFF2-40B4-BE49-F238E27FC236}">
              <a16:creationId xmlns:a16="http://schemas.microsoft.com/office/drawing/2014/main" id="{62B25021-EE71-4390-A2B7-50F64F26E3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625083</xdr:colOff>
      <xdr:row>113</xdr:row>
      <xdr:rowOff>0</xdr:rowOff>
    </xdr:from>
    <xdr:to>
      <xdr:col>13</xdr:col>
      <xdr:colOff>955524</xdr:colOff>
      <xdr:row>128</xdr:row>
      <xdr:rowOff>133048</xdr:rowOff>
    </xdr:to>
    <xdr:graphicFrame macro="">
      <xdr:nvGraphicFramePr>
        <xdr:cNvPr id="3" name="Chart 2">
          <a:extLst>
            <a:ext uri="{FF2B5EF4-FFF2-40B4-BE49-F238E27FC236}">
              <a16:creationId xmlns:a16="http://schemas.microsoft.com/office/drawing/2014/main" id="{C37F3EF9-5704-4748-83F3-4709C6643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625083</xdr:colOff>
      <xdr:row>134</xdr:row>
      <xdr:rowOff>0</xdr:rowOff>
    </xdr:from>
    <xdr:to>
      <xdr:col>13</xdr:col>
      <xdr:colOff>955524</xdr:colOff>
      <xdr:row>149</xdr:row>
      <xdr:rowOff>133048</xdr:rowOff>
    </xdr:to>
    <xdr:graphicFrame macro="">
      <xdr:nvGraphicFramePr>
        <xdr:cNvPr id="4" name="Chart 3">
          <a:extLst>
            <a:ext uri="{FF2B5EF4-FFF2-40B4-BE49-F238E27FC236}">
              <a16:creationId xmlns:a16="http://schemas.microsoft.com/office/drawing/2014/main" id="{364276D7-C873-42C7-A3B1-FFAC929812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628893</xdr:colOff>
      <xdr:row>154</xdr:row>
      <xdr:rowOff>158749</xdr:rowOff>
    </xdr:from>
    <xdr:to>
      <xdr:col>13</xdr:col>
      <xdr:colOff>1016000</xdr:colOff>
      <xdr:row>170</xdr:row>
      <xdr:rowOff>84666</xdr:rowOff>
    </xdr:to>
    <xdr:graphicFrame macro="">
      <xdr:nvGraphicFramePr>
        <xdr:cNvPr id="5" name="Chart 4">
          <a:extLst>
            <a:ext uri="{FF2B5EF4-FFF2-40B4-BE49-F238E27FC236}">
              <a16:creationId xmlns:a16="http://schemas.microsoft.com/office/drawing/2014/main" id="{DDF4A7AF-0F69-4564-A453-EFB605204A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625083</xdr:colOff>
      <xdr:row>4</xdr:row>
      <xdr:rowOff>0</xdr:rowOff>
    </xdr:from>
    <xdr:to>
      <xdr:col>13</xdr:col>
      <xdr:colOff>955524</xdr:colOff>
      <xdr:row>19</xdr:row>
      <xdr:rowOff>133048</xdr:rowOff>
    </xdr:to>
    <xdr:graphicFrame macro="">
      <xdr:nvGraphicFramePr>
        <xdr:cNvPr id="6" name="Chart 5">
          <a:extLst>
            <a:ext uri="{FF2B5EF4-FFF2-40B4-BE49-F238E27FC236}">
              <a16:creationId xmlns:a16="http://schemas.microsoft.com/office/drawing/2014/main" id="{7A268579-C8B4-4CE1-B306-7754EC06E1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625083</xdr:colOff>
      <xdr:row>25</xdr:row>
      <xdr:rowOff>0</xdr:rowOff>
    </xdr:from>
    <xdr:to>
      <xdr:col>13</xdr:col>
      <xdr:colOff>955524</xdr:colOff>
      <xdr:row>40</xdr:row>
      <xdr:rowOff>133048</xdr:rowOff>
    </xdr:to>
    <xdr:graphicFrame macro="">
      <xdr:nvGraphicFramePr>
        <xdr:cNvPr id="7" name="Chart 6">
          <a:extLst>
            <a:ext uri="{FF2B5EF4-FFF2-40B4-BE49-F238E27FC236}">
              <a16:creationId xmlns:a16="http://schemas.microsoft.com/office/drawing/2014/main" id="{B02BF259-5BFF-4DF5-BE2A-AC8F99950E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515254</xdr:colOff>
      <xdr:row>46</xdr:row>
      <xdr:rowOff>155298</xdr:rowOff>
    </xdr:from>
    <xdr:to>
      <xdr:col>13</xdr:col>
      <xdr:colOff>303336</xdr:colOff>
      <xdr:row>62</xdr:row>
      <xdr:rowOff>92049</xdr:rowOff>
    </xdr:to>
    <xdr:graphicFrame macro="">
      <xdr:nvGraphicFramePr>
        <xdr:cNvPr id="8" name="Chart 7">
          <a:extLst>
            <a:ext uri="{FF2B5EF4-FFF2-40B4-BE49-F238E27FC236}">
              <a16:creationId xmlns:a16="http://schemas.microsoft.com/office/drawing/2014/main" id="{AB087F5B-9B17-446E-AB4A-927FA83D4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515254</xdr:colOff>
      <xdr:row>46</xdr:row>
      <xdr:rowOff>155298</xdr:rowOff>
    </xdr:from>
    <xdr:to>
      <xdr:col>13</xdr:col>
      <xdr:colOff>899584</xdr:colOff>
      <xdr:row>63</xdr:row>
      <xdr:rowOff>0</xdr:rowOff>
    </xdr:to>
    <xdr:graphicFrame macro="">
      <xdr:nvGraphicFramePr>
        <xdr:cNvPr id="9" name="Chart 8">
          <a:extLst>
            <a:ext uri="{FF2B5EF4-FFF2-40B4-BE49-F238E27FC236}">
              <a16:creationId xmlns:a16="http://schemas.microsoft.com/office/drawing/2014/main" id="{50920407-5DF0-4E56-81EB-01EBB6FC15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625083</xdr:colOff>
      <xdr:row>68</xdr:row>
      <xdr:rowOff>0</xdr:rowOff>
    </xdr:from>
    <xdr:to>
      <xdr:col>13</xdr:col>
      <xdr:colOff>955524</xdr:colOff>
      <xdr:row>83</xdr:row>
      <xdr:rowOff>133048</xdr:rowOff>
    </xdr:to>
    <xdr:graphicFrame macro="">
      <xdr:nvGraphicFramePr>
        <xdr:cNvPr id="10" name="Chart 9">
          <a:extLst>
            <a:ext uri="{FF2B5EF4-FFF2-40B4-BE49-F238E27FC236}">
              <a16:creationId xmlns:a16="http://schemas.microsoft.com/office/drawing/2014/main" id="{CBC38CE6-BF67-428E-972E-DBE8F3C4CB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628893</xdr:colOff>
      <xdr:row>278</xdr:row>
      <xdr:rowOff>158749</xdr:rowOff>
    </xdr:from>
    <xdr:to>
      <xdr:col>13</xdr:col>
      <xdr:colOff>1016000</xdr:colOff>
      <xdr:row>294</xdr:row>
      <xdr:rowOff>84666</xdr:rowOff>
    </xdr:to>
    <xdr:graphicFrame macro="">
      <xdr:nvGraphicFramePr>
        <xdr:cNvPr id="11" name="Chart 10">
          <a:extLst>
            <a:ext uri="{FF2B5EF4-FFF2-40B4-BE49-F238E27FC236}">
              <a16:creationId xmlns:a16="http://schemas.microsoft.com/office/drawing/2014/main" id="{E7FC8EB2-85A7-4D32-AC58-42F5EBC963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625083</xdr:colOff>
      <xdr:row>259</xdr:row>
      <xdr:rowOff>0</xdr:rowOff>
    </xdr:from>
    <xdr:to>
      <xdr:col>13</xdr:col>
      <xdr:colOff>955524</xdr:colOff>
      <xdr:row>274</xdr:row>
      <xdr:rowOff>133048</xdr:rowOff>
    </xdr:to>
    <xdr:graphicFrame macro="">
      <xdr:nvGraphicFramePr>
        <xdr:cNvPr id="12" name="Chart 11">
          <a:extLst>
            <a:ext uri="{FF2B5EF4-FFF2-40B4-BE49-F238E27FC236}">
              <a16:creationId xmlns:a16="http://schemas.microsoft.com/office/drawing/2014/main" id="{B25FB6AE-6C82-428D-9B43-CB29EE89F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625083</xdr:colOff>
      <xdr:row>301</xdr:row>
      <xdr:rowOff>0</xdr:rowOff>
    </xdr:from>
    <xdr:to>
      <xdr:col>13</xdr:col>
      <xdr:colOff>955524</xdr:colOff>
      <xdr:row>316</xdr:row>
      <xdr:rowOff>133048</xdr:rowOff>
    </xdr:to>
    <xdr:graphicFrame macro="">
      <xdr:nvGraphicFramePr>
        <xdr:cNvPr id="13" name="Chart 12">
          <a:extLst>
            <a:ext uri="{FF2B5EF4-FFF2-40B4-BE49-F238E27FC236}">
              <a16:creationId xmlns:a16="http://schemas.microsoft.com/office/drawing/2014/main" id="{1A308B86-B638-4EB7-84AF-8578C80933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625083</xdr:colOff>
      <xdr:row>346</xdr:row>
      <xdr:rowOff>0</xdr:rowOff>
    </xdr:from>
    <xdr:to>
      <xdr:col>13</xdr:col>
      <xdr:colOff>955524</xdr:colOff>
      <xdr:row>361</xdr:row>
      <xdr:rowOff>133048</xdr:rowOff>
    </xdr:to>
    <xdr:graphicFrame macro="">
      <xdr:nvGraphicFramePr>
        <xdr:cNvPr id="14" name="Chart 13">
          <a:extLst>
            <a:ext uri="{FF2B5EF4-FFF2-40B4-BE49-F238E27FC236}">
              <a16:creationId xmlns:a16="http://schemas.microsoft.com/office/drawing/2014/main" id="{31712084-C0AF-4A09-AF74-60A6EAB2A8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625083</xdr:colOff>
      <xdr:row>176</xdr:row>
      <xdr:rowOff>0</xdr:rowOff>
    </xdr:from>
    <xdr:to>
      <xdr:col>13</xdr:col>
      <xdr:colOff>955524</xdr:colOff>
      <xdr:row>191</xdr:row>
      <xdr:rowOff>133048</xdr:rowOff>
    </xdr:to>
    <xdr:graphicFrame macro="">
      <xdr:nvGraphicFramePr>
        <xdr:cNvPr id="15" name="Chart 14">
          <a:extLst>
            <a:ext uri="{FF2B5EF4-FFF2-40B4-BE49-F238E27FC236}">
              <a16:creationId xmlns:a16="http://schemas.microsoft.com/office/drawing/2014/main" id="{041E1A09-EF76-48CB-932C-1126D0EA7B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625083</xdr:colOff>
      <xdr:row>197</xdr:row>
      <xdr:rowOff>0</xdr:rowOff>
    </xdr:from>
    <xdr:to>
      <xdr:col>13</xdr:col>
      <xdr:colOff>955524</xdr:colOff>
      <xdr:row>212</xdr:row>
      <xdr:rowOff>133048</xdr:rowOff>
    </xdr:to>
    <xdr:graphicFrame macro="">
      <xdr:nvGraphicFramePr>
        <xdr:cNvPr id="16" name="Chart 15">
          <a:extLst>
            <a:ext uri="{FF2B5EF4-FFF2-40B4-BE49-F238E27FC236}">
              <a16:creationId xmlns:a16="http://schemas.microsoft.com/office/drawing/2014/main" id="{84B7FD1A-E68E-4362-BB04-951ECA0D3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625083</xdr:colOff>
      <xdr:row>218</xdr:row>
      <xdr:rowOff>0</xdr:rowOff>
    </xdr:from>
    <xdr:to>
      <xdr:col>13</xdr:col>
      <xdr:colOff>955524</xdr:colOff>
      <xdr:row>233</xdr:row>
      <xdr:rowOff>133048</xdr:rowOff>
    </xdr:to>
    <xdr:graphicFrame macro="">
      <xdr:nvGraphicFramePr>
        <xdr:cNvPr id="17" name="Chart 16">
          <a:extLst>
            <a:ext uri="{FF2B5EF4-FFF2-40B4-BE49-F238E27FC236}">
              <a16:creationId xmlns:a16="http://schemas.microsoft.com/office/drawing/2014/main" id="{487A8C1F-AA0F-4C40-8876-382AE5C0F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628893</xdr:colOff>
      <xdr:row>238</xdr:row>
      <xdr:rowOff>158749</xdr:rowOff>
    </xdr:from>
    <xdr:to>
      <xdr:col>13</xdr:col>
      <xdr:colOff>1016000</xdr:colOff>
      <xdr:row>254</xdr:row>
      <xdr:rowOff>84666</xdr:rowOff>
    </xdr:to>
    <xdr:graphicFrame macro="">
      <xdr:nvGraphicFramePr>
        <xdr:cNvPr id="18" name="Chart 17">
          <a:extLst>
            <a:ext uri="{FF2B5EF4-FFF2-40B4-BE49-F238E27FC236}">
              <a16:creationId xmlns:a16="http://schemas.microsoft.com/office/drawing/2014/main" id="{E768C2EE-FA1D-4A8E-AF5A-E1F300049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628893</xdr:colOff>
      <xdr:row>321</xdr:row>
      <xdr:rowOff>158749</xdr:rowOff>
    </xdr:from>
    <xdr:to>
      <xdr:col>13</xdr:col>
      <xdr:colOff>1016000</xdr:colOff>
      <xdr:row>337</xdr:row>
      <xdr:rowOff>84666</xdr:rowOff>
    </xdr:to>
    <xdr:graphicFrame macro="">
      <xdr:nvGraphicFramePr>
        <xdr:cNvPr id="19" name="Chart 18">
          <a:extLst>
            <a:ext uri="{FF2B5EF4-FFF2-40B4-BE49-F238E27FC236}">
              <a16:creationId xmlns:a16="http://schemas.microsoft.com/office/drawing/2014/main" id="{99AFD31B-00E8-4CF8-98C0-9A04508B4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287694</xdr:colOff>
      <xdr:row>1</xdr:row>
      <xdr:rowOff>60374</xdr:rowOff>
    </xdr:from>
    <xdr:to>
      <xdr:col>21</xdr:col>
      <xdr:colOff>465525</xdr:colOff>
      <xdr:row>16</xdr:row>
      <xdr:rowOff>51410</xdr:rowOff>
    </xdr:to>
    <xdr:graphicFrame macro="">
      <xdr:nvGraphicFramePr>
        <xdr:cNvPr id="4" name="Chart 3">
          <a:extLst>
            <a:ext uri="{FF2B5EF4-FFF2-40B4-BE49-F238E27FC236}">
              <a16:creationId xmlns:a16="http://schemas.microsoft.com/office/drawing/2014/main" id="{1AB20537-8F84-4C25-A232-B58BCD28E4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290072</xdr:colOff>
      <xdr:row>16</xdr:row>
      <xdr:rowOff>114711</xdr:rowOff>
    </xdr:from>
    <xdr:to>
      <xdr:col>21</xdr:col>
      <xdr:colOff>485832</xdr:colOff>
      <xdr:row>35</xdr:row>
      <xdr:rowOff>60923</xdr:rowOff>
    </xdr:to>
    <xdr:graphicFrame macro="">
      <xdr:nvGraphicFramePr>
        <xdr:cNvPr id="5" name="Chart 4">
          <a:extLst>
            <a:ext uri="{FF2B5EF4-FFF2-40B4-BE49-F238E27FC236}">
              <a16:creationId xmlns:a16="http://schemas.microsoft.com/office/drawing/2014/main" id="{2FA24060-174D-46C4-A9AC-27AE8A566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263843</xdr:colOff>
      <xdr:row>35</xdr:row>
      <xdr:rowOff>126094</xdr:rowOff>
    </xdr:from>
    <xdr:to>
      <xdr:col>21</xdr:col>
      <xdr:colOff>562311</xdr:colOff>
      <xdr:row>54</xdr:row>
      <xdr:rowOff>142875</xdr:rowOff>
    </xdr:to>
    <xdr:graphicFrame macro="">
      <xdr:nvGraphicFramePr>
        <xdr:cNvPr id="6" name="Chart 5">
          <a:extLst>
            <a:ext uri="{FF2B5EF4-FFF2-40B4-BE49-F238E27FC236}">
              <a16:creationId xmlns:a16="http://schemas.microsoft.com/office/drawing/2014/main" id="{B447DE82-F053-4D10-A910-EB27A36A6B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Table_146310" displayName="Table_146310" ref="B4:N5" headerRowDxfId="179" dataDxfId="177" totalsRowDxfId="176" headerRowBorderDxfId="178">
  <tableColumns count="13">
    <tableColumn id="1" xr3:uid="{00000000-0010-0000-0000-000001000000}" name="Countries " dataDxfId="175"/>
    <tableColumn id="2" xr3:uid="{00000000-0010-0000-0000-000002000000}" name=" " dataDxfId="174"/>
    <tableColumn id="3" xr3:uid="{00000000-0010-0000-0000-000003000000}" name="Burundi" dataDxfId="173" dataCellStyle="Comma">
      <calculatedColumnFormula>C6</calculatedColumnFormula>
    </tableColumn>
    <tableColumn id="4" xr3:uid="{00000000-0010-0000-0000-000004000000}" name="Congo" dataDxfId="172" dataCellStyle="Comma">
      <calculatedColumnFormula>C7</calculatedColumnFormula>
    </tableColumn>
    <tableColumn id="5" xr3:uid="{00000000-0010-0000-0000-000005000000}" name="Egypt" dataDxfId="171" dataCellStyle="Comma">
      <calculatedColumnFormula>C8</calculatedColumnFormula>
    </tableColumn>
    <tableColumn id="6" xr3:uid="{00000000-0010-0000-0000-000006000000}" name="Eritrea" dataDxfId="170" dataCellStyle="Comma">
      <calculatedColumnFormula>C9</calculatedColumnFormula>
    </tableColumn>
    <tableColumn id="7" xr3:uid="{00000000-0010-0000-0000-000007000000}" name="Ethiopia" dataDxfId="169" dataCellStyle="Comma">
      <calculatedColumnFormula>C10</calculatedColumnFormula>
    </tableColumn>
    <tableColumn id="8" xr3:uid="{00000000-0010-0000-0000-000008000000}" name="Kenya" dataDxfId="168" dataCellStyle="Comma">
      <calculatedColumnFormula>C11</calculatedColumnFormula>
    </tableColumn>
    <tableColumn id="9" xr3:uid="{00000000-0010-0000-0000-000009000000}" name="Rwanda" dataDxfId="167" dataCellStyle="Comma">
      <calculatedColumnFormula>C12</calculatedColumnFormula>
    </tableColumn>
    <tableColumn id="10" xr3:uid="{00000000-0010-0000-0000-00000A000000}" name="South Sudan" dataDxfId="166" dataCellStyle="Comma">
      <calculatedColumnFormula>C13</calculatedColumnFormula>
    </tableColumn>
    <tableColumn id="11" xr3:uid="{00000000-0010-0000-0000-00000B000000}" name="Sudan" dataDxfId="165" dataCellStyle="Comma">
      <calculatedColumnFormula>C14</calculatedColumnFormula>
    </tableColumn>
    <tableColumn id="12" xr3:uid="{00000000-0010-0000-0000-00000C000000}" name="Tanzania" dataDxfId="164" dataCellStyle="Comma">
      <calculatedColumnFormula>C15</calculatedColumnFormula>
    </tableColumn>
    <tableColumn id="13" xr3:uid="{00000000-0010-0000-0000-00000D000000}" name="Uganda" dataDxfId="163" dataCellStyle="Comma">
      <calculatedColumnFormula>C16</calculatedColumnFormula>
    </tableColumn>
  </tableColumns>
  <tableStyleInfo name="Envy_area_1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1000000}" name="Table_1463412" displayName="Table_1463412" ref="B22:N23" headerRowDxfId="162" dataDxfId="160" totalsRowDxfId="159" headerRowBorderDxfId="161">
  <tableColumns count="13">
    <tableColumn id="1" xr3:uid="{00000000-0010-0000-0100-000001000000}" name="Countries " dataDxfId="158"/>
    <tableColumn id="2" xr3:uid="{00000000-0010-0000-0100-000002000000}" name=" " dataDxfId="157"/>
    <tableColumn id="3" xr3:uid="{00000000-0010-0000-0100-000003000000}" name="Burundi" dataDxfId="156" dataCellStyle="Comma">
      <calculatedColumnFormula>C24</calculatedColumnFormula>
    </tableColumn>
    <tableColumn id="4" xr3:uid="{00000000-0010-0000-0100-000004000000}" name="Congo" dataDxfId="155" dataCellStyle="Comma">
      <calculatedColumnFormula>C25</calculatedColumnFormula>
    </tableColumn>
    <tableColumn id="5" xr3:uid="{00000000-0010-0000-0100-000005000000}" name="Egypt" dataDxfId="154" dataCellStyle="Comma">
      <calculatedColumnFormula>C26</calculatedColumnFormula>
    </tableColumn>
    <tableColumn id="6" xr3:uid="{00000000-0010-0000-0100-000006000000}" name="Eritrea" dataDxfId="153" dataCellStyle="Comma">
      <calculatedColumnFormula>C27</calculatedColumnFormula>
    </tableColumn>
    <tableColumn id="7" xr3:uid="{00000000-0010-0000-0100-000007000000}" name="Ethiopia" dataDxfId="152" dataCellStyle="Comma">
      <calculatedColumnFormula>C28</calculatedColumnFormula>
    </tableColumn>
    <tableColumn id="8" xr3:uid="{00000000-0010-0000-0100-000008000000}" name="Kenya" dataDxfId="151" dataCellStyle="Comma">
      <calculatedColumnFormula>C29</calculatedColumnFormula>
    </tableColumn>
    <tableColumn id="9" xr3:uid="{00000000-0010-0000-0100-000009000000}" name="Rwanda" dataDxfId="150" dataCellStyle="Comma">
      <calculatedColumnFormula>C30</calculatedColumnFormula>
    </tableColumn>
    <tableColumn id="10" xr3:uid="{00000000-0010-0000-0100-00000A000000}" name="South Sudan" dataDxfId="149" dataCellStyle="Comma">
      <calculatedColumnFormula>C31</calculatedColumnFormula>
    </tableColumn>
    <tableColumn id="11" xr3:uid="{00000000-0010-0000-0100-00000B000000}" name="Sudan" dataDxfId="148" dataCellStyle="Comma">
      <calculatedColumnFormula>C32</calculatedColumnFormula>
    </tableColumn>
    <tableColumn id="12" xr3:uid="{00000000-0010-0000-0100-00000C000000}" name="Tanzania" dataDxfId="147" dataCellStyle="Comma">
      <calculatedColumnFormula>C33</calculatedColumnFormula>
    </tableColumn>
    <tableColumn id="13" xr3:uid="{00000000-0010-0000-0100-00000D000000}" name="Uganda" dataDxfId="146" dataCellStyle="Comma">
      <calculatedColumnFormula>C34</calculatedColumnFormula>
    </tableColumn>
  </tableColumns>
  <tableStyleInfo name="Envy_area_1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Table_146345714" displayName="Table_146345714" ref="B58:N59" headerRowDxfId="145" dataDxfId="143" totalsRowDxfId="142" headerRowBorderDxfId="144">
  <tableColumns count="13">
    <tableColumn id="1" xr3:uid="{00000000-0010-0000-0200-000001000000}" name="Countries " dataDxfId="141"/>
    <tableColumn id="2" xr3:uid="{00000000-0010-0000-0200-000002000000}" name=" " dataDxfId="140"/>
    <tableColumn id="3" xr3:uid="{00000000-0010-0000-0200-000003000000}" name="Burundi" dataDxfId="139" dataCellStyle="Comma">
      <calculatedColumnFormula>C60</calculatedColumnFormula>
    </tableColumn>
    <tableColumn id="4" xr3:uid="{00000000-0010-0000-0200-000004000000}" name="Congo" dataDxfId="138" dataCellStyle="Comma">
      <calculatedColumnFormula>C61</calculatedColumnFormula>
    </tableColumn>
    <tableColumn id="5" xr3:uid="{00000000-0010-0000-0200-000005000000}" name="Egypt" dataDxfId="137" dataCellStyle="Comma">
      <calculatedColumnFormula>C62</calculatedColumnFormula>
    </tableColumn>
    <tableColumn id="6" xr3:uid="{00000000-0010-0000-0200-000006000000}" name="Eritrea" dataDxfId="136" dataCellStyle="Comma">
      <calculatedColumnFormula>C63</calculatedColumnFormula>
    </tableColumn>
    <tableColumn id="7" xr3:uid="{00000000-0010-0000-0200-000007000000}" name="Ethiopia" dataDxfId="135" dataCellStyle="Comma">
      <calculatedColumnFormula>C64</calculatedColumnFormula>
    </tableColumn>
    <tableColumn id="8" xr3:uid="{00000000-0010-0000-0200-000008000000}" name="Kenya" dataDxfId="134" dataCellStyle="Comma">
      <calculatedColumnFormula>C65</calculatedColumnFormula>
    </tableColumn>
    <tableColumn id="9" xr3:uid="{00000000-0010-0000-0200-000009000000}" name="Rwanda" dataDxfId="133" dataCellStyle="Comma">
      <calculatedColumnFormula>C66</calculatedColumnFormula>
    </tableColumn>
    <tableColumn id="10" xr3:uid="{00000000-0010-0000-0200-00000A000000}" name="South Sudan" dataDxfId="132" dataCellStyle="Comma">
      <calculatedColumnFormula>C67</calculatedColumnFormula>
    </tableColumn>
    <tableColumn id="11" xr3:uid="{00000000-0010-0000-0200-00000B000000}" name="Sudan" dataDxfId="131" dataCellStyle="Comma">
      <calculatedColumnFormula>C68</calculatedColumnFormula>
    </tableColumn>
    <tableColumn id="12" xr3:uid="{00000000-0010-0000-0200-00000C000000}" name="Tanzania" dataDxfId="130" dataCellStyle="Comma">
      <calculatedColumnFormula>C69</calculatedColumnFormula>
    </tableColumn>
    <tableColumn id="13" xr3:uid="{00000000-0010-0000-0200-00000D000000}" name="Uganda" dataDxfId="129" dataCellStyle="Comma">
      <calculatedColumnFormula>C70</calculatedColumnFormula>
    </tableColumn>
  </tableColumns>
  <tableStyleInfo name="Envy_area_11-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_14634515" displayName="Table_14634515" ref="B40:N41" headerRowDxfId="128" dataDxfId="126" totalsRowDxfId="125" headerRowBorderDxfId="127">
  <tableColumns count="13">
    <tableColumn id="1" xr3:uid="{00000000-0010-0000-0300-000001000000}" name="Countries " dataDxfId="124"/>
    <tableColumn id="2" xr3:uid="{00000000-0010-0000-0300-000002000000}" name=" " dataDxfId="123"/>
    <tableColumn id="3" xr3:uid="{00000000-0010-0000-0300-000003000000}" name="Burundi" dataDxfId="122" dataCellStyle="Comma">
      <calculatedColumnFormula>C42</calculatedColumnFormula>
    </tableColumn>
    <tableColumn id="4" xr3:uid="{00000000-0010-0000-0300-000004000000}" name="Congo" dataDxfId="121" dataCellStyle="Comma">
      <calculatedColumnFormula>C43</calculatedColumnFormula>
    </tableColumn>
    <tableColumn id="5" xr3:uid="{00000000-0010-0000-0300-000005000000}" name="Egypt" dataDxfId="120" dataCellStyle="Comma">
      <calculatedColumnFormula>C44</calculatedColumnFormula>
    </tableColumn>
    <tableColumn id="6" xr3:uid="{00000000-0010-0000-0300-000006000000}" name="Eritrea" dataDxfId="119" dataCellStyle="Comma">
      <calculatedColumnFormula>C45</calculatedColumnFormula>
    </tableColumn>
    <tableColumn id="7" xr3:uid="{00000000-0010-0000-0300-000007000000}" name="Ethiopia" dataDxfId="118" dataCellStyle="Comma">
      <calculatedColumnFormula>C46</calculatedColumnFormula>
    </tableColumn>
    <tableColumn id="8" xr3:uid="{00000000-0010-0000-0300-000008000000}" name="Kenya" dataDxfId="117" dataCellStyle="Comma">
      <calculatedColumnFormula>C47</calculatedColumnFormula>
    </tableColumn>
    <tableColumn id="9" xr3:uid="{00000000-0010-0000-0300-000009000000}" name="Rwanda" dataDxfId="116" dataCellStyle="Comma">
      <calculatedColumnFormula>C48</calculatedColumnFormula>
    </tableColumn>
    <tableColumn id="10" xr3:uid="{00000000-0010-0000-0300-00000A000000}" name="South Sudan" dataDxfId="115" dataCellStyle="Comma">
      <calculatedColumnFormula>C49</calculatedColumnFormula>
    </tableColumn>
    <tableColumn id="11" xr3:uid="{00000000-0010-0000-0300-00000B000000}" name="Sudan" dataDxfId="114" dataCellStyle="Comma">
      <calculatedColumnFormula>C50</calculatedColumnFormula>
    </tableColumn>
    <tableColumn id="12" xr3:uid="{00000000-0010-0000-0300-00000C000000}" name="Tanzania" dataDxfId="113" dataCellStyle="Comma">
      <calculatedColumnFormula>C51</calculatedColumnFormula>
    </tableColumn>
    <tableColumn id="13" xr3:uid="{00000000-0010-0000-0300-00000D000000}" name="Uganda" dataDxfId="112" dataCellStyle="Comma">
      <calculatedColumnFormula>C52</calculatedColumnFormula>
    </tableColumn>
  </tableColumns>
  <tableStyleInfo name="Envy_area_11-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4000000}" name="Table_14634578112918" displayName="Table_14634578112918" ref="B132:N133" headerRowDxfId="111" dataDxfId="109" totalsRowDxfId="108" headerRowBorderDxfId="110">
  <tableColumns count="13">
    <tableColumn id="1" xr3:uid="{00000000-0010-0000-0400-000001000000}" name="Countries " dataDxfId="107"/>
    <tableColumn id="2" xr3:uid="{00000000-0010-0000-0400-000002000000}" name=" " dataDxfId="106"/>
    <tableColumn id="3" xr3:uid="{00000000-0010-0000-0400-000003000000}" name="Burundi" dataDxfId="105" dataCellStyle="Comma">
      <calculatedColumnFormula>C134</calculatedColumnFormula>
    </tableColumn>
    <tableColumn id="4" xr3:uid="{00000000-0010-0000-0400-000004000000}" name="Congo" dataDxfId="104" dataCellStyle="Comma">
      <calculatedColumnFormula>C135</calculatedColumnFormula>
    </tableColumn>
    <tableColumn id="5" xr3:uid="{00000000-0010-0000-0400-000005000000}" name="Egypt" dataDxfId="103" dataCellStyle="Comma">
      <calculatedColumnFormula>C136</calculatedColumnFormula>
    </tableColumn>
    <tableColumn id="6" xr3:uid="{00000000-0010-0000-0400-000006000000}" name="Eritrea" dataDxfId="102" dataCellStyle="Comma">
      <calculatedColumnFormula>C137</calculatedColumnFormula>
    </tableColumn>
    <tableColumn id="7" xr3:uid="{00000000-0010-0000-0400-000007000000}" name="Ethiopia" dataDxfId="101" dataCellStyle="Comma">
      <calculatedColumnFormula>C138</calculatedColumnFormula>
    </tableColumn>
    <tableColumn id="8" xr3:uid="{00000000-0010-0000-0400-000008000000}" name="Kenya" dataDxfId="100" dataCellStyle="Comma">
      <calculatedColumnFormula>C139</calculatedColumnFormula>
    </tableColumn>
    <tableColumn id="9" xr3:uid="{00000000-0010-0000-0400-000009000000}" name="Rwanda" dataDxfId="99" dataCellStyle="Comma">
      <calculatedColumnFormula>C140</calculatedColumnFormula>
    </tableColumn>
    <tableColumn id="10" xr3:uid="{00000000-0010-0000-0400-00000A000000}" name="South Sudan" dataDxfId="98" dataCellStyle="Comma">
      <calculatedColumnFormula>C141</calculatedColumnFormula>
    </tableColumn>
    <tableColumn id="11" xr3:uid="{00000000-0010-0000-0400-00000B000000}" name="Sudan" dataDxfId="97" dataCellStyle="Comma">
      <calculatedColumnFormula>C142</calculatedColumnFormula>
    </tableColumn>
    <tableColumn id="12" xr3:uid="{00000000-0010-0000-0400-00000C000000}" name="Tanzania" dataDxfId="96" dataCellStyle="Comma">
      <calculatedColumnFormula>C143</calculatedColumnFormula>
    </tableColumn>
    <tableColumn id="13" xr3:uid="{00000000-0010-0000-0400-00000D000000}" name="Uganda" dataDxfId="95" dataCellStyle="Comma">
      <calculatedColumnFormula>C144</calculatedColumnFormula>
    </tableColumn>
  </tableColumns>
  <tableStyleInfo name="Envy_area_11-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5000000}" name="Table_1463457811217" displayName="Table_1463457811217" ref="B114:N115" headerRowDxfId="94" dataDxfId="92" totalsRowDxfId="91" headerRowBorderDxfId="93">
  <tableColumns count="13">
    <tableColumn id="1" xr3:uid="{00000000-0010-0000-0500-000001000000}" name="Countries " dataDxfId="90"/>
    <tableColumn id="2" xr3:uid="{00000000-0010-0000-0500-000002000000}" name=" " dataDxfId="89"/>
    <tableColumn id="3" xr3:uid="{00000000-0010-0000-0500-000003000000}" name="Burundi" dataDxfId="88" dataCellStyle="Comma">
      <calculatedColumnFormula>C116</calculatedColumnFormula>
    </tableColumn>
    <tableColumn id="4" xr3:uid="{00000000-0010-0000-0500-000004000000}" name="Congo" dataDxfId="87" dataCellStyle="Comma">
      <calculatedColumnFormula>C117</calculatedColumnFormula>
    </tableColumn>
    <tableColumn id="5" xr3:uid="{00000000-0010-0000-0500-000005000000}" name="Egypt" dataDxfId="86" dataCellStyle="Comma">
      <calculatedColumnFormula>C118</calculatedColumnFormula>
    </tableColumn>
    <tableColumn id="6" xr3:uid="{00000000-0010-0000-0500-000006000000}" name="Eritrea" dataDxfId="85" dataCellStyle="Comma">
      <calculatedColumnFormula>C119</calculatedColumnFormula>
    </tableColumn>
    <tableColumn id="7" xr3:uid="{00000000-0010-0000-0500-000007000000}" name="Ethiopia" dataDxfId="84" dataCellStyle="Comma">
      <calculatedColumnFormula>C120</calculatedColumnFormula>
    </tableColumn>
    <tableColumn id="8" xr3:uid="{00000000-0010-0000-0500-000008000000}" name="Kenya" dataDxfId="83" dataCellStyle="Comma">
      <calculatedColumnFormula>C121</calculatedColumnFormula>
    </tableColumn>
    <tableColumn id="9" xr3:uid="{00000000-0010-0000-0500-000009000000}" name="Rwanda" dataDxfId="82" dataCellStyle="Comma">
      <calculatedColumnFormula>C122</calculatedColumnFormula>
    </tableColumn>
    <tableColumn id="10" xr3:uid="{00000000-0010-0000-0500-00000A000000}" name="South Sudan" dataDxfId="81" dataCellStyle="Comma">
      <calculatedColumnFormula>C123</calculatedColumnFormula>
    </tableColumn>
    <tableColumn id="11" xr3:uid="{00000000-0010-0000-0500-00000B000000}" name="Sudan" dataDxfId="80" dataCellStyle="Comma">
      <calculatedColumnFormula>C124</calculatedColumnFormula>
    </tableColumn>
    <tableColumn id="12" xr3:uid="{00000000-0010-0000-0500-00000C000000}" name="Tanzania" dataDxfId="79" dataCellStyle="Comma">
      <calculatedColumnFormula>C125</calculatedColumnFormula>
    </tableColumn>
    <tableColumn id="13" xr3:uid="{00000000-0010-0000-0500-00000D000000}" name="Uganda" dataDxfId="78" dataCellStyle="Comma">
      <calculatedColumnFormula>C126</calculatedColumnFormula>
    </tableColumn>
  </tableColumns>
  <tableStyleInfo name="Envy_area_11-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Table_146345781116" displayName="Table_146345781116" ref="B96:N97" headerRowDxfId="77" dataDxfId="75" totalsRowDxfId="74" headerRowBorderDxfId="76">
  <tableColumns count="13">
    <tableColumn id="1" xr3:uid="{00000000-0010-0000-0600-000001000000}" name="Countries " dataDxfId="73"/>
    <tableColumn id="2" xr3:uid="{00000000-0010-0000-0600-000002000000}" name=" " dataDxfId="72"/>
    <tableColumn id="3" xr3:uid="{00000000-0010-0000-0600-000003000000}" name="Burundi" dataDxfId="71" dataCellStyle="Comma">
      <calculatedColumnFormula>C98</calculatedColumnFormula>
    </tableColumn>
    <tableColumn id="4" xr3:uid="{00000000-0010-0000-0600-000004000000}" name="Congo" dataDxfId="70" dataCellStyle="Comma">
      <calculatedColumnFormula>C99</calculatedColumnFormula>
    </tableColumn>
    <tableColumn id="5" xr3:uid="{00000000-0010-0000-0600-000005000000}" name="Egypt" dataDxfId="69" dataCellStyle="Comma">
      <calculatedColumnFormula>C100</calculatedColumnFormula>
    </tableColumn>
    <tableColumn id="6" xr3:uid="{00000000-0010-0000-0600-000006000000}" name="Eritrea" dataDxfId="68" dataCellStyle="Comma">
      <calculatedColumnFormula>C101</calculatedColumnFormula>
    </tableColumn>
    <tableColumn id="7" xr3:uid="{00000000-0010-0000-0600-000007000000}" name="Ethiopia" dataDxfId="67" dataCellStyle="Comma">
      <calculatedColumnFormula>C102</calculatedColumnFormula>
    </tableColumn>
    <tableColumn id="8" xr3:uid="{00000000-0010-0000-0600-000008000000}" name="Kenya" dataDxfId="66" dataCellStyle="Comma">
      <calculatedColumnFormula>C103</calculatedColumnFormula>
    </tableColumn>
    <tableColumn id="9" xr3:uid="{00000000-0010-0000-0600-000009000000}" name="Rwanda" dataDxfId="65" dataCellStyle="Comma">
      <calculatedColumnFormula>C104</calculatedColumnFormula>
    </tableColumn>
    <tableColumn id="10" xr3:uid="{00000000-0010-0000-0600-00000A000000}" name="South Sudan" dataDxfId="64" dataCellStyle="Comma">
      <calculatedColumnFormula>C105</calculatedColumnFormula>
    </tableColumn>
    <tableColumn id="11" xr3:uid="{00000000-0010-0000-0600-00000B000000}" name="Sudan" dataDxfId="63" dataCellStyle="Comma">
      <calculatedColumnFormula>C106</calculatedColumnFormula>
    </tableColumn>
    <tableColumn id="12" xr3:uid="{00000000-0010-0000-0600-00000C000000}" name="Tanzania" dataDxfId="62" dataCellStyle="Comma">
      <calculatedColumnFormula>C107</calculatedColumnFormula>
    </tableColumn>
    <tableColumn id="13" xr3:uid="{00000000-0010-0000-0600-00000D000000}" name="Uganda" dataDxfId="61" dataCellStyle="Comma">
      <calculatedColumnFormula>C108</calculatedColumnFormula>
    </tableColumn>
  </tableColumns>
  <tableStyleInfo name="Envy_area_11-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_1463457813" displayName="Table_1463457813" ref="B78:N79" headerRowDxfId="60" dataDxfId="58" totalsRowDxfId="57" headerRowBorderDxfId="59">
  <tableColumns count="13">
    <tableColumn id="1" xr3:uid="{00000000-0010-0000-0700-000001000000}" name="Countries " dataDxfId="56"/>
    <tableColumn id="2" xr3:uid="{00000000-0010-0000-0700-000002000000}" name=" " dataDxfId="55"/>
    <tableColumn id="3" xr3:uid="{00000000-0010-0000-0700-000003000000}" name="Burundi" dataDxfId="54" dataCellStyle="Comma">
      <calculatedColumnFormula>C80</calculatedColumnFormula>
    </tableColumn>
    <tableColumn id="4" xr3:uid="{00000000-0010-0000-0700-000004000000}" name="Congo" dataDxfId="53" dataCellStyle="Comma">
      <calculatedColumnFormula>C81</calculatedColumnFormula>
    </tableColumn>
    <tableColumn id="5" xr3:uid="{00000000-0010-0000-0700-000005000000}" name="Egypt" dataDxfId="52" dataCellStyle="Comma">
      <calculatedColumnFormula>C82</calculatedColumnFormula>
    </tableColumn>
    <tableColumn id="6" xr3:uid="{00000000-0010-0000-0700-000006000000}" name="Eritrea" dataDxfId="51" dataCellStyle="Comma">
      <calculatedColumnFormula>C83</calculatedColumnFormula>
    </tableColumn>
    <tableColumn id="7" xr3:uid="{00000000-0010-0000-0700-000007000000}" name="Ethiopia" dataDxfId="50" dataCellStyle="Comma">
      <calculatedColumnFormula>C84</calculatedColumnFormula>
    </tableColumn>
    <tableColumn id="8" xr3:uid="{00000000-0010-0000-0700-000008000000}" name="Kenya" dataDxfId="49" dataCellStyle="Comma">
      <calculatedColumnFormula>C85</calculatedColumnFormula>
    </tableColumn>
    <tableColumn id="9" xr3:uid="{00000000-0010-0000-0700-000009000000}" name="Rwanda" dataDxfId="48" dataCellStyle="Comma">
      <calculatedColumnFormula>C86</calculatedColumnFormula>
    </tableColumn>
    <tableColumn id="10" xr3:uid="{00000000-0010-0000-0700-00000A000000}" name="South Sudan" dataDxfId="47" dataCellStyle="Comma">
      <calculatedColumnFormula>C87</calculatedColumnFormula>
    </tableColumn>
    <tableColumn id="11" xr3:uid="{00000000-0010-0000-0700-00000B000000}" name="Sudan" dataDxfId="46" dataCellStyle="Comma">
      <calculatedColumnFormula>C88</calculatedColumnFormula>
    </tableColumn>
    <tableColumn id="12" xr3:uid="{00000000-0010-0000-0700-00000C000000}" name="Tanzania" dataDxfId="45" dataCellStyle="Comma">
      <calculatedColumnFormula>C89</calculatedColumnFormula>
    </tableColumn>
    <tableColumn id="13" xr3:uid="{00000000-0010-0000-0700-00000D000000}" name="Uganda" dataDxfId="44" dataCellStyle="Comma">
      <calculatedColumnFormula>C90</calculatedColumnFormula>
    </tableColumn>
  </tableColumns>
  <tableStyleInfo name="Envy_area_11-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C25E82-F2FE-4D3A-98A8-B0C376CA1282}" name="Table_1463457142" displayName="Table_1463457142" ref="B151:N152" headerRowDxfId="43" dataDxfId="41" totalsRowDxfId="40" headerRowBorderDxfId="42">
  <tableColumns count="13">
    <tableColumn id="1" xr3:uid="{72261016-7AFB-40C0-AA1D-1037E59B2ACF}" name="Countries " dataDxfId="39"/>
    <tableColumn id="2" xr3:uid="{9AE4DC6C-5129-4896-9FDC-DEFBFA69B13E}" name=" " dataDxfId="38"/>
    <tableColumn id="3" xr3:uid="{B3BB4C88-46E1-4B8E-8620-922ABA8E70C0}" name="Burundi" dataDxfId="37" dataCellStyle="Comma">
      <calculatedColumnFormula>C153</calculatedColumnFormula>
    </tableColumn>
    <tableColumn id="4" xr3:uid="{17077F02-41ED-4592-8989-BCFE3A96C1DF}" name="Congo" dataDxfId="36" dataCellStyle="Comma">
      <calculatedColumnFormula>C154</calculatedColumnFormula>
    </tableColumn>
    <tableColumn id="5" xr3:uid="{EBC87157-34A3-4596-910D-F6914A3444A2}" name="Egypt" dataDxfId="35" dataCellStyle="Comma">
      <calculatedColumnFormula>C155</calculatedColumnFormula>
    </tableColumn>
    <tableColumn id="6" xr3:uid="{70CC5461-73DC-4508-BCE4-206B0B132115}" name="Eritrea" dataDxfId="34" dataCellStyle="Comma">
      <calculatedColumnFormula>C156</calculatedColumnFormula>
    </tableColumn>
    <tableColumn id="7" xr3:uid="{1297CADF-D0B0-454F-A578-E9189FAD87F4}" name="Ethiopia" dataDxfId="33" dataCellStyle="Comma">
      <calculatedColumnFormula>C157</calculatedColumnFormula>
    </tableColumn>
    <tableColumn id="8" xr3:uid="{532C5F4F-60B6-4E34-8CDD-1CEB1C2A804C}" name="Kenya" dataDxfId="32" dataCellStyle="Comma">
      <calculatedColumnFormula>C158</calculatedColumnFormula>
    </tableColumn>
    <tableColumn id="9" xr3:uid="{709718F9-DDB7-4A4C-8938-99F2AA2786E2}" name="Rwanda" dataDxfId="31" dataCellStyle="Comma">
      <calculatedColumnFormula>C159</calculatedColumnFormula>
    </tableColumn>
    <tableColumn id="10" xr3:uid="{8000F3F4-0AFD-4596-8410-95174F967101}" name="South Sudan" dataDxfId="30" dataCellStyle="Comma">
      <calculatedColumnFormula>C160</calculatedColumnFormula>
    </tableColumn>
    <tableColumn id="11" xr3:uid="{FC7D8D42-1CDB-42BE-B04F-CAAAB605099F}" name="Sudan" dataDxfId="29" dataCellStyle="Comma">
      <calculatedColumnFormula>C161</calculatedColumnFormula>
    </tableColumn>
    <tableColumn id="12" xr3:uid="{F8D9942A-7741-4E27-8E95-12FB9A948E1D}" name="Tanzania" dataDxfId="28" dataCellStyle="Comma">
      <calculatedColumnFormula>C162</calculatedColumnFormula>
    </tableColumn>
    <tableColumn id="13" xr3:uid="{F40E5F9F-21AE-40D4-84C8-C1582B30318B}" name="Uganda" dataDxfId="27" dataCellStyle="Comma">
      <calculatedColumnFormula>C163</calculatedColumnFormula>
    </tableColumn>
  </tableColumns>
  <tableStyleInfo name="Envy_area_11-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62188D-8AE3-4427-B970-01E60A4FE2FA}" name="Table_146345781129183" displayName="Table_146345781129183" ref="B169:N170" headerRowDxfId="26" dataDxfId="24" totalsRowDxfId="23" headerRowBorderDxfId="25">
  <tableColumns count="13">
    <tableColumn id="1" xr3:uid="{2661CF9B-F781-4878-A8E2-D6C42D6FEE61}" name="Countries " dataDxfId="22"/>
    <tableColumn id="2" xr3:uid="{66DC0E57-167D-4713-B3D2-2AFC0CAB425D}" name=" " dataDxfId="21"/>
    <tableColumn id="3" xr3:uid="{D2E67617-2C9B-4FEA-89B0-8CA68702F9E7}" name="Burundi" dataDxfId="20" dataCellStyle="Comma">
      <calculatedColumnFormula>C171</calculatedColumnFormula>
    </tableColumn>
    <tableColumn id="4" xr3:uid="{8413DFAD-A4B1-40F8-B477-0AD4D06038E5}" name="Congo" dataDxfId="19" dataCellStyle="Comma">
      <calculatedColumnFormula>C172</calculatedColumnFormula>
    </tableColumn>
    <tableColumn id="5" xr3:uid="{6BCD7315-D1EE-4FB0-83B1-86DC1919F28C}" name="Egypt" dataDxfId="18" dataCellStyle="Comma">
      <calculatedColumnFormula>C173</calculatedColumnFormula>
    </tableColumn>
    <tableColumn id="6" xr3:uid="{6DD0E093-C7E5-498B-91DF-16FBCD9C9C28}" name="Eritrea" dataDxfId="17" dataCellStyle="Comma">
      <calculatedColumnFormula>C174</calculatedColumnFormula>
    </tableColumn>
    <tableColumn id="7" xr3:uid="{17A23068-09A6-4A93-91CE-D5FFAD072897}" name="Ethiopia" dataDxfId="16" dataCellStyle="Comma">
      <calculatedColumnFormula>C175</calculatedColumnFormula>
    </tableColumn>
    <tableColumn id="8" xr3:uid="{3F759250-CF9A-42CB-AFF7-B781CD8F3C09}" name="Kenya" dataDxfId="15" dataCellStyle="Comma">
      <calculatedColumnFormula>C176</calculatedColumnFormula>
    </tableColumn>
    <tableColumn id="9" xr3:uid="{585DA4F4-5BE6-4301-B924-FCB35B9820AD}" name="Rwanda" dataDxfId="14" dataCellStyle="Comma">
      <calculatedColumnFormula>C177</calculatedColumnFormula>
    </tableColumn>
    <tableColumn id="10" xr3:uid="{CE02B59B-AC6C-4781-BEB9-46FAA036BBB5}" name="South Sudan" dataDxfId="13" dataCellStyle="Comma">
      <calculatedColumnFormula>C178</calculatedColumnFormula>
    </tableColumn>
    <tableColumn id="11" xr3:uid="{6FF3FB5A-72A2-4B57-89AC-D96B6F804BC2}" name="Sudan" dataDxfId="12" dataCellStyle="Comma">
      <calculatedColumnFormula>C179</calculatedColumnFormula>
    </tableColumn>
    <tableColumn id="12" xr3:uid="{0A998BEF-C06E-4A36-B7BE-EE11CC61BC7F}" name="Tanzania" dataDxfId="11" dataCellStyle="Comma">
      <calculatedColumnFormula>C180</calculatedColumnFormula>
    </tableColumn>
    <tableColumn id="13" xr3:uid="{3425B2B9-A449-4B31-A1E2-70710DB6E957}" name="Uganda" dataDxfId="10" dataCellStyle="Comma">
      <calculatedColumnFormula>C181</calculatedColumnFormula>
    </tableColumn>
  </tableColumns>
  <tableStyleInfo name="Envy_area_11-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49997-752A-4CC7-8A4F-F577217C424B}" name="Table3" displayName="Table3" ref="C5:D12" totalsRowShown="0" dataDxfId="8" headerRowBorderDxfId="9">
  <autoFilter ref="C5:D12" xr:uid="{4EB64AF8-8E1A-47E3-948E-5EA80A72DCCC}">
    <filterColumn colId="0" hiddenButton="1"/>
    <filterColumn colId="1" hiddenButton="1"/>
  </autoFilter>
  <tableColumns count="2">
    <tableColumn id="1" xr3:uid="{542B6BF8-EF4E-4BBA-A761-56B8674CF345}" name="No" dataDxfId="7"/>
    <tableColumn id="2" xr3:uid="{877BEA2E-FC2A-4325-A0F3-B0A98C9A4603}" name="Challenges" dataDxfId="6"/>
  </tableColumns>
  <tableStyleInfo name="TableStyleLight1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25F86C-BECA-4897-BCA2-EF0FF0DC39D9}" name="Table35" displayName="Table35" ref="C15:F27" totalsRowShown="0" dataDxfId="4" headerRowBorderDxfId="5">
  <autoFilter ref="C15:F27" xr:uid="{5CD37DA9-9C4A-4856-8D8A-1170985B10C7}">
    <filterColumn colId="0" hiddenButton="1"/>
    <filterColumn colId="1" hiddenButton="1"/>
    <filterColumn colId="2" hiddenButton="1"/>
    <filterColumn colId="3" hiddenButton="1"/>
  </autoFilter>
  <tableColumns count="4">
    <tableColumn id="1" xr3:uid="{6833CF3D-6D65-4555-B6A0-51247A6DB16E}" name="No" dataDxfId="3"/>
    <tableColumn id="2" xr3:uid="{5A5E35FE-CD5B-474C-AFD4-EB6D8893CB46}" name="Agreements" dataDxfId="2"/>
    <tableColumn id="4" xr3:uid="{2FA28174-3647-41CC-B807-AD887C85D9B5}" name="Signatoreies" dataDxfId="1"/>
    <tableColumn id="3" xr3:uid="{ADAA3300-ADC2-4BF5-84C4-FA1E62471D2A}" name="Date" dataDxfId="0"/>
  </tableColumns>
  <tableStyleInfo name="TableStyleLight1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4.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J82"/>
  <sheetViews>
    <sheetView topLeftCell="S23" zoomScale="88" zoomScaleNormal="60" workbookViewId="0">
      <selection activeCell="A83" sqref="A83:XFD96"/>
    </sheetView>
  </sheetViews>
  <sheetFormatPr defaultRowHeight="13.2" x14ac:dyDescent="0.25"/>
  <cols>
    <col min="2" max="2" width="15.33203125" style="106" bestFit="1" customWidth="1"/>
    <col min="3" max="3" width="13.109375" bestFit="1" customWidth="1"/>
    <col min="4" max="7" width="12.77734375" bestFit="1" customWidth="1"/>
    <col min="8" max="8" width="12.77734375" customWidth="1"/>
    <col min="9" max="10" width="13.44140625" bestFit="1" customWidth="1"/>
    <col min="11" max="11" width="13.21875" bestFit="1" customWidth="1"/>
    <col min="12" max="12" width="11.77734375" bestFit="1" customWidth="1"/>
    <col min="13" max="13" width="12.33203125" style="106" bestFit="1" customWidth="1"/>
    <col min="14" max="14" width="11.88671875" style="2" bestFit="1" customWidth="1"/>
    <col min="15" max="15" width="11.44140625" style="2" bestFit="1" customWidth="1"/>
    <col min="16" max="24" width="13.109375" bestFit="1" customWidth="1"/>
    <col min="25" max="25" width="15.77734375" bestFit="1" customWidth="1"/>
    <col min="26" max="26" width="16.33203125" bestFit="1" customWidth="1"/>
    <col min="27" max="27" width="12.5546875" customWidth="1"/>
    <col min="28" max="28" width="8.21875" bestFit="1" customWidth="1"/>
    <col min="29" max="29" width="9" bestFit="1" customWidth="1"/>
    <col min="30" max="30" width="8.21875" bestFit="1" customWidth="1"/>
    <col min="31" max="31" width="9" bestFit="1" customWidth="1"/>
    <col min="32" max="32" width="8.21875" bestFit="1" customWidth="1"/>
    <col min="33" max="35" width="9" bestFit="1" customWidth="1"/>
  </cols>
  <sheetData>
    <row r="2" spans="2:32" ht="19.8" customHeight="1" x14ac:dyDescent="0.25">
      <c r="B2" s="200" t="s">
        <v>28</v>
      </c>
      <c r="C2" s="200"/>
      <c r="D2" s="200"/>
      <c r="E2" s="200"/>
      <c r="F2" s="200"/>
      <c r="G2" s="200"/>
      <c r="H2" s="200"/>
      <c r="I2" s="200"/>
      <c r="J2" s="200"/>
      <c r="K2" s="200"/>
      <c r="M2" s="200" t="s">
        <v>157</v>
      </c>
      <c r="N2" s="200"/>
      <c r="O2" s="200"/>
      <c r="P2" s="200"/>
      <c r="Q2" s="200"/>
      <c r="R2" s="200"/>
      <c r="S2" s="200"/>
      <c r="T2" s="200"/>
      <c r="U2" s="200"/>
      <c r="V2" s="200"/>
      <c r="W2" s="200"/>
      <c r="X2" s="200"/>
      <c r="Y2" s="201"/>
      <c r="Z2" s="201"/>
      <c r="AA2" s="201"/>
      <c r="AB2" s="201"/>
      <c r="AC2" s="201"/>
      <c r="AD2" s="201"/>
      <c r="AE2" s="201"/>
      <c r="AF2" s="201"/>
    </row>
    <row r="3" spans="2:32" s="42" customFormat="1" ht="34.5" customHeight="1" x14ac:dyDescent="0.25">
      <c r="B3" s="104" t="s">
        <v>61</v>
      </c>
      <c r="C3" s="41">
        <v>2010</v>
      </c>
      <c r="D3" s="41">
        <v>2011</v>
      </c>
      <c r="E3" s="41">
        <v>2012</v>
      </c>
      <c r="F3" s="41">
        <v>2013</v>
      </c>
      <c r="G3" s="41">
        <v>2014</v>
      </c>
      <c r="H3" s="41">
        <v>2015</v>
      </c>
      <c r="I3" s="41">
        <v>2016</v>
      </c>
      <c r="J3" s="41">
        <v>2017</v>
      </c>
      <c r="K3" s="41">
        <v>2018</v>
      </c>
      <c r="M3" s="104" t="s">
        <v>61</v>
      </c>
      <c r="N3" s="41" t="s">
        <v>52</v>
      </c>
      <c r="O3" s="41" t="s">
        <v>0</v>
      </c>
      <c r="P3" s="41">
        <v>2010</v>
      </c>
      <c r="Q3" s="41">
        <v>2011</v>
      </c>
      <c r="R3" s="41">
        <v>2012</v>
      </c>
      <c r="S3" s="41">
        <v>2013</v>
      </c>
      <c r="T3" s="41">
        <v>2014</v>
      </c>
      <c r="U3" s="41">
        <v>2015</v>
      </c>
      <c r="V3" s="41">
        <v>2016</v>
      </c>
      <c r="W3" s="41">
        <v>2017</v>
      </c>
      <c r="X3" s="41">
        <v>2018</v>
      </c>
      <c r="Y3" s="101"/>
      <c r="Z3" s="3" t="s">
        <v>62</v>
      </c>
      <c r="AA3">
        <v>1000000</v>
      </c>
      <c r="AB3" s="70"/>
      <c r="AC3" s="70"/>
      <c r="AD3" s="70"/>
      <c r="AE3" s="101"/>
      <c r="AF3" s="101"/>
    </row>
    <row r="4" spans="2:32" x14ac:dyDescent="0.25">
      <c r="B4" s="105" t="s">
        <v>1</v>
      </c>
      <c r="C4" s="14">
        <v>1175.911081831184</v>
      </c>
      <c r="D4" s="14">
        <v>1221.2640228557621</v>
      </c>
      <c r="E4" s="14">
        <v>1174.706109486149</v>
      </c>
      <c r="F4" s="14">
        <v>1326.714477617154</v>
      </c>
      <c r="G4" s="14">
        <v>1097.4277040627769</v>
      </c>
      <c r="H4" s="14">
        <v>1260.503415647024</v>
      </c>
      <c r="I4" s="14">
        <v>1202.4981692838601</v>
      </c>
      <c r="J4" s="14">
        <v>1181.1137616746139</v>
      </c>
      <c r="K4" s="14">
        <v>1500.937783451104</v>
      </c>
      <c r="M4" s="105" t="s">
        <v>1</v>
      </c>
      <c r="N4" s="14">
        <v>13199.085501550475</v>
      </c>
      <c r="O4" s="17">
        <v>6.169632</v>
      </c>
      <c r="P4" s="17">
        <f t="shared" ref="P4:X4" si="0">((C4*0.001)*($N$4*1000000))/1000000000</f>
        <v>15.520950911310514</v>
      </c>
      <c r="Q4" s="17">
        <f t="shared" si="0"/>
        <v>16.119568257640697</v>
      </c>
      <c r="R4" s="17">
        <f t="shared" si="0"/>
        <v>15.505046378301394</v>
      </c>
      <c r="S4" s="17">
        <f t="shared" si="0"/>
        <v>17.511417826213687</v>
      </c>
      <c r="T4" s="17">
        <f t="shared" si="0"/>
        <v>14.485042097694823</v>
      </c>
      <c r="U4" s="17">
        <f t="shared" si="0"/>
        <v>16.637492358121488</v>
      </c>
      <c r="V4" s="17">
        <f t="shared" si="0"/>
        <v>15.871876151835586</v>
      </c>
      <c r="W4" s="17">
        <f t="shared" si="0"/>
        <v>15.589621527401139</v>
      </c>
      <c r="X4" s="17">
        <f t="shared" si="0"/>
        <v>19.81100613627877</v>
      </c>
      <c r="Y4" s="67"/>
      <c r="Z4" s="3" t="s">
        <v>86</v>
      </c>
      <c r="AA4">
        <v>1000000000</v>
      </c>
      <c r="AB4" s="71"/>
      <c r="AC4" s="71"/>
      <c r="AD4" s="71"/>
      <c r="AE4" s="102"/>
      <c r="AF4" s="102"/>
    </row>
    <row r="5" spans="2:32" x14ac:dyDescent="0.25">
      <c r="B5" s="105" t="s">
        <v>2</v>
      </c>
      <c r="C5" s="14">
        <v>1418.7392159847241</v>
      </c>
      <c r="D5" s="14">
        <v>1283.802879980449</v>
      </c>
      <c r="E5" s="14">
        <v>1359.913537562622</v>
      </c>
      <c r="F5" s="14">
        <v>1258.4662990271829</v>
      </c>
      <c r="G5" s="14">
        <v>1192.860418550445</v>
      </c>
      <c r="H5" s="14">
        <v>1256.887402759819</v>
      </c>
      <c r="I5" s="14">
        <v>1230.4236710918381</v>
      </c>
      <c r="J5" s="14">
        <v>1160.096655594396</v>
      </c>
      <c r="K5" s="14">
        <v>1332.2501536237601</v>
      </c>
      <c r="M5" s="105" t="s">
        <v>2</v>
      </c>
      <c r="N5" s="14">
        <v>20450.034940117202</v>
      </c>
      <c r="O5" s="17">
        <v>3.8753060000000001</v>
      </c>
      <c r="P5" s="17">
        <f t="shared" ref="P5:X5" si="1">((C5*0.001)*($N$5*1000000))/1000000000</f>
        <v>29.013266537802092</v>
      </c>
      <c r="Q5" s="17">
        <f t="shared" si="1"/>
        <v>26.253813751823277</v>
      </c>
      <c r="R5" s="17">
        <f t="shared" si="1"/>
        <v>27.810279358694004</v>
      </c>
      <c r="S5" s="17">
        <f t="shared" si="1"/>
        <v>25.735679786065873</v>
      </c>
      <c r="T5" s="17">
        <f t="shared" si="1"/>
        <v>24.394037238039431</v>
      </c>
      <c r="U5" s="17">
        <f t="shared" si="1"/>
        <v>25.703391302231459</v>
      </c>
      <c r="V5" s="17">
        <f t="shared" si="1"/>
        <v>25.16220706497537</v>
      </c>
      <c r="W5" s="17">
        <f t="shared" si="1"/>
        <v>23.724017140818511</v>
      </c>
      <c r="X5" s="17">
        <f t="shared" si="1"/>
        <v>27.244562190582403</v>
      </c>
      <c r="Y5" s="67"/>
      <c r="Z5" s="71"/>
      <c r="AA5" s="71"/>
      <c r="AB5" s="71"/>
      <c r="AC5" s="71"/>
      <c r="AD5" s="71"/>
      <c r="AE5" s="102"/>
      <c r="AF5" s="102"/>
    </row>
    <row r="6" spans="2:32" x14ac:dyDescent="0.25">
      <c r="B6" s="105" t="s">
        <v>3</v>
      </c>
      <c r="C6" s="14">
        <v>8.2305339117421052</v>
      </c>
      <c r="D6" s="14">
        <v>10.015941044943711</v>
      </c>
      <c r="E6" s="14">
        <v>13.830734388590059</v>
      </c>
      <c r="F6" s="14">
        <v>11.79874242837931</v>
      </c>
      <c r="G6" s="14">
        <v>10.2510628242187</v>
      </c>
      <c r="H6" s="14">
        <v>13.00641777359038</v>
      </c>
      <c r="I6" s="14">
        <v>24.543081984305601</v>
      </c>
      <c r="J6" s="14">
        <v>13.444546338509531</v>
      </c>
      <c r="K6" s="14">
        <v>17.866098695462739</v>
      </c>
      <c r="M6" s="105" t="s">
        <v>3</v>
      </c>
      <c r="N6" s="14">
        <v>251430.37783690859</v>
      </c>
      <c r="O6" s="17">
        <v>83.946549000000005</v>
      </c>
      <c r="P6" s="17">
        <f t="shared" ref="P6:X6" si="2">((C6*0.001)*($N$6*1000000))/1000000000</f>
        <v>2.0694062512288069</v>
      </c>
      <c r="Q6" s="17">
        <f t="shared" si="2"/>
        <v>2.5183118413223982</v>
      </c>
      <c r="R6" s="17">
        <f t="shared" si="2"/>
        <v>3.4774667730851241</v>
      </c>
      <c r="S6" s="17">
        <f t="shared" si="2"/>
        <v>2.9665622667677747</v>
      </c>
      <c r="T6" s="17">
        <f t="shared" si="2"/>
        <v>2.5774285991231953</v>
      </c>
      <c r="U6" s="17">
        <f t="shared" si="2"/>
        <v>3.2702085351185128</v>
      </c>
      <c r="V6" s="17">
        <f t="shared" si="2"/>
        <v>6.1708763765961825</v>
      </c>
      <c r="W6" s="17">
        <f t="shared" si="2"/>
        <v>3.3803673657372775</v>
      </c>
      <c r="X6" s="17">
        <f t="shared" si="2"/>
        <v>4.4920799454716969</v>
      </c>
      <c r="Y6" s="67"/>
      <c r="Z6" s="71"/>
      <c r="AA6" s="71"/>
      <c r="AB6" s="71"/>
      <c r="AC6" s="71"/>
      <c r="AD6" s="71"/>
      <c r="AE6" s="102"/>
      <c r="AF6" s="102"/>
    </row>
    <row r="7" spans="2:32" x14ac:dyDescent="0.25">
      <c r="B7" s="105" t="s">
        <v>4</v>
      </c>
      <c r="C7" s="14">
        <v>611.0238773824442</v>
      </c>
      <c r="D7" s="14">
        <v>498.49959016732907</v>
      </c>
      <c r="E7" s="14">
        <v>615.05476018312879</v>
      </c>
      <c r="F7" s="14">
        <v>463.17028001789288</v>
      </c>
      <c r="G7" s="14">
        <v>580.4765135813949</v>
      </c>
      <c r="H7" s="14">
        <v>487.56692335055908</v>
      </c>
      <c r="I7" s="14">
        <v>538.11799399023971</v>
      </c>
      <c r="J7" s="14">
        <v>587.8411651555391</v>
      </c>
      <c r="K7" s="14">
        <v>585.79117490926365</v>
      </c>
      <c r="M7" s="105" t="s">
        <v>4</v>
      </c>
      <c r="N7" s="14">
        <v>24496.645034227455</v>
      </c>
      <c r="O7" s="17">
        <v>1.2901100000000001</v>
      </c>
      <c r="P7" s="17">
        <f t="shared" ref="P7:X7" si="3">((C7*0.001)*($N$7*1000000))/1000000000</f>
        <v>14.968035031675058</v>
      </c>
      <c r="Q7" s="17">
        <f t="shared" si="3"/>
        <v>12.211567510036925</v>
      </c>
      <c r="R7" s="17">
        <f t="shared" si="3"/>
        <v>15.066778136817998</v>
      </c>
      <c r="S7" s="17">
        <f t="shared" si="3"/>
        <v>11.346117940002056</v>
      </c>
      <c r="T7" s="17">
        <f t="shared" si="3"/>
        <v>14.219727103909346</v>
      </c>
      <c r="U7" s="17">
        <f t="shared" si="3"/>
        <v>11.943753851749031</v>
      </c>
      <c r="V7" s="17">
        <f t="shared" si="3"/>
        <v>13.182085485309447</v>
      </c>
      <c r="W7" s="17">
        <f t="shared" si="3"/>
        <v>14.400136359321918</v>
      </c>
      <c r="X7" s="17">
        <f t="shared" si="3"/>
        <v>14.349918475935281</v>
      </c>
      <c r="Y7" s="67"/>
      <c r="Z7" s="71"/>
      <c r="AA7" s="71"/>
      <c r="AB7" s="71"/>
      <c r="AC7" s="71"/>
      <c r="AD7" s="71"/>
      <c r="AE7" s="102"/>
      <c r="AF7" s="102"/>
    </row>
    <row r="8" spans="2:32" x14ac:dyDescent="0.25">
      <c r="B8" s="105" t="s">
        <v>5</v>
      </c>
      <c r="C8" s="14">
        <v>1226.834170639296</v>
      </c>
      <c r="D8" s="14">
        <v>1213.8403084302199</v>
      </c>
      <c r="E8" s="14">
        <v>1280.1515154348131</v>
      </c>
      <c r="F8" s="14">
        <v>1215.1466255418411</v>
      </c>
      <c r="G8" s="14">
        <v>1268.1409342674531</v>
      </c>
      <c r="H8" s="14">
        <v>1137.71527445226</v>
      </c>
      <c r="I8" s="14">
        <v>1240.2316360487889</v>
      </c>
      <c r="J8" s="14">
        <v>1332.368609566649</v>
      </c>
      <c r="K8" s="14">
        <v>1234.477309464372</v>
      </c>
      <c r="M8" s="105" t="s">
        <v>5</v>
      </c>
      <c r="N8" s="14">
        <v>363314.38569269452</v>
      </c>
      <c r="O8" s="17">
        <v>39.232453</v>
      </c>
      <c r="P8" s="17">
        <f t="shared" ref="P8:X8" si="4">((C8*0.001)*($N$8*1000000))/1000000000</f>
        <v>445.72650305262221</v>
      </c>
      <c r="Q8" s="17">
        <f t="shared" si="4"/>
        <v>441.00564598635611</v>
      </c>
      <c r="R8" s="17">
        <f t="shared" si="4"/>
        <v>465.09746142377105</v>
      </c>
      <c r="S8" s="17">
        <f t="shared" si="4"/>
        <v>441.48024978528468</v>
      </c>
      <c r="T8" s="17">
        <f t="shared" si="4"/>
        <v>460.73384450513942</v>
      </c>
      <c r="U8" s="17">
        <f t="shared" si="4"/>
        <v>413.34832603081821</v>
      </c>
      <c r="V8" s="17">
        <f t="shared" si="4"/>
        <v>450.59399496771118</v>
      </c>
      <c r="W8" s="17">
        <f t="shared" si="4"/>
        <v>484.06868290093661</v>
      </c>
      <c r="X8" s="17">
        <f t="shared" si="4"/>
        <v>448.50336533961865</v>
      </c>
      <c r="Y8" s="67"/>
      <c r="Z8" s="71"/>
      <c r="AA8" s="71"/>
      <c r="AB8" s="71"/>
      <c r="AC8" s="71"/>
      <c r="AD8" s="71"/>
      <c r="AE8" s="102"/>
      <c r="AF8" s="102"/>
    </row>
    <row r="9" spans="2:32" x14ac:dyDescent="0.25">
      <c r="B9" s="105" t="s">
        <v>6</v>
      </c>
      <c r="C9" s="14">
        <v>1588.4939654820521</v>
      </c>
      <c r="D9" s="14">
        <v>1556.100392081725</v>
      </c>
      <c r="E9" s="14">
        <v>1729.1739184408641</v>
      </c>
      <c r="F9" s="14">
        <v>1561.036055152128</v>
      </c>
      <c r="G9" s="14">
        <v>1428.3266098369711</v>
      </c>
      <c r="H9" s="14">
        <v>1510.875251914624</v>
      </c>
      <c r="I9" s="14">
        <v>1288.7270157790081</v>
      </c>
      <c r="J9" s="14">
        <v>1475.072837449901</v>
      </c>
      <c r="K9" s="14">
        <v>1686.2477169057449</v>
      </c>
      <c r="M9" s="105" t="s">
        <v>6</v>
      </c>
      <c r="N9" s="14">
        <v>49475.746319971244</v>
      </c>
      <c r="O9" s="17">
        <v>19.742709999999999</v>
      </c>
      <c r="P9" s="17">
        <f t="shared" ref="P9:X9" si="5">((C9*0.001)*($N$9*1000000))/1000000000</f>
        <v>78.591924466995167</v>
      </c>
      <c r="Q9" s="17">
        <f t="shared" si="5"/>
        <v>76.989228247043215</v>
      </c>
      <c r="R9" s="17">
        <f t="shared" si="5"/>
        <v>85.552170131890833</v>
      </c>
      <c r="S9" s="17">
        <f t="shared" si="5"/>
        <v>77.23342386103532</v>
      </c>
      <c r="T9" s="17">
        <f t="shared" si="5"/>
        <v>70.667525010358531</v>
      </c>
      <c r="U9" s="17">
        <f t="shared" si="5"/>
        <v>74.751680684850584</v>
      </c>
      <c r="V9" s="17">
        <f t="shared" si="5"/>
        <v>63.760730908375784</v>
      </c>
      <c r="W9" s="17">
        <f t="shared" si="5"/>
        <v>72.980329509151488</v>
      </c>
      <c r="X9" s="17">
        <f t="shared" si="5"/>
        <v>83.428364274259323</v>
      </c>
      <c r="Y9" s="67"/>
      <c r="Z9" s="71"/>
      <c r="AA9" s="71"/>
      <c r="AB9" s="71"/>
      <c r="AC9" s="71"/>
      <c r="AD9" s="71"/>
      <c r="AE9" s="102"/>
      <c r="AF9" s="102"/>
    </row>
    <row r="10" spans="2:32" x14ac:dyDescent="0.25">
      <c r="B10" s="105" t="s">
        <v>7</v>
      </c>
      <c r="C10" s="14">
        <v>1194.214506004759</v>
      </c>
      <c r="D10" s="14">
        <v>1227.142293191537</v>
      </c>
      <c r="E10" s="14">
        <v>1210.7370153312561</v>
      </c>
      <c r="F10" s="14">
        <v>1119.9096024467251</v>
      </c>
      <c r="G10" s="14">
        <v>959.76207346796218</v>
      </c>
      <c r="H10" s="14">
        <v>1021.95886746694</v>
      </c>
      <c r="I10" s="14">
        <v>1075.9384280106431</v>
      </c>
      <c r="J10" s="14">
        <v>1023.790521468555</v>
      </c>
      <c r="K10" s="14">
        <v>1332.4347995628391</v>
      </c>
      <c r="M10" s="105" t="s">
        <v>7</v>
      </c>
      <c r="N10" s="14">
        <v>20836.189535136225</v>
      </c>
      <c r="O10" s="17">
        <v>11.426439</v>
      </c>
      <c r="P10" s="17">
        <f t="shared" ref="P10:X10" si="6">((C10*0.001)*($N$10*1000000))/1000000000</f>
        <v>24.882879792724239</v>
      </c>
      <c r="Q10" s="17">
        <f t="shared" si="6"/>
        <v>25.568969407520573</v>
      </c>
      <c r="R10" s="17">
        <f t="shared" si="6"/>
        <v>25.22714592864719</v>
      </c>
      <c r="S10" s="17">
        <f t="shared" si="6"/>
        <v>23.334648738799025</v>
      </c>
      <c r="T10" s="17">
        <f t="shared" si="6"/>
        <v>19.997784471413798</v>
      </c>
      <c r="U10" s="17">
        <f t="shared" si="6"/>
        <v>21.293728659654324</v>
      </c>
      <c r="V10" s="17">
        <f t="shared" si="6"/>
        <v>22.418457014166282</v>
      </c>
      <c r="W10" s="17">
        <f t="shared" si="6"/>
        <v>21.331893349594765</v>
      </c>
      <c r="X10" s="17">
        <f t="shared" si="6"/>
        <v>27.762864026902566</v>
      </c>
      <c r="Y10" s="67"/>
      <c r="Z10" s="71"/>
      <c r="AA10" s="71"/>
      <c r="AB10" s="71"/>
      <c r="AC10" s="71"/>
      <c r="AD10" s="71"/>
      <c r="AE10" s="102"/>
      <c r="AF10" s="102"/>
    </row>
    <row r="11" spans="2:32" x14ac:dyDescent="0.25">
      <c r="B11" s="105" t="s">
        <v>8</v>
      </c>
      <c r="C11" s="14">
        <v>278.44773854379139</v>
      </c>
      <c r="D11" s="14">
        <v>252.40549761612289</v>
      </c>
      <c r="E11" s="14">
        <v>293.01127532369662</v>
      </c>
      <c r="F11" s="14">
        <v>250.5035603554019</v>
      </c>
      <c r="G11" s="14">
        <v>294.87468777518268</v>
      </c>
      <c r="H11" s="14">
        <v>246.57959139906981</v>
      </c>
      <c r="I11" s="14">
        <v>274.74764695675151</v>
      </c>
      <c r="J11" s="14">
        <v>301.61343933088369</v>
      </c>
      <c r="K11" s="14">
        <v>311.10180537362652</v>
      </c>
      <c r="M11" s="105" t="s">
        <v>8</v>
      </c>
      <c r="N11" s="14">
        <v>1339764.2833351614</v>
      </c>
      <c r="O11" s="17">
        <v>36.982824999999998</v>
      </c>
      <c r="P11" s="17">
        <f t="shared" ref="P11:X11" si="7">((C11*0.001)*($N$11*1000000))/1000000000</f>
        <v>373.05433487641909</v>
      </c>
      <c r="Q11" s="17">
        <f t="shared" si="7"/>
        <v>338.1638706235197</v>
      </c>
      <c r="R11" s="17">
        <f t="shared" si="7"/>
        <v>392.56604129317407</v>
      </c>
      <c r="S11" s="17">
        <f t="shared" si="7"/>
        <v>335.61572301246139</v>
      </c>
      <c r="T11" s="17">
        <f t="shared" si="7"/>
        <v>395.06257474079706</v>
      </c>
      <c r="U11" s="17">
        <f t="shared" si="7"/>
        <v>330.3585295558517</v>
      </c>
      <c r="V11" s="17">
        <f t="shared" si="7"/>
        <v>368.0970843230341</v>
      </c>
      <c r="W11" s="17">
        <f t="shared" si="7"/>
        <v>404.09091338939459</v>
      </c>
      <c r="X11" s="17">
        <f t="shared" si="7"/>
        <v>416.80308732067164</v>
      </c>
      <c r="Y11" s="67"/>
      <c r="Z11" s="71"/>
      <c r="AA11" s="71"/>
      <c r="AB11" s="71"/>
      <c r="AC11" s="71"/>
      <c r="AD11" s="71"/>
      <c r="AE11" s="102"/>
      <c r="AF11" s="102"/>
    </row>
    <row r="12" spans="2:32" x14ac:dyDescent="0.25">
      <c r="B12" s="105" t="s">
        <v>9</v>
      </c>
      <c r="C12" s="14">
        <v>1029.736967698246</v>
      </c>
      <c r="D12" s="14">
        <v>1035.9074602554331</v>
      </c>
      <c r="E12" s="14">
        <v>1123.6485120259481</v>
      </c>
      <c r="F12" s="14">
        <v>1067.524154413094</v>
      </c>
      <c r="G12" s="14">
        <v>1058.2412023408699</v>
      </c>
      <c r="H12" s="14">
        <v>1002.748416582442</v>
      </c>
      <c r="I12" s="14">
        <v>991.86248925673465</v>
      </c>
      <c r="J12" s="14">
        <v>1006.158844020052</v>
      </c>
      <c r="K12" s="14">
        <v>1049.128881185381</v>
      </c>
      <c r="M12" s="105" t="s">
        <v>9</v>
      </c>
      <c r="N12" s="14">
        <v>617141.72101696266</v>
      </c>
      <c r="O12" s="17">
        <v>10.905776556851148</v>
      </c>
      <c r="P12" s="17">
        <f t="shared" ref="P12:X12" si="8">((C12*0.001)*($N$12*1000000))/1000000000</f>
        <v>635.49364444008404</v>
      </c>
      <c r="Q12" s="17">
        <f t="shared" si="8"/>
        <v>639.30171283634877</v>
      </c>
      <c r="R12" s="17">
        <f t="shared" si="8"/>
        <v>693.45037652984286</v>
      </c>
      <c r="S12" s="17">
        <f t="shared" si="8"/>
        <v>658.81369388167457</v>
      </c>
      <c r="T12" s="17">
        <f t="shared" si="8"/>
        <v>653.08479686370424</v>
      </c>
      <c r="U12" s="17">
        <f t="shared" si="8"/>
        <v>618.83788355672255</v>
      </c>
      <c r="V12" s="17">
        <f t="shared" si="8"/>
        <v>612.11972363206985</v>
      </c>
      <c r="W12" s="17">
        <f t="shared" si="8"/>
        <v>620.94260061497255</v>
      </c>
      <c r="X12" s="17">
        <f t="shared" si="8"/>
        <v>647.46120330334657</v>
      </c>
      <c r="Y12" s="67"/>
      <c r="Z12" s="71"/>
      <c r="AA12" s="71"/>
      <c r="AB12" s="71"/>
      <c r="AC12" s="71"/>
      <c r="AD12" s="71"/>
      <c r="AE12" s="102"/>
      <c r="AF12" s="102"/>
    </row>
    <row r="13" spans="2:32" x14ac:dyDescent="0.25">
      <c r="B13" s="105" t="s">
        <v>10</v>
      </c>
      <c r="C13" s="14">
        <v>1160.4382226840869</v>
      </c>
      <c r="D13" s="14">
        <v>1314.9002462246949</v>
      </c>
      <c r="E13" s="14">
        <v>1230.0354122976889</v>
      </c>
      <c r="F13" s="14">
        <v>1139.602506796828</v>
      </c>
      <c r="G13" s="14">
        <v>1060.6533572296819</v>
      </c>
      <c r="H13" s="14">
        <v>1241.9118226901751</v>
      </c>
      <c r="I13" s="14">
        <v>1011.433334547187</v>
      </c>
      <c r="J13" s="14">
        <v>1088.419595379703</v>
      </c>
      <c r="K13" s="14">
        <v>1358.754271239399</v>
      </c>
      <c r="M13" s="105" t="s">
        <v>10</v>
      </c>
      <c r="N13" s="14">
        <v>119784.51078433092</v>
      </c>
      <c r="O13" s="17">
        <v>11.996235</v>
      </c>
      <c r="P13" s="17">
        <f t="shared" ref="P13:X13" si="9">((C13*0.001)*($N$13*1000000))/1000000000</f>
        <v>139.00252479965184</v>
      </c>
      <c r="Q13" s="17">
        <f t="shared" si="9"/>
        <v>157.50468272422137</v>
      </c>
      <c r="R13" s="17">
        <f t="shared" si="9"/>
        <v>147.33919010948145</v>
      </c>
      <c r="S13" s="17">
        <f t="shared" si="9"/>
        <v>136.50672876525519</v>
      </c>
      <c r="T13" s="17">
        <f t="shared" si="9"/>
        <v>127.04984350751562</v>
      </c>
      <c r="U13" s="17">
        <f t="shared" si="9"/>
        <v>148.76180011821933</v>
      </c>
      <c r="V13" s="17">
        <f t="shared" si="9"/>
        <v>121.15404716969931</v>
      </c>
      <c r="W13" s="17">
        <f t="shared" si="9"/>
        <v>130.37580876063711</v>
      </c>
      <c r="X13" s="17">
        <f t="shared" si="9"/>
        <v>162.7577156565315</v>
      </c>
      <c r="Y13" s="67"/>
      <c r="Z13" s="71"/>
      <c r="AA13" s="71"/>
      <c r="AB13" s="71"/>
      <c r="AC13" s="71"/>
      <c r="AD13" s="71"/>
      <c r="AE13" s="102"/>
      <c r="AF13" s="102"/>
    </row>
    <row r="14" spans="2:32" x14ac:dyDescent="0.25">
      <c r="B14" s="105" t="s">
        <v>11</v>
      </c>
      <c r="C14" s="14">
        <v>1297.570434275787</v>
      </c>
      <c r="D14" s="14">
        <v>1354.195489270465</v>
      </c>
      <c r="E14" s="14">
        <v>1433.9776543258999</v>
      </c>
      <c r="F14" s="14">
        <v>1231.972655542703</v>
      </c>
      <c r="G14" s="14">
        <v>1240.245886084424</v>
      </c>
      <c r="H14" s="14">
        <v>1311.1320716252501</v>
      </c>
      <c r="I14" s="14">
        <v>1138.5759406168579</v>
      </c>
      <c r="J14" s="14">
        <v>1234.769892964749</v>
      </c>
      <c r="K14" s="14">
        <v>1396.3386077933419</v>
      </c>
      <c r="M14" s="105" t="s">
        <v>11</v>
      </c>
      <c r="N14" s="14">
        <v>237021.44592026682</v>
      </c>
      <c r="O14" s="17">
        <v>41.918567000000003</v>
      </c>
      <c r="P14" s="17">
        <f t="shared" ref="P14:X14" si="10">((C14*0.001)*($N$14*1000000))/1000000000</f>
        <v>307.55202051543557</v>
      </c>
      <c r="Q14" s="17">
        <f t="shared" si="10"/>
        <v>320.97337292558882</v>
      </c>
      <c r="R14" s="17">
        <f t="shared" si="10"/>
        <v>339.88345704567735</v>
      </c>
      <c r="S14" s="17">
        <f t="shared" si="10"/>
        <v>292.00394015096231</v>
      </c>
      <c r="T14" s="17">
        <f t="shared" si="10"/>
        <v>293.96487321639268</v>
      </c>
      <c r="U14" s="17">
        <f t="shared" si="10"/>
        <v>310.76641940905165</v>
      </c>
      <c r="V14" s="17">
        <f t="shared" si="10"/>
        <v>269.86691573503549</v>
      </c>
      <c r="W14" s="17">
        <f t="shared" si="10"/>
        <v>292.66694540931792</v>
      </c>
      <c r="X14" s="17">
        <f t="shared" si="10"/>
        <v>330.96219581347026</v>
      </c>
      <c r="Y14" s="67"/>
    </row>
    <row r="15" spans="2:32" x14ac:dyDescent="0.25">
      <c r="Y15" s="67"/>
    </row>
    <row r="16" spans="2:32" x14ac:dyDescent="0.25">
      <c r="P16" s="15"/>
    </row>
    <row r="17" spans="2:24" ht="13.05" customHeight="1" x14ac:dyDescent="0.25">
      <c r="B17" s="202" t="s">
        <v>29</v>
      </c>
      <c r="C17" s="202"/>
      <c r="D17" s="202"/>
      <c r="E17" s="202"/>
      <c r="F17" s="202"/>
      <c r="G17" s="202"/>
      <c r="H17" s="202"/>
      <c r="I17" s="202"/>
      <c r="J17" s="202"/>
      <c r="K17" s="202"/>
      <c r="M17" s="202" t="s">
        <v>158</v>
      </c>
      <c r="N17" s="202"/>
      <c r="O17" s="202"/>
      <c r="P17" s="202"/>
      <c r="Q17" s="202"/>
      <c r="R17" s="202"/>
      <c r="S17" s="202"/>
      <c r="T17" s="202"/>
      <c r="U17" s="202"/>
      <c r="V17" s="202"/>
      <c r="W17" s="202"/>
      <c r="X17" s="202"/>
    </row>
    <row r="18" spans="2:24" ht="36" customHeight="1" x14ac:dyDescent="0.25">
      <c r="B18" s="104" t="s">
        <v>61</v>
      </c>
      <c r="C18" s="18">
        <v>2010</v>
      </c>
      <c r="D18" s="18">
        <v>2011</v>
      </c>
      <c r="E18" s="18">
        <v>2012</v>
      </c>
      <c r="F18" s="18">
        <v>2013</v>
      </c>
      <c r="G18" s="18">
        <v>2014</v>
      </c>
      <c r="H18" s="18">
        <v>2015</v>
      </c>
      <c r="I18" s="18">
        <v>2016</v>
      </c>
      <c r="J18" s="18">
        <v>2017</v>
      </c>
      <c r="K18" s="18">
        <v>2018</v>
      </c>
      <c r="M18" s="104" t="s">
        <v>61</v>
      </c>
      <c r="N18" s="41" t="s">
        <v>52</v>
      </c>
      <c r="O18" s="41" t="s">
        <v>0</v>
      </c>
      <c r="P18" s="18">
        <v>2010</v>
      </c>
      <c r="Q18" s="18">
        <v>2011</v>
      </c>
      <c r="R18" s="18">
        <v>2012</v>
      </c>
      <c r="S18" s="18">
        <v>2013</v>
      </c>
      <c r="T18" s="18">
        <v>2014</v>
      </c>
      <c r="U18" s="18">
        <v>2015</v>
      </c>
      <c r="V18" s="18">
        <v>2016</v>
      </c>
      <c r="W18" s="18">
        <v>2017</v>
      </c>
      <c r="X18" s="18">
        <v>2018</v>
      </c>
    </row>
    <row r="19" spans="2:24" x14ac:dyDescent="0.25">
      <c r="B19" s="105" t="s">
        <v>1</v>
      </c>
      <c r="C19" s="14">
        <v>1084.282996332038</v>
      </c>
      <c r="D19" s="14">
        <v>1127.3285306165139</v>
      </c>
      <c r="E19" s="14">
        <v>1117.8015566529009</v>
      </c>
      <c r="F19" s="14">
        <v>1112.704164947241</v>
      </c>
      <c r="G19" s="14">
        <v>983.17222383535761</v>
      </c>
      <c r="H19" s="14">
        <v>958.1820089900682</v>
      </c>
      <c r="I19" s="14">
        <v>922.5157025102169</v>
      </c>
      <c r="J19" s="14">
        <v>1032.3072347613979</v>
      </c>
      <c r="K19" s="14">
        <v>960.54166828966731</v>
      </c>
      <c r="M19" s="105" t="s">
        <v>1</v>
      </c>
      <c r="N19" s="14">
        <v>13199.085501550475</v>
      </c>
      <c r="O19" s="17">
        <v>6.169632</v>
      </c>
      <c r="P19" s="17">
        <f t="shared" ref="P19:X19" si="11">((C19*0.001)*($N$19*1000000))/1000000000</f>
        <v>14.311543976463907</v>
      </c>
      <c r="Q19" s="17">
        <f t="shared" si="11"/>
        <v>14.87970566394463</v>
      </c>
      <c r="R19" s="17">
        <f t="shared" si="11"/>
        <v>14.753958320027856</v>
      </c>
      <c r="S19" s="17">
        <f t="shared" si="11"/>
        <v>14.686677411069958</v>
      </c>
      <c r="T19" s="17">
        <f t="shared" si="11"/>
        <v>12.976974245152407</v>
      </c>
      <c r="U19" s="17">
        <f t="shared" si="11"/>
        <v>12.647126262707316</v>
      </c>
      <c r="V19" s="17">
        <f t="shared" si="11"/>
        <v>12.176363633955253</v>
      </c>
      <c r="W19" s="17">
        <f t="shared" si="11"/>
        <v>13.62551145548483</v>
      </c>
      <c r="X19" s="17">
        <f t="shared" si="11"/>
        <v>12.678271607557253</v>
      </c>
    </row>
    <row r="20" spans="2:24" x14ac:dyDescent="0.25">
      <c r="B20" s="105" t="s">
        <v>2</v>
      </c>
      <c r="C20" s="14">
        <v>1311.970731466967</v>
      </c>
      <c r="D20" s="14">
        <v>1295.21848748458</v>
      </c>
      <c r="E20" s="14">
        <v>1244.92093877813</v>
      </c>
      <c r="F20" s="14">
        <v>1265.5396279744191</v>
      </c>
      <c r="G20" s="14">
        <v>1264.147278503001</v>
      </c>
      <c r="H20" s="14">
        <v>1238.601144104915</v>
      </c>
      <c r="I20" s="14">
        <v>1288.4457653561039</v>
      </c>
      <c r="J20" s="14">
        <v>1274.0142122416421</v>
      </c>
      <c r="K20" s="14">
        <v>1275.5054182827439</v>
      </c>
      <c r="M20" s="105" t="s">
        <v>2</v>
      </c>
      <c r="N20" s="14">
        <v>20450.034940117202</v>
      </c>
      <c r="O20" s="17">
        <v>3.8753060000000001</v>
      </c>
      <c r="P20" s="17">
        <f t="shared" ref="P20:X20" si="12">((C20*0.001)*($N$20*1000000))/1000000000</f>
        <v>26.829847298910604</v>
      </c>
      <c r="Q20" s="17">
        <f t="shared" si="12"/>
        <v>26.487263324145417</v>
      </c>
      <c r="R20" s="17">
        <f t="shared" si="12"/>
        <v>25.458676695696266</v>
      </c>
      <c r="S20" s="17">
        <f t="shared" si="12"/>
        <v>25.8803296101798</v>
      </c>
      <c r="T20" s="17">
        <f t="shared" si="12"/>
        <v>25.851856014840443</v>
      </c>
      <c r="U20" s="17">
        <f t="shared" si="12"/>
        <v>25.329436673814651</v>
      </c>
      <c r="V20" s="17">
        <f t="shared" si="12"/>
        <v>26.348760919978375</v>
      </c>
      <c r="W20" s="17">
        <f t="shared" si="12"/>
        <v>26.053635154547475</v>
      </c>
      <c r="X20" s="17">
        <f t="shared" si="12"/>
        <v>26.084130370190923</v>
      </c>
    </row>
    <row r="21" spans="2:24" x14ac:dyDescent="0.25">
      <c r="B21" s="105" t="s">
        <v>3</v>
      </c>
      <c r="C21" s="14">
        <v>247.77533999950589</v>
      </c>
      <c r="D21" s="14">
        <v>228.31972958646409</v>
      </c>
      <c r="E21" s="14">
        <v>243.33794979672939</v>
      </c>
      <c r="F21" s="14">
        <v>240.1359156870931</v>
      </c>
      <c r="G21" s="14">
        <v>245.41812735849169</v>
      </c>
      <c r="H21" s="14">
        <v>249.5919036295881</v>
      </c>
      <c r="I21" s="14">
        <v>247.07421308394231</v>
      </c>
      <c r="J21" s="14">
        <v>251.3956212848334</v>
      </c>
      <c r="K21" s="14">
        <v>271.34664622189501</v>
      </c>
      <c r="M21" s="105" t="s">
        <v>3</v>
      </c>
      <c r="N21" s="14">
        <v>251430.37783690859</v>
      </c>
      <c r="O21" s="17">
        <v>83.946549000000005</v>
      </c>
      <c r="P21" s="17">
        <f t="shared" ref="P21:X21" si="13">((C21*0.001)*($N$21*1000000))/1000000000</f>
        <v>62.298247354744262</v>
      </c>
      <c r="Q21" s="17">
        <f t="shared" si="13"/>
        <v>57.406515877545473</v>
      </c>
      <c r="R21" s="17">
        <f t="shared" si="13"/>
        <v>61.182552659450373</v>
      </c>
      <c r="S21" s="17">
        <f t="shared" si="13"/>
        <v>60.37746401341785</v>
      </c>
      <c r="T21" s="17">
        <f t="shared" si="13"/>
        <v>61.705572489772123</v>
      </c>
      <c r="U21" s="17">
        <f t="shared" si="13"/>
        <v>62.754986634620614</v>
      </c>
      <c r="V21" s="17">
        <f t="shared" si="13"/>
        <v>62.121962749452486</v>
      </c>
      <c r="W21" s="17">
        <f t="shared" si="13"/>
        <v>63.208496046190042</v>
      </c>
      <c r="X21" s="17">
        <f t="shared" si="13"/>
        <v>68.224789784349042</v>
      </c>
    </row>
    <row r="22" spans="2:24" x14ac:dyDescent="0.25">
      <c r="B22" s="105" t="s">
        <v>4</v>
      </c>
      <c r="C22" s="14">
        <v>469.79032660140689</v>
      </c>
      <c r="D22" s="14">
        <v>507.43209532786722</v>
      </c>
      <c r="E22" s="14">
        <v>494.66695617855549</v>
      </c>
      <c r="F22" s="14">
        <v>446.4553603691885</v>
      </c>
      <c r="G22" s="14">
        <v>481.12164526416763</v>
      </c>
      <c r="H22" s="14">
        <v>463.223426075519</v>
      </c>
      <c r="I22" s="14">
        <v>469.87832393563491</v>
      </c>
      <c r="J22" s="14">
        <v>456.0363022490962</v>
      </c>
      <c r="K22" s="14">
        <v>510.08022232524507</v>
      </c>
      <c r="M22" s="105" t="s">
        <v>4</v>
      </c>
      <c r="N22" s="14">
        <v>24496.645034227455</v>
      </c>
      <c r="O22" s="17">
        <v>1.2901100000000001</v>
      </c>
      <c r="P22" s="17">
        <f t="shared" ref="P22:X22" si="14">((C22*0.001)*($N$22*1000000))/1000000000</f>
        <v>11.508286871268448</v>
      </c>
      <c r="Q22" s="17">
        <f t="shared" si="14"/>
        <v>12.430383918221033</v>
      </c>
      <c r="R22" s="17">
        <f t="shared" si="14"/>
        <v>12.117680835667821</v>
      </c>
      <c r="S22" s="17">
        <f t="shared" si="14"/>
        <v>10.93665848659211</v>
      </c>
      <c r="T22" s="17">
        <f t="shared" si="14"/>
        <v>11.785866162319815</v>
      </c>
      <c r="U22" s="17">
        <f t="shared" si="14"/>
        <v>11.347419840110691</v>
      </c>
      <c r="V22" s="17">
        <f t="shared" si="14"/>
        <v>11.510442510728991</v>
      </c>
      <c r="W22" s="17">
        <f t="shared" si="14"/>
        <v>11.171359418917772</v>
      </c>
      <c r="X22" s="17">
        <f t="shared" si="14"/>
        <v>12.495254145281351</v>
      </c>
    </row>
    <row r="23" spans="2:24" x14ac:dyDescent="0.25">
      <c r="B23" s="105" t="s">
        <v>5</v>
      </c>
      <c r="C23" s="14">
        <v>942.07900652363719</v>
      </c>
      <c r="D23" s="14">
        <v>1039.0359286919779</v>
      </c>
      <c r="E23" s="14">
        <v>983.08040562989652</v>
      </c>
      <c r="F23" s="14">
        <v>961.08870003346794</v>
      </c>
      <c r="G23" s="14">
        <v>972.56618587069045</v>
      </c>
      <c r="H23" s="14">
        <v>974.56102377671652</v>
      </c>
      <c r="I23" s="14">
        <v>968.86284445096715</v>
      </c>
      <c r="J23" s="14">
        <v>973.26901933268323</v>
      </c>
      <c r="K23" s="14">
        <v>1023.368499330178</v>
      </c>
      <c r="M23" s="105" t="s">
        <v>5</v>
      </c>
      <c r="N23" s="14">
        <v>363314.38569269452</v>
      </c>
      <c r="O23" s="17">
        <v>39.232453</v>
      </c>
      <c r="P23" s="17">
        <f t="shared" ref="P23:X23" si="15">((C23*0.001)*($N$23*1000000))/1000000000</f>
        <v>342.27085552911922</v>
      </c>
      <c r="Q23" s="17">
        <f t="shared" si="15"/>
        <v>377.49670014536434</v>
      </c>
      <c r="R23" s="17">
        <f t="shared" si="15"/>
        <v>357.16725365795082</v>
      </c>
      <c r="S23" s="17">
        <f t="shared" si="15"/>
        <v>349.17735064884971</v>
      </c>
      <c r="T23" s="17">
        <f t="shared" si="15"/>
        <v>353.34728636509686</v>
      </c>
      <c r="U23" s="17">
        <f t="shared" si="15"/>
        <v>354.07203967348119</v>
      </c>
      <c r="V23" s="17">
        <f t="shared" si="15"/>
        <v>352.00180915217976</v>
      </c>
      <c r="W23" s="17">
        <f t="shared" si="15"/>
        <v>353.6026358725851</v>
      </c>
      <c r="X23" s="17">
        <f t="shared" si="15"/>
        <v>371.80449767139828</v>
      </c>
    </row>
    <row r="24" spans="2:24" x14ac:dyDescent="0.25">
      <c r="B24" s="105" t="s">
        <v>6</v>
      </c>
      <c r="C24" s="14">
        <v>1252.5553932685621</v>
      </c>
      <c r="D24" s="14">
        <v>1234.712198573467</v>
      </c>
      <c r="E24" s="14">
        <v>1240.4999765922039</v>
      </c>
      <c r="F24" s="14">
        <v>1270.7889850102119</v>
      </c>
      <c r="G24" s="14">
        <v>1168.307129976653</v>
      </c>
      <c r="H24" s="14">
        <v>1102.27211664274</v>
      </c>
      <c r="I24" s="14">
        <v>1134.309012833317</v>
      </c>
      <c r="J24" s="14">
        <v>1173.622135041137</v>
      </c>
      <c r="K24" s="14">
        <v>1153.3000415173731</v>
      </c>
      <c r="M24" s="105" t="s">
        <v>6</v>
      </c>
      <c r="N24" s="14">
        <v>49475.746319971244</v>
      </c>
      <c r="O24" s="17">
        <v>19.742709999999999</v>
      </c>
      <c r="P24" s="17">
        <f t="shared" ref="P24:X24" si="16">((C24*0.001)*($N$24*1000000))/1000000000</f>
        <v>61.971112889067193</v>
      </c>
      <c r="Q24" s="17">
        <f t="shared" si="16"/>
        <v>61.088307514794813</v>
      </c>
      <c r="R24" s="17">
        <f t="shared" si="16"/>
        <v>61.374662151806149</v>
      </c>
      <c r="S24" s="17">
        <f t="shared" si="16"/>
        <v>62.873233448578979</v>
      </c>
      <c r="T24" s="17">
        <f t="shared" si="16"/>
        <v>57.802867186538556</v>
      </c>
      <c r="U24" s="17">
        <f t="shared" si="16"/>
        <v>54.535735618593961</v>
      </c>
      <c r="V24" s="17">
        <f t="shared" si="16"/>
        <v>56.120784967398201</v>
      </c>
      <c r="W24" s="17">
        <f t="shared" si="16"/>
        <v>58.065831028798335</v>
      </c>
      <c r="X24" s="17">
        <f t="shared" si="16"/>
        <v>57.060380284925856</v>
      </c>
    </row>
    <row r="25" spans="2:24" x14ac:dyDescent="0.25">
      <c r="B25" s="105" t="s">
        <v>7</v>
      </c>
      <c r="C25" s="14">
        <v>1025.6182167597119</v>
      </c>
      <c r="D25" s="14">
        <v>1045.2463211132319</v>
      </c>
      <c r="E25" s="14">
        <v>1044.0977500330489</v>
      </c>
      <c r="F25" s="14">
        <v>1031.633864458129</v>
      </c>
      <c r="G25" s="14">
        <v>949.91918549182571</v>
      </c>
      <c r="H25" s="14">
        <v>927.52695285829361</v>
      </c>
      <c r="I25" s="14">
        <v>920.4561247728343</v>
      </c>
      <c r="J25" s="14">
        <v>954.62037626439258</v>
      </c>
      <c r="K25" s="14">
        <v>944.5617110438875</v>
      </c>
      <c r="M25" s="105" t="s">
        <v>7</v>
      </c>
      <c r="N25" s="14">
        <v>20836.189535136225</v>
      </c>
      <c r="O25" s="17">
        <v>11.426439</v>
      </c>
      <c r="P25" s="17">
        <f t="shared" ref="P25:X25" si="17">((C25*0.001)*($N$25*1000000))/1000000000</f>
        <v>21.369975555093788</v>
      </c>
      <c r="Q25" s="17">
        <f t="shared" si="17"/>
        <v>21.778950457619164</v>
      </c>
      <c r="R25" s="17">
        <f t="shared" si="17"/>
        <v>21.755018612897892</v>
      </c>
      <c r="S25" s="17">
        <f t="shared" si="17"/>
        <v>21.495318730714615</v>
      </c>
      <c r="T25" s="17">
        <f t="shared" si="17"/>
        <v>19.792696191969906</v>
      </c>
      <c r="U25" s="17">
        <f t="shared" si="17"/>
        <v>19.326127388702769</v>
      </c>
      <c r="V25" s="17">
        <f t="shared" si="17"/>
        <v>19.178798274543777</v>
      </c>
      <c r="W25" s="17">
        <f t="shared" si="17"/>
        <v>19.890651093947945</v>
      </c>
      <c r="X25" s="17">
        <f t="shared" si="17"/>
        <v>19.681066838943018</v>
      </c>
    </row>
    <row r="26" spans="2:24" x14ac:dyDescent="0.25">
      <c r="B26" s="105" t="s">
        <v>8</v>
      </c>
      <c r="C26" s="14">
        <v>321.55332300601418</v>
      </c>
      <c r="D26" s="14">
        <v>299.06887557233659</v>
      </c>
      <c r="E26" s="14">
        <v>327.09927726229529</v>
      </c>
      <c r="F26" s="14">
        <v>294.47482040375922</v>
      </c>
      <c r="G26" s="14">
        <v>323.14908880499883</v>
      </c>
      <c r="H26" s="14">
        <v>314.80098022301411</v>
      </c>
      <c r="I26" s="14">
        <v>336.54003285872659</v>
      </c>
      <c r="J26" s="14">
        <v>325.86430179382512</v>
      </c>
      <c r="K26" s="14">
        <v>356.55275426250671</v>
      </c>
      <c r="M26" s="105" t="s">
        <v>8</v>
      </c>
      <c r="N26" s="14">
        <v>1339764.2833351614</v>
      </c>
      <c r="O26" s="17">
        <v>36.982824999999998</v>
      </c>
      <c r="P26" s="17">
        <f t="shared" ref="P26:X26" si="18">((C26*0.001)*($N$26*1000000))/1000000000</f>
        <v>430.80565735119228</v>
      </c>
      <c r="Q26" s="17">
        <f t="shared" si="18"/>
        <v>400.68179774902404</v>
      </c>
      <c r="R26" s="17">
        <f t="shared" si="18"/>
        <v>438.23592878076829</v>
      </c>
      <c r="S26" s="17">
        <f t="shared" si="18"/>
        <v>394.52684671849278</v>
      </c>
      <c r="T26" s="17">
        <f t="shared" si="18"/>
        <v>432.94360737323967</v>
      </c>
      <c r="U26" s="17">
        <f t="shared" si="18"/>
        <v>421.75910966169283</v>
      </c>
      <c r="V26" s="17">
        <f t="shared" si="18"/>
        <v>450.8843159365635</v>
      </c>
      <c r="W26" s="17">
        <f t="shared" si="18"/>
        <v>436.58135275731689</v>
      </c>
      <c r="X26" s="17">
        <f t="shared" si="18"/>
        <v>477.69664528568518</v>
      </c>
    </row>
    <row r="27" spans="2:24" x14ac:dyDescent="0.25">
      <c r="B27" s="105" t="s">
        <v>9</v>
      </c>
      <c r="C27" s="14">
        <v>1182.1040112520129</v>
      </c>
      <c r="D27" s="14">
        <v>1229.3392030996731</v>
      </c>
      <c r="E27" s="14">
        <v>1150.6790054887331</v>
      </c>
      <c r="F27" s="14">
        <v>1182.41516459997</v>
      </c>
      <c r="G27" s="14">
        <v>1246.505384183564</v>
      </c>
      <c r="H27" s="14">
        <v>1265.465428451148</v>
      </c>
      <c r="I27" s="14">
        <v>1226.452133812729</v>
      </c>
      <c r="J27" s="14">
        <v>1190.7755047386511</v>
      </c>
      <c r="K27" s="14">
        <v>1263.105607756504</v>
      </c>
      <c r="M27" s="105" t="s">
        <v>9</v>
      </c>
      <c r="N27" s="14">
        <v>617141.72101696266</v>
      </c>
      <c r="O27" s="17">
        <v>10.905776556851148</v>
      </c>
      <c r="P27" s="17">
        <f t="shared" ref="P27:X27" si="19">((C27*0.001)*($N$27*1000000))/1000000000</f>
        <v>729.52570392512223</v>
      </c>
      <c r="Q27" s="17">
        <f t="shared" si="19"/>
        <v>758.67651151455357</v>
      </c>
      <c r="R27" s="17">
        <f t="shared" si="19"/>
        <v>710.13202178540371</v>
      </c>
      <c r="S27" s="17">
        <f t="shared" si="19"/>
        <v>729.71772963778074</v>
      </c>
      <c r="T27" s="17">
        <f t="shared" si="19"/>
        <v>769.27047805195491</v>
      </c>
      <c r="U27" s="17">
        <f t="shared" si="19"/>
        <v>780.97151240180949</v>
      </c>
      <c r="V27" s="17">
        <f t="shared" si="19"/>
        <v>756.89478060611373</v>
      </c>
      <c r="W27" s="17">
        <f t="shared" si="19"/>
        <v>734.87724433925337</v>
      </c>
      <c r="X27" s="17">
        <f t="shared" si="19"/>
        <v>779.51516859702542</v>
      </c>
    </row>
    <row r="28" spans="2:24" x14ac:dyDescent="0.25">
      <c r="B28" s="105" t="s">
        <v>10</v>
      </c>
      <c r="C28" s="14">
        <v>1054.9185682338789</v>
      </c>
      <c r="D28" s="14">
        <v>1020.640339574046</v>
      </c>
      <c r="E28" s="14">
        <v>1106.471711713913</v>
      </c>
      <c r="F28" s="14">
        <v>1040.2630790544649</v>
      </c>
      <c r="G28" s="14">
        <v>1000.371601902753</v>
      </c>
      <c r="H28" s="14">
        <v>978.66536290187082</v>
      </c>
      <c r="I28" s="14">
        <v>976.59171821405846</v>
      </c>
      <c r="J28" s="14">
        <v>950.1355390202358</v>
      </c>
      <c r="K28" s="14">
        <v>960.83844162662319</v>
      </c>
      <c r="M28" s="105" t="s">
        <v>10</v>
      </c>
      <c r="N28" s="14">
        <v>119784.51078433092</v>
      </c>
      <c r="O28" s="17">
        <v>11.996235</v>
      </c>
      <c r="P28" s="17">
        <f t="shared" ref="P28:X28" si="20">((C28*0.001)*($N$28*1000000))/1000000000</f>
        <v>126.36290461320199</v>
      </c>
      <c r="Q28" s="17">
        <f t="shared" si="20"/>
        <v>122.25690376263047</v>
      </c>
      <c r="R28" s="17">
        <f t="shared" si="20"/>
        <v>132.5381726843523</v>
      </c>
      <c r="S28" s="17">
        <f t="shared" si="20"/>
        <v>124.60740401154084</v>
      </c>
      <c r="T28" s="17">
        <f t="shared" si="20"/>
        <v>119.82902293645873</v>
      </c>
      <c r="U28" s="17">
        <f t="shared" si="20"/>
        <v>117.22895171677028</v>
      </c>
      <c r="V28" s="17">
        <f t="shared" si="20"/>
        <v>116.98056120230014</v>
      </c>
      <c r="W28" s="17">
        <f t="shared" si="20"/>
        <v>113.8115207203455</v>
      </c>
      <c r="X28" s="17">
        <f t="shared" si="20"/>
        <v>115.09356267302397</v>
      </c>
    </row>
    <row r="29" spans="2:24" x14ac:dyDescent="0.25">
      <c r="B29" s="105" t="s">
        <v>11</v>
      </c>
      <c r="C29" s="14">
        <v>1340.7436183783029</v>
      </c>
      <c r="D29" s="14">
        <v>1277.6776628933039</v>
      </c>
      <c r="E29" s="14">
        <v>1260.12180068722</v>
      </c>
      <c r="F29" s="14">
        <v>1305.6426195663789</v>
      </c>
      <c r="G29" s="14">
        <v>1181.7858933009711</v>
      </c>
      <c r="H29" s="14">
        <v>1137.0489445097289</v>
      </c>
      <c r="I29" s="14">
        <v>1185.3600350369129</v>
      </c>
      <c r="J29" s="14">
        <v>1168.465979561633</v>
      </c>
      <c r="K29" s="14">
        <v>1162.8013230279321</v>
      </c>
      <c r="M29" s="105" t="s">
        <v>11</v>
      </c>
      <c r="N29" s="14">
        <v>237021.44592026682</v>
      </c>
      <c r="O29" s="17">
        <v>41.918567000000003</v>
      </c>
      <c r="P29" s="17">
        <f t="shared" ref="P29:X29" si="21">((C29*0.001)*($N$29*1000000))/1000000000</f>
        <v>317.78499103639581</v>
      </c>
      <c r="Q29" s="17">
        <f t="shared" si="21"/>
        <v>302.83700707899817</v>
      </c>
      <c r="R29" s="17">
        <f t="shared" si="21"/>
        <v>298.67589123453513</v>
      </c>
      <c r="S29" s="17">
        <f t="shared" si="21"/>
        <v>309.465301544748</v>
      </c>
      <c r="T29" s="17">
        <f t="shared" si="21"/>
        <v>280.10860119837031</v>
      </c>
      <c r="U29" s="17">
        <f t="shared" si="21"/>
        <v>269.5049849098092</v>
      </c>
      <c r="V29" s="17">
        <f t="shared" si="21"/>
        <v>280.95574944054727</v>
      </c>
      <c r="W29" s="17">
        <f t="shared" si="21"/>
        <v>276.95149598433915</v>
      </c>
      <c r="X29" s="17">
        <f t="shared" si="21"/>
        <v>275.60885090207972</v>
      </c>
    </row>
    <row r="34" spans="2:27" x14ac:dyDescent="0.25">
      <c r="B34" s="200" t="s">
        <v>219</v>
      </c>
      <c r="C34" s="200"/>
      <c r="D34" s="200"/>
      <c r="E34" s="200"/>
      <c r="F34" s="200"/>
      <c r="G34" s="200"/>
      <c r="H34" s="200"/>
      <c r="I34" s="200"/>
      <c r="J34" s="200"/>
      <c r="K34" s="200"/>
      <c r="M34" s="200" t="s">
        <v>159</v>
      </c>
      <c r="N34" s="200"/>
      <c r="O34" s="200"/>
      <c r="P34" s="200"/>
      <c r="Q34" s="200"/>
      <c r="R34" s="200"/>
      <c r="S34" s="200"/>
      <c r="T34" s="200"/>
      <c r="U34" s="200"/>
      <c r="V34" s="200"/>
      <c r="W34" s="200"/>
      <c r="X34" s="200"/>
      <c r="Z34" s="131"/>
      <c r="AA34" s="131"/>
    </row>
    <row r="35" spans="2:27" x14ac:dyDescent="0.25">
      <c r="B35" s="104" t="s">
        <v>61</v>
      </c>
      <c r="C35" s="18">
        <v>2010</v>
      </c>
      <c r="D35" s="18">
        <v>2011</v>
      </c>
      <c r="E35" s="18">
        <v>2012</v>
      </c>
      <c r="F35" s="18">
        <v>2013</v>
      </c>
      <c r="G35" s="18">
        <v>2014</v>
      </c>
      <c r="H35" s="18">
        <v>2015</v>
      </c>
      <c r="I35" s="18">
        <v>2016</v>
      </c>
      <c r="J35" s="18">
        <v>2017</v>
      </c>
      <c r="K35" s="18">
        <v>2018</v>
      </c>
      <c r="M35" s="104" t="s">
        <v>61</v>
      </c>
      <c r="N35" s="41" t="s">
        <v>52</v>
      </c>
      <c r="O35" s="41" t="s">
        <v>0</v>
      </c>
      <c r="P35" s="18">
        <v>2010</v>
      </c>
      <c r="Q35" s="18">
        <v>2011</v>
      </c>
      <c r="R35" s="18">
        <v>2012</v>
      </c>
      <c r="S35" s="18">
        <v>2013</v>
      </c>
      <c r="T35" s="18">
        <v>2014</v>
      </c>
      <c r="U35" s="18">
        <v>2015</v>
      </c>
      <c r="V35" s="18">
        <v>2016</v>
      </c>
      <c r="W35" s="18">
        <v>2017</v>
      </c>
      <c r="X35" s="18">
        <v>2018</v>
      </c>
    </row>
    <row r="36" spans="2:27" x14ac:dyDescent="0.25">
      <c r="B36" s="105" t="s">
        <v>1</v>
      </c>
      <c r="C36" s="14">
        <v>93.434902127831236</v>
      </c>
      <c r="D36" s="14">
        <v>95.913798386173553</v>
      </c>
      <c r="E36" s="14">
        <v>58.28485249139819</v>
      </c>
      <c r="F36" s="14">
        <v>215.78829271256171</v>
      </c>
      <c r="G36" s="14">
        <v>115.3725520671391</v>
      </c>
      <c r="H36" s="14">
        <v>303.65486332879442</v>
      </c>
      <c r="I36" s="14">
        <v>281.48949244290782</v>
      </c>
      <c r="J36" s="14">
        <v>150.2533801086787</v>
      </c>
      <c r="K36" s="14">
        <v>541.93648541095183</v>
      </c>
      <c r="M36" s="105" t="s">
        <v>1</v>
      </c>
      <c r="N36" s="14">
        <v>13199.085501550475</v>
      </c>
      <c r="O36" s="17">
        <v>6.169632</v>
      </c>
      <c r="P36" s="17">
        <f t="shared" ref="P36:X36" si="22">((C36*0.001)*($N$36*1000000))/1000000000</f>
        <v>1.2332552620142447</v>
      </c>
      <c r="Q36" s="17">
        <f t="shared" si="22"/>
        <v>1.2659744256775787</v>
      </c>
      <c r="R36" s="17">
        <f t="shared" si="22"/>
        <v>0.7693067514792219</v>
      </c>
      <c r="S36" s="17">
        <f t="shared" si="22"/>
        <v>2.8482081257467033</v>
      </c>
      <c r="T36" s="17">
        <f t="shared" si="22"/>
        <v>1.522812179266253</v>
      </c>
      <c r="U36" s="17">
        <f t="shared" si="22"/>
        <v>4.0079665040383814</v>
      </c>
      <c r="V36" s="17">
        <f t="shared" si="22"/>
        <v>3.7154038785419865</v>
      </c>
      <c r="W36" s="17">
        <f t="shared" si="22"/>
        <v>1.9832072109514134</v>
      </c>
      <c r="X36" s="17">
        <f t="shared" si="22"/>
        <v>7.1530660073489152</v>
      </c>
    </row>
    <row r="37" spans="2:27" x14ac:dyDescent="0.25">
      <c r="B37" s="105" t="s">
        <v>2</v>
      </c>
      <c r="C37" s="14">
        <v>118.2747710173026</v>
      </c>
      <c r="D37" s="14">
        <v>1.8786548287555269</v>
      </c>
      <c r="E37" s="14">
        <v>121.22073799111951</v>
      </c>
      <c r="F37" s="14">
        <v>0.2164648391925641</v>
      </c>
      <c r="G37" s="14">
        <v>-62.470514024377628</v>
      </c>
      <c r="H37" s="14">
        <v>27.3270714052667</v>
      </c>
      <c r="I37" s="14">
        <v>-47.574123632033569</v>
      </c>
      <c r="J37" s="14">
        <v>-103.3447592291361</v>
      </c>
      <c r="K37" s="14">
        <v>64.669724208364599</v>
      </c>
      <c r="M37" s="105" t="s">
        <v>2</v>
      </c>
      <c r="N37" s="14">
        <v>20450.034940117202</v>
      </c>
      <c r="O37" s="17">
        <v>3.8753060000000001</v>
      </c>
      <c r="P37" s="17">
        <f t="shared" ref="P37:X37" si="23">((C37*0.001)*($N$37*1000000))/1000000000</f>
        <v>2.4187231998381997</v>
      </c>
      <c r="Q37" s="17">
        <f t="shared" si="23"/>
        <v>3.8418556888470429E-2</v>
      </c>
      <c r="R37" s="17">
        <f t="shared" si="23"/>
        <v>2.4789683273851866</v>
      </c>
      <c r="S37" s="17">
        <f t="shared" si="23"/>
        <v>4.4267135247947871E-3</v>
      </c>
      <c r="T37" s="17">
        <f t="shared" si="23"/>
        <v>-1.2775241945256042</v>
      </c>
      <c r="U37" s="17">
        <f t="shared" si="23"/>
        <v>0.55883956504878174</v>
      </c>
      <c r="V37" s="17">
        <f t="shared" si="23"/>
        <v>-0.97289249052054205</v>
      </c>
      <c r="W37" s="17">
        <f t="shared" si="23"/>
        <v>-2.1134039371138331</v>
      </c>
      <c r="X37" s="17">
        <f t="shared" si="23"/>
        <v>1.3224981196287995</v>
      </c>
    </row>
    <row r="38" spans="2:27" x14ac:dyDescent="0.25">
      <c r="B38" s="105" t="s">
        <v>3</v>
      </c>
      <c r="C38" s="14">
        <v>-65.399851192448409</v>
      </c>
      <c r="D38" s="14">
        <v>-55.238184740093303</v>
      </c>
      <c r="E38" s="14">
        <v>-59.695575313350851</v>
      </c>
      <c r="F38" s="14">
        <v>-58.205748326250152</v>
      </c>
      <c r="G38" s="14">
        <v>-61.554879944928238</v>
      </c>
      <c r="H38" s="14">
        <v>-66.373981481055608</v>
      </c>
      <c r="I38" s="14">
        <v>-58.148488085273677</v>
      </c>
      <c r="J38" s="14">
        <v>-66.929681270671523</v>
      </c>
      <c r="K38" s="14">
        <v>-77.673119137517119</v>
      </c>
      <c r="M38" s="105" t="s">
        <v>3</v>
      </c>
      <c r="N38" s="14">
        <v>251430.37783690859</v>
      </c>
      <c r="O38" s="17">
        <v>83.946549000000005</v>
      </c>
      <c r="P38" s="17">
        <f t="shared" ref="P38:X38" si="24">((C38*0.001)*($N$38*1000000))/1000000000</f>
        <v>-16.443509295794904</v>
      </c>
      <c r="Q38" s="17">
        <f t="shared" si="24"/>
        <v>-13.888557660226617</v>
      </c>
      <c r="R38" s="17">
        <f t="shared" si="24"/>
        <v>-15.009281056227438</v>
      </c>
      <c r="S38" s="17">
        <f t="shared" si="24"/>
        <v>-14.634693293949088</v>
      </c>
      <c r="T38" s="17">
        <f t="shared" si="24"/>
        <v>-15.476766722258855</v>
      </c>
      <c r="U38" s="17">
        <f t="shared" si="24"/>
        <v>-16.688435242321788</v>
      </c>
      <c r="V38" s="17">
        <f t="shared" si="24"/>
        <v>-14.620296329925338</v>
      </c>
      <c r="W38" s="17">
        <f t="shared" si="24"/>
        <v>-16.828155050388805</v>
      </c>
      <c r="X38" s="17">
        <f t="shared" si="24"/>
        <v>-19.529381692517148</v>
      </c>
    </row>
    <row r="39" spans="2:27" x14ac:dyDescent="0.25">
      <c r="B39" s="105" t="s">
        <v>4</v>
      </c>
      <c r="C39" s="14">
        <v>142.9793593155826</v>
      </c>
      <c r="D39" s="14">
        <v>-6.8617646433497743</v>
      </c>
      <c r="E39" s="14">
        <v>122.3907948007966</v>
      </c>
      <c r="F39" s="14">
        <v>18.67335200425045</v>
      </c>
      <c r="G39" s="14">
        <v>101.1425752393546</v>
      </c>
      <c r="H39" s="14">
        <v>26.504800600106599</v>
      </c>
      <c r="I39" s="14">
        <v>70.391763791747962</v>
      </c>
      <c r="J39" s="14">
        <v>133.6955026820691</v>
      </c>
      <c r="K39" s="14">
        <v>77.984160696906699</v>
      </c>
      <c r="M39" s="105" t="s">
        <v>4</v>
      </c>
      <c r="N39" s="14">
        <v>24496.645034227455</v>
      </c>
      <c r="O39" s="17">
        <v>1.2901100000000001</v>
      </c>
      <c r="P39" s="17">
        <f t="shared" ref="P39:X39" si="25">((C39*0.001)*($N$39*1000000))/1000000000</f>
        <v>3.502514612375089</v>
      </c>
      <c r="Q39" s="17">
        <f t="shared" si="25"/>
        <v>-0.16809021277655178</v>
      </c>
      <c r="R39" s="17">
        <f t="shared" si="25"/>
        <v>2.9981638556920855</v>
      </c>
      <c r="S39" s="17">
        <f t="shared" si="25"/>
        <v>0.45743447564730311</v>
      </c>
      <c r="T39" s="17">
        <f t="shared" si="25"/>
        <v>2.4776537634861127</v>
      </c>
      <c r="U39" s="17">
        <f t="shared" si="25"/>
        <v>0.64927869200379018</v>
      </c>
      <c r="V39" s="17">
        <f t="shared" si="25"/>
        <v>1.7243620509396349</v>
      </c>
      <c r="W39" s="17">
        <f t="shared" si="25"/>
        <v>3.2750912718752518</v>
      </c>
      <c r="X39" s="17">
        <f t="shared" si="25"/>
        <v>1.9103503028842752</v>
      </c>
    </row>
    <row r="40" spans="2:27" x14ac:dyDescent="0.25">
      <c r="B40" s="105" t="s">
        <v>5</v>
      </c>
      <c r="C40" s="14">
        <v>286.17793602837679</v>
      </c>
      <c r="D40" s="14">
        <v>176.41353552651739</v>
      </c>
      <c r="E40" s="14">
        <v>298.58365656215022</v>
      </c>
      <c r="F40" s="14">
        <v>255.53231711772909</v>
      </c>
      <c r="G40" s="14">
        <v>296.79010791360582</v>
      </c>
      <c r="H40" s="14">
        <v>164.6043840852773</v>
      </c>
      <c r="I40" s="14">
        <v>273.1815194929402</v>
      </c>
      <c r="J40" s="14">
        <v>360.66719019639851</v>
      </c>
      <c r="K40" s="14">
        <v>212.79957074255654</v>
      </c>
      <c r="M40" s="105" t="s">
        <v>5</v>
      </c>
      <c r="N40" s="14">
        <v>363314.38569269452</v>
      </c>
      <c r="O40" s="17">
        <v>39.232453</v>
      </c>
      <c r="P40" s="17">
        <f t="shared" ref="P40:X40" si="26">((C40*0.001)*($N$40*1000000))/1000000000</f>
        <v>103.97256102695296</v>
      </c>
      <c r="Q40" s="17">
        <f t="shared" si="26"/>
        <v>64.093575287693014</v>
      </c>
      <c r="R40" s="17">
        <f t="shared" si="26"/>
        <v>108.47973776175608</v>
      </c>
      <c r="S40" s="17">
        <f t="shared" si="26"/>
        <v>92.838566818258556</v>
      </c>
      <c r="T40" s="17">
        <f t="shared" si="26"/>
        <v>107.82811573630022</v>
      </c>
      <c r="U40" s="17">
        <f t="shared" si="26"/>
        <v>59.803140686266872</v>
      </c>
      <c r="V40" s="17">
        <f t="shared" si="26"/>
        <v>99.250775937174438</v>
      </c>
      <c r="W40" s="17">
        <f t="shared" si="26"/>
        <v>131.03557864571476</v>
      </c>
      <c r="X40" s="17">
        <f t="shared" si="26"/>
        <v>77.313145320001027</v>
      </c>
    </row>
    <row r="41" spans="2:27" x14ac:dyDescent="0.25">
      <c r="B41" s="105" t="s">
        <v>6</v>
      </c>
      <c r="C41" s="14">
        <v>354.11756662225503</v>
      </c>
      <c r="D41" s="14">
        <v>340.04616587932088</v>
      </c>
      <c r="E41" s="14">
        <v>511.79327534824489</v>
      </c>
      <c r="F41" s="14">
        <v>310.65499128855942</v>
      </c>
      <c r="G41" s="14">
        <v>274.36585257037558</v>
      </c>
      <c r="H41" s="14">
        <v>440.13487099872822</v>
      </c>
      <c r="I41" s="14">
        <v>194.30281640521329</v>
      </c>
      <c r="J41" s="14">
        <v>324.45836755534611</v>
      </c>
      <c r="K41" s="14">
        <v>559.44546618991444</v>
      </c>
      <c r="M41" s="105" t="s">
        <v>6</v>
      </c>
      <c r="N41" s="14">
        <v>49475.746319971244</v>
      </c>
      <c r="O41" s="17">
        <v>19.742709999999999</v>
      </c>
      <c r="P41" s="17">
        <f t="shared" ref="P41:X41" si="27">((C41*0.001)*($N$41*1000000))/1000000000</f>
        <v>17.520230893648204</v>
      </c>
      <c r="Q41" s="17">
        <f t="shared" si="27"/>
        <v>16.824037840124145</v>
      </c>
      <c r="R41" s="17">
        <f t="shared" si="27"/>
        <v>25.321354259396958</v>
      </c>
      <c r="S41" s="17">
        <f t="shared" si="27"/>
        <v>15.369887542025644</v>
      </c>
      <c r="T41" s="17">
        <f t="shared" si="27"/>
        <v>13.574455320634533</v>
      </c>
      <c r="U41" s="17">
        <f t="shared" si="27"/>
        <v>21.776001224106345</v>
      </c>
      <c r="V41" s="17">
        <f t="shared" si="27"/>
        <v>9.6132768537202793</v>
      </c>
      <c r="W41" s="17">
        <f t="shared" si="27"/>
        <v>16.052819884560293</v>
      </c>
      <c r="X41" s="17">
        <f t="shared" si="27"/>
        <v>27.678981965070257</v>
      </c>
    </row>
    <row r="42" spans="2:27" x14ac:dyDescent="0.25">
      <c r="B42" s="105" t="s">
        <v>7</v>
      </c>
      <c r="C42" s="14">
        <v>170.78331744657851</v>
      </c>
      <c r="D42" s="14">
        <v>184.48391479070071</v>
      </c>
      <c r="E42" s="14">
        <v>169.46704874201521</v>
      </c>
      <c r="F42" s="14">
        <v>91.590217262229459</v>
      </c>
      <c r="G42" s="14">
        <v>13.294315383085999</v>
      </c>
      <c r="H42" s="14">
        <v>99.484095738297285</v>
      </c>
      <c r="I42" s="14">
        <v>160.1972952594511</v>
      </c>
      <c r="J42" s="14">
        <v>73.844556762082959</v>
      </c>
      <c r="K42" s="14">
        <v>392.22954955768193</v>
      </c>
      <c r="M42" s="105" t="s">
        <v>7</v>
      </c>
      <c r="N42" s="14">
        <v>20836.189535136225</v>
      </c>
      <c r="O42" s="17">
        <v>11.426439</v>
      </c>
      <c r="P42" s="17">
        <f t="shared" ref="P42:X42" si="28">((C42*0.001)*($N$42*1000000))/1000000000</f>
        <v>3.5584735717562475</v>
      </c>
      <c r="Q42" s="17">
        <f t="shared" si="28"/>
        <v>3.843941814762962</v>
      </c>
      <c r="R42" s="17">
        <f t="shared" si="28"/>
        <v>3.5310475475487979</v>
      </c>
      <c r="S42" s="17">
        <f t="shared" si="28"/>
        <v>1.9083911264401188</v>
      </c>
      <c r="T42" s="17">
        <f t="shared" si="28"/>
        <v>0.27700287506185706</v>
      </c>
      <c r="U42" s="17">
        <f t="shared" si="28"/>
        <v>2.0728694745348006</v>
      </c>
      <c r="V42" s="17">
        <f t="shared" si="28"/>
        <v>3.337901207042103</v>
      </c>
      <c r="W42" s="17">
        <f t="shared" si="28"/>
        <v>1.5386391808328861</v>
      </c>
      <c r="X42" s="17">
        <f t="shared" si="28"/>
        <v>8.1725692358649695</v>
      </c>
    </row>
    <row r="43" spans="2:27" x14ac:dyDescent="0.25">
      <c r="B43" s="105" t="s">
        <v>8</v>
      </c>
      <c r="C43" s="14">
        <v>-31.221270722846182</v>
      </c>
      <c r="D43" s="14">
        <v>-34.808172070606823</v>
      </c>
      <c r="E43" s="14">
        <v>-22.87493256038055</v>
      </c>
      <c r="F43" s="14">
        <v>-31.985099220728149</v>
      </c>
      <c r="G43" s="14">
        <v>-17.01186922509758</v>
      </c>
      <c r="H43" s="14">
        <v>-55.687741290407878</v>
      </c>
      <c r="I43" s="14">
        <v>-49.507085496006653</v>
      </c>
      <c r="J43" s="14">
        <v>-11.902617150699839</v>
      </c>
      <c r="K43" s="14">
        <v>-32.688403575128</v>
      </c>
      <c r="M43" s="105" t="s">
        <v>8</v>
      </c>
      <c r="N43" s="14">
        <v>1339764.2833351614</v>
      </c>
      <c r="O43" s="17">
        <v>36.982824999999998</v>
      </c>
      <c r="P43" s="17">
        <f t="shared" ref="P43:X43" si="29">((C43*0.001)*($N$43*1000000))/1000000000</f>
        <v>-41.829143394807069</v>
      </c>
      <c r="Q43" s="17">
        <f t="shared" si="29"/>
        <v>-46.634745708383527</v>
      </c>
      <c r="R43" s="17">
        <f t="shared" si="29"/>
        <v>-30.647017628098396</v>
      </c>
      <c r="S43" s="17">
        <f t="shared" si="29"/>
        <v>-42.85249353486288</v>
      </c>
      <c r="T43" s="17">
        <f t="shared" si="29"/>
        <v>-22.791894780554347</v>
      </c>
      <c r="U43" s="17">
        <f t="shared" si="29"/>
        <v>-74.608446800497177</v>
      </c>
      <c r="V43" s="17">
        <f t="shared" si="29"/>
        <v>-66.32782491956992</v>
      </c>
      <c r="W43" s="17">
        <f t="shared" si="29"/>
        <v>-15.946701336720173</v>
      </c>
      <c r="X43" s="17">
        <f t="shared" si="29"/>
        <v>-43.794755589201891</v>
      </c>
    </row>
    <row r="44" spans="2:27" x14ac:dyDescent="0.25">
      <c r="B44" s="105" t="s">
        <v>9</v>
      </c>
      <c r="C44" s="14">
        <v>-151.5261232986208</v>
      </c>
      <c r="D44" s="14">
        <v>-192.43771371331499</v>
      </c>
      <c r="E44" s="14">
        <v>-26.092266670151819</v>
      </c>
      <c r="F44" s="14">
        <v>-113.8632588613814</v>
      </c>
      <c r="G44" s="14">
        <v>-187.16611739518399</v>
      </c>
      <c r="H44" s="14">
        <v>-261.48002571583532</v>
      </c>
      <c r="I44" s="14">
        <v>-233.31932709561519</v>
      </c>
      <c r="J44" s="14">
        <v>-183.37227597652691</v>
      </c>
      <c r="K44" s="14">
        <v>-212.73291151133773</v>
      </c>
      <c r="M44" s="105" t="s">
        <v>9</v>
      </c>
      <c r="N44" s="14">
        <v>617141.72101696266</v>
      </c>
      <c r="O44" s="17">
        <v>10.905776556851148</v>
      </c>
      <c r="P44" s="17">
        <f t="shared" ref="P44:X44" si="30">((C44*0.001)*($N$44*1000000))/1000000000</f>
        <v>-93.513092511539327</v>
      </c>
      <c r="Q44" s="17">
        <f t="shared" si="30"/>
        <v>-118.76134182960476</v>
      </c>
      <c r="R44" s="17">
        <f t="shared" si="30"/>
        <v>-16.102626358051026</v>
      </c>
      <c r="S44" s="17">
        <f t="shared" si="30"/>
        <v>-70.269767534312834</v>
      </c>
      <c r="T44" s="17">
        <f t="shared" si="30"/>
        <v>-115.50801980532673</v>
      </c>
      <c r="U44" s="17">
        <f t="shared" si="30"/>
        <v>-161.37023308183026</v>
      </c>
      <c r="V44" s="17">
        <f t="shared" si="30"/>
        <v>-143.99109107030762</v>
      </c>
      <c r="W44" s="17">
        <f t="shared" si="30"/>
        <v>-113.16668198295125</v>
      </c>
      <c r="X44" s="17">
        <f t="shared" si="30"/>
        <v>-131.2863551270562</v>
      </c>
    </row>
    <row r="45" spans="2:27" x14ac:dyDescent="0.25">
      <c r="B45" s="105" t="s">
        <v>10</v>
      </c>
      <c r="C45" s="14">
        <v>198.21120893662541</v>
      </c>
      <c r="D45" s="14">
        <v>346.42018187643799</v>
      </c>
      <c r="E45" s="14">
        <v>218.85042520208711</v>
      </c>
      <c r="F45" s="14">
        <v>205.48102126676179</v>
      </c>
      <c r="G45" s="14">
        <v>128.33331606810771</v>
      </c>
      <c r="H45" s="14">
        <v>375.19745512030511</v>
      </c>
      <c r="I45" s="14">
        <v>166.3224206768684</v>
      </c>
      <c r="J45" s="14">
        <v>232.37592464503581</v>
      </c>
      <c r="K45" s="14">
        <v>492.28746560853511</v>
      </c>
      <c r="M45" s="105" t="s">
        <v>10</v>
      </c>
      <c r="N45" s="14">
        <v>119784.51078433092</v>
      </c>
      <c r="O45" s="17">
        <v>11.996235</v>
      </c>
      <c r="P45" s="17">
        <f t="shared" ref="P45:X45" si="31">((C45*0.001)*($N$45*1000000))/1000000000</f>
        <v>23.742632694444477</v>
      </c>
      <c r="Q45" s="17">
        <f t="shared" si="31"/>
        <v>41.495772011888072</v>
      </c>
      <c r="R45" s="17">
        <f t="shared" si="31"/>
        <v>26.214891117774812</v>
      </c>
      <c r="S45" s="17">
        <f t="shared" si="31"/>
        <v>24.613443607903758</v>
      </c>
      <c r="T45" s="17">
        <f t="shared" si="31"/>
        <v>15.372343482549196</v>
      </c>
      <c r="U45" s="17">
        <f t="shared" si="31"/>
        <v>44.942843609111705</v>
      </c>
      <c r="V45" s="17">
        <f t="shared" si="31"/>
        <v>19.922849793244371</v>
      </c>
      <c r="W45" s="17">
        <f t="shared" si="31"/>
        <v>27.835036451662162</v>
      </c>
      <c r="X45" s="17">
        <f t="shared" si="31"/>
        <v>58.968413233176513</v>
      </c>
    </row>
    <row r="46" spans="2:27" x14ac:dyDescent="0.25">
      <c r="B46" s="105" t="s">
        <v>11</v>
      </c>
      <c r="C46" s="14">
        <v>-15.952752328589529</v>
      </c>
      <c r="D46" s="14">
        <v>100.456301788676</v>
      </c>
      <c r="E46" s="14">
        <v>202.60759912692299</v>
      </c>
      <c r="F46" s="14">
        <v>-49.163113351203613</v>
      </c>
      <c r="G46" s="14">
        <v>75.216476860616979</v>
      </c>
      <c r="H46" s="14">
        <v>214.1797629985461</v>
      </c>
      <c r="I46" s="14">
        <v>-4.253118808416211</v>
      </c>
      <c r="J46" s="14">
        <v>93.880073947600096</v>
      </c>
      <c r="K46" s="14">
        <v>257.68649623756176</v>
      </c>
      <c r="M46" s="105" t="s">
        <v>11</v>
      </c>
      <c r="N46" s="14">
        <v>237021.44592026682</v>
      </c>
      <c r="O46" s="17">
        <v>41.918567000000003</v>
      </c>
      <c r="P46" s="17">
        <f t="shared" ref="P46:X46" si="32">((C46*0.001)*($N$46*1000000))/1000000000</f>
        <v>-3.7811444233301938</v>
      </c>
      <c r="Q46" s="17">
        <f t="shared" si="32"/>
        <v>23.810297901754669</v>
      </c>
      <c r="R46" s="17">
        <f t="shared" si="32"/>
        <v>48.022346099497078</v>
      </c>
      <c r="S46" s="17">
        <f t="shared" si="32"/>
        <v>-11.652712212444255</v>
      </c>
      <c r="T46" s="17">
        <f t="shared" si="32"/>
        <v>17.827918102531729</v>
      </c>
      <c r="U46" s="17">
        <f t="shared" si="32"/>
        <v>50.765197112775461</v>
      </c>
      <c r="V46" s="17">
        <f t="shared" si="32"/>
        <v>-1.0080803696414926</v>
      </c>
      <c r="W46" s="17">
        <f t="shared" si="32"/>
        <v>22.251590870161746</v>
      </c>
      <c r="X46" s="17">
        <f t="shared" si="32"/>
        <v>61.077225932354281</v>
      </c>
    </row>
    <row r="49" spans="2:36" x14ac:dyDescent="0.25">
      <c r="Z49" s="64"/>
      <c r="AA49" s="64"/>
      <c r="AB49" s="64"/>
      <c r="AC49" s="64"/>
      <c r="AD49" s="64"/>
      <c r="AE49" s="64"/>
      <c r="AF49" s="64"/>
      <c r="AG49" s="64"/>
      <c r="AH49" s="64"/>
      <c r="AI49" s="64"/>
      <c r="AJ49" s="64"/>
    </row>
    <row r="50" spans="2:36" ht="12.45" customHeight="1" x14ac:dyDescent="0.25">
      <c r="B50" s="200" t="s">
        <v>129</v>
      </c>
      <c r="C50" s="200"/>
      <c r="D50" s="200"/>
      <c r="E50" s="200"/>
      <c r="F50" s="200"/>
      <c r="G50" s="200"/>
      <c r="H50" s="200"/>
      <c r="I50" s="200"/>
      <c r="J50" s="200"/>
      <c r="K50" s="200"/>
      <c r="L50" s="200"/>
      <c r="M50" s="200"/>
      <c r="N50" s="200"/>
      <c r="Q50" s="200" t="s">
        <v>88</v>
      </c>
      <c r="R50" s="200"/>
      <c r="S50" s="200"/>
      <c r="T50" s="200"/>
      <c r="U50" s="200"/>
    </row>
    <row r="51" spans="2:36" s="64" customFormat="1" ht="26.4" x14ac:dyDescent="0.25">
      <c r="B51" s="104" t="s">
        <v>61</v>
      </c>
      <c r="C51" s="65" t="s">
        <v>167</v>
      </c>
      <c r="D51" s="65">
        <v>2010</v>
      </c>
      <c r="E51" s="65">
        <v>2011</v>
      </c>
      <c r="F51" s="65">
        <v>2012</v>
      </c>
      <c r="G51" s="65">
        <v>2013</v>
      </c>
      <c r="H51" s="65">
        <v>2014</v>
      </c>
      <c r="I51" s="65">
        <v>2015</v>
      </c>
      <c r="J51" s="65">
        <v>2016</v>
      </c>
      <c r="K51" s="65">
        <v>2017</v>
      </c>
      <c r="L51" s="65">
        <v>2018</v>
      </c>
      <c r="M51" s="65">
        <v>2019</v>
      </c>
      <c r="N51" s="65">
        <v>2020</v>
      </c>
      <c r="Q51" s="104" t="s">
        <v>61</v>
      </c>
      <c r="R51" s="65" t="s">
        <v>87</v>
      </c>
      <c r="S51" s="65" t="s">
        <v>40</v>
      </c>
      <c r="T51" s="65" t="s">
        <v>41</v>
      </c>
      <c r="U51" s="65" t="s">
        <v>13</v>
      </c>
      <c r="Z51"/>
      <c r="AA51"/>
      <c r="AB51"/>
      <c r="AC51"/>
      <c r="AD51"/>
      <c r="AE51"/>
      <c r="AF51"/>
      <c r="AG51"/>
      <c r="AH51"/>
      <c r="AI51"/>
      <c r="AJ51"/>
    </row>
    <row r="52" spans="2:36" x14ac:dyDescent="0.25">
      <c r="B52" s="105" t="s">
        <v>1</v>
      </c>
      <c r="C52" s="138">
        <v>3.1200000000000002E-2</v>
      </c>
      <c r="D52" s="139">
        <f t="shared" ref="D52:D62" si="33">E52/(1+C52)</f>
        <v>4.5376418747929925</v>
      </c>
      <c r="E52" s="139">
        <f t="shared" ref="E52:E62" si="34">F52/(1+C52)</f>
        <v>4.6792163012865338</v>
      </c>
      <c r="F52" s="139">
        <f t="shared" ref="F52:F62" si="35">G52/(1+C52)</f>
        <v>4.8252078498866728</v>
      </c>
      <c r="G52" s="139">
        <f t="shared" ref="G52:G62" si="36">H52/(1+C52)</f>
        <v>4.9757543348031366</v>
      </c>
      <c r="H52" s="139">
        <f t="shared" ref="H52:H62" si="37">I52/(1+C52)</f>
        <v>5.1309978700489935</v>
      </c>
      <c r="I52" s="139">
        <f t="shared" ref="I52:I62" si="38">J52/(1+C52)</f>
        <v>5.2910850035945218</v>
      </c>
      <c r="J52" s="139">
        <f t="shared" ref="J52:J62" si="39">K52/(1+C52)</f>
        <v>5.4561668557066705</v>
      </c>
      <c r="K52" s="139">
        <f t="shared" ref="K52:K62" si="40">L52/(1+C52)</f>
        <v>5.6263992616047176</v>
      </c>
      <c r="L52" s="139">
        <f t="shared" ref="L52:L62" si="41">M52/(1+C52)</f>
        <v>5.8019429185667839</v>
      </c>
      <c r="M52" s="139">
        <f t="shared" ref="M52:M62" si="42">N52/(1+C52)</f>
        <v>5.982963537626067</v>
      </c>
      <c r="N52" s="139">
        <v>6.169632</v>
      </c>
      <c r="Q52" s="105" t="s">
        <v>1</v>
      </c>
      <c r="R52" s="11">
        <v>7480.8958351792899</v>
      </c>
      <c r="S52" s="11">
        <v>17.326803676232601</v>
      </c>
      <c r="T52" s="14"/>
      <c r="U52" s="14">
        <f t="shared" ref="U52:U62" si="43">SUM(R52:T52)</f>
        <v>7498.2226388555227</v>
      </c>
    </row>
    <row r="53" spans="2:36" x14ac:dyDescent="0.25">
      <c r="B53" s="105" t="s">
        <v>2</v>
      </c>
      <c r="C53" s="138">
        <v>3.1899999999999998E-2</v>
      </c>
      <c r="D53" s="139">
        <f t="shared" si="33"/>
        <v>2.8309348591687482</v>
      </c>
      <c r="E53" s="139">
        <f t="shared" si="34"/>
        <v>2.9212416811762312</v>
      </c>
      <c r="F53" s="139">
        <f t="shared" si="35"/>
        <v>3.0144292908057531</v>
      </c>
      <c r="G53" s="139">
        <f t="shared" si="36"/>
        <v>3.1105895851824568</v>
      </c>
      <c r="H53" s="139">
        <f t="shared" si="37"/>
        <v>3.2098173929497773</v>
      </c>
      <c r="I53" s="139">
        <f t="shared" si="38"/>
        <v>3.3122105677848754</v>
      </c>
      <c r="J53" s="139">
        <f t="shared" si="39"/>
        <v>3.417870084897213</v>
      </c>
      <c r="K53" s="139">
        <f t="shared" si="40"/>
        <v>3.5269001406054343</v>
      </c>
      <c r="L53" s="139">
        <f t="shared" si="41"/>
        <v>3.6394082550907476</v>
      </c>
      <c r="M53" s="139">
        <f t="shared" si="42"/>
        <v>3.7555053784281425</v>
      </c>
      <c r="N53" s="139">
        <v>3.8753060000000001</v>
      </c>
      <c r="Q53" s="105" t="s">
        <v>2</v>
      </c>
      <c r="R53" s="14">
        <v>4095.8505435363099</v>
      </c>
      <c r="S53" s="11">
        <v>453.17056104724901</v>
      </c>
      <c r="T53" s="14"/>
      <c r="U53" s="14">
        <f t="shared" si="43"/>
        <v>4549.0211045835586</v>
      </c>
    </row>
    <row r="54" spans="2:36" x14ac:dyDescent="0.25">
      <c r="B54" s="105" t="s">
        <v>3</v>
      </c>
      <c r="C54" s="138">
        <v>1.9400000000000001E-2</v>
      </c>
      <c r="D54" s="139">
        <f t="shared" si="33"/>
        <v>69.271813069261029</v>
      </c>
      <c r="E54" s="139">
        <f t="shared" si="34"/>
        <v>70.615686242804699</v>
      </c>
      <c r="F54" s="139">
        <f t="shared" si="35"/>
        <v>71.985630555915122</v>
      </c>
      <c r="G54" s="139">
        <f t="shared" si="36"/>
        <v>73.382151788699886</v>
      </c>
      <c r="H54" s="139">
        <f t="shared" si="37"/>
        <v>74.805765533400674</v>
      </c>
      <c r="I54" s="139">
        <f t="shared" si="38"/>
        <v>76.256997384748658</v>
      </c>
      <c r="J54" s="139">
        <f t="shared" si="39"/>
        <v>77.736383134012783</v>
      </c>
      <c r="K54" s="139">
        <f t="shared" si="40"/>
        <v>79.244468966812633</v>
      </c>
      <c r="L54" s="139">
        <f t="shared" si="41"/>
        <v>80.78181166476881</v>
      </c>
      <c r="M54" s="139">
        <f t="shared" si="42"/>
        <v>82.348978811065336</v>
      </c>
      <c r="N54" s="139">
        <v>83.946549000000005</v>
      </c>
      <c r="Q54" s="105" t="s">
        <v>3</v>
      </c>
      <c r="R54" s="11">
        <v>36.2275463161657</v>
      </c>
      <c r="S54" s="14">
        <v>32732.968091907202</v>
      </c>
      <c r="T54" s="11">
        <v>968.93231315236301</v>
      </c>
      <c r="U54" s="14">
        <f t="shared" si="43"/>
        <v>33738.127951375733</v>
      </c>
    </row>
    <row r="55" spans="2:36" x14ac:dyDescent="0.25">
      <c r="B55" s="105" t="s">
        <v>4</v>
      </c>
      <c r="C55" s="138">
        <v>1.41E-2</v>
      </c>
      <c r="D55" s="139">
        <f t="shared" si="33"/>
        <v>1.1215507094546049</v>
      </c>
      <c r="E55" s="139">
        <f t="shared" si="34"/>
        <v>1.1373645744579148</v>
      </c>
      <c r="F55" s="139">
        <f t="shared" si="35"/>
        <v>1.1534014149577714</v>
      </c>
      <c r="G55" s="139">
        <f t="shared" si="36"/>
        <v>1.1696643749086759</v>
      </c>
      <c r="H55" s="139">
        <f t="shared" si="37"/>
        <v>1.1861566425948882</v>
      </c>
      <c r="I55" s="139">
        <f t="shared" si="38"/>
        <v>1.2028814512554762</v>
      </c>
      <c r="J55" s="139">
        <f t="shared" si="39"/>
        <v>1.2198420797181784</v>
      </c>
      <c r="K55" s="139">
        <f t="shared" si="40"/>
        <v>1.2370418530422047</v>
      </c>
      <c r="L55" s="139">
        <f t="shared" si="41"/>
        <v>1.2544841431700997</v>
      </c>
      <c r="M55" s="139">
        <f t="shared" si="42"/>
        <v>1.2721723695887981</v>
      </c>
      <c r="N55" s="139">
        <v>1.2901100000000001</v>
      </c>
      <c r="Q55" s="105" t="s">
        <v>4</v>
      </c>
      <c r="R55" s="11">
        <v>4571.8337917332701</v>
      </c>
      <c r="S55" s="11">
        <v>167.66828675695399</v>
      </c>
      <c r="T55" s="12">
        <v>2.3555436770109801E-2</v>
      </c>
      <c r="U55" s="14">
        <f t="shared" si="43"/>
        <v>4739.5256339269945</v>
      </c>
    </row>
    <row r="56" spans="2:36" x14ac:dyDescent="0.25">
      <c r="B56" s="105" t="s">
        <v>5</v>
      </c>
      <c r="C56" s="138">
        <v>2.75E-2</v>
      </c>
      <c r="D56" s="139">
        <f t="shared" si="33"/>
        <v>29.910739995094342</v>
      </c>
      <c r="E56" s="139">
        <f t="shared" si="34"/>
        <v>30.733285344959441</v>
      </c>
      <c r="F56" s="139">
        <f t="shared" si="35"/>
        <v>31.578450691945829</v>
      </c>
      <c r="G56" s="139">
        <f t="shared" si="36"/>
        <v>32.446858085974341</v>
      </c>
      <c r="H56" s="139">
        <f t="shared" si="37"/>
        <v>33.33914668333864</v>
      </c>
      <c r="I56" s="139">
        <f t="shared" si="38"/>
        <v>34.255973217130453</v>
      </c>
      <c r="J56" s="139">
        <f t="shared" si="39"/>
        <v>35.198012480601541</v>
      </c>
      <c r="K56" s="139">
        <f t="shared" si="40"/>
        <v>36.16595782381809</v>
      </c>
      <c r="L56" s="139">
        <f t="shared" si="41"/>
        <v>37.160521663973093</v>
      </c>
      <c r="M56" s="139">
        <f t="shared" si="42"/>
        <v>38.182436009732356</v>
      </c>
      <c r="N56" s="139">
        <v>39.232453</v>
      </c>
      <c r="Q56" s="105" t="s">
        <v>5</v>
      </c>
      <c r="R56" s="11">
        <v>148845.87450464899</v>
      </c>
      <c r="S56" s="11">
        <v>928.38682241953302</v>
      </c>
      <c r="T56" s="46">
        <v>0.46268759241202301</v>
      </c>
      <c r="U56" s="14">
        <f t="shared" si="43"/>
        <v>149774.72401466093</v>
      </c>
    </row>
    <row r="57" spans="2:36" x14ac:dyDescent="0.25">
      <c r="B57" s="105" t="s">
        <v>6</v>
      </c>
      <c r="C57" s="138">
        <v>2.2799999999999997E-2</v>
      </c>
      <c r="D57" s="139">
        <f t="shared" si="33"/>
        <v>15.757944722787245</v>
      </c>
      <c r="E57" s="139">
        <f t="shared" si="34"/>
        <v>16.117225862466793</v>
      </c>
      <c r="F57" s="139">
        <f t="shared" si="35"/>
        <v>16.484698612131034</v>
      </c>
      <c r="G57" s="139">
        <f t="shared" si="36"/>
        <v>16.86054974048762</v>
      </c>
      <c r="H57" s="139">
        <f t="shared" si="37"/>
        <v>17.244970274570736</v>
      </c>
      <c r="I57" s="139">
        <f t="shared" si="38"/>
        <v>17.638155596830948</v>
      </c>
      <c r="J57" s="139">
        <f t="shared" si="39"/>
        <v>18.040305544438691</v>
      </c>
      <c r="K57" s="139">
        <f t="shared" si="40"/>
        <v>18.451624510851893</v>
      </c>
      <c r="L57" s="139">
        <f t="shared" si="41"/>
        <v>18.872321549699315</v>
      </c>
      <c r="M57" s="139">
        <f t="shared" si="42"/>
        <v>19.30261048103246</v>
      </c>
      <c r="N57" s="139">
        <v>19.742709999999999</v>
      </c>
      <c r="Q57" s="105" t="s">
        <v>6</v>
      </c>
      <c r="R57" s="11">
        <v>34381.756113589799</v>
      </c>
      <c r="S57" s="11">
        <v>161.37842778671799</v>
      </c>
      <c r="T57" s="14"/>
      <c r="U57" s="14">
        <f t="shared" si="43"/>
        <v>34543.134541376516</v>
      </c>
    </row>
    <row r="58" spans="2:36" x14ac:dyDescent="0.25">
      <c r="B58" s="105" t="s">
        <v>7</v>
      </c>
      <c r="C58" s="138">
        <v>2.58E-2</v>
      </c>
      <c r="D58" s="139">
        <f t="shared" si="33"/>
        <v>8.8569452121066199</v>
      </c>
      <c r="E58" s="139">
        <f t="shared" si="34"/>
        <v>9.0854543985789711</v>
      </c>
      <c r="F58" s="139">
        <f t="shared" si="35"/>
        <v>9.3198591220623097</v>
      </c>
      <c r="G58" s="139">
        <f t="shared" si="36"/>
        <v>9.5603114874115178</v>
      </c>
      <c r="H58" s="139">
        <f t="shared" si="37"/>
        <v>9.8069675237867351</v>
      </c>
      <c r="I58" s="139">
        <f t="shared" si="38"/>
        <v>10.059987285900434</v>
      </c>
      <c r="J58" s="139">
        <f t="shared" si="39"/>
        <v>10.319534957876666</v>
      </c>
      <c r="K58" s="139">
        <f t="shared" si="40"/>
        <v>10.585778959789884</v>
      </c>
      <c r="L58" s="139">
        <f t="shared" si="41"/>
        <v>10.858892056952463</v>
      </c>
      <c r="M58" s="139">
        <f t="shared" si="42"/>
        <v>11.139051472021837</v>
      </c>
      <c r="N58" s="139">
        <v>11.426439</v>
      </c>
      <c r="Q58" s="105" t="s">
        <v>7</v>
      </c>
      <c r="R58" s="11">
        <v>12592.695935711299</v>
      </c>
      <c r="S58" s="11">
        <v>116.35921417471801</v>
      </c>
      <c r="T58" s="14"/>
      <c r="U58" s="14">
        <f t="shared" si="43"/>
        <v>12709.055149886017</v>
      </c>
    </row>
    <row r="59" spans="2:36" x14ac:dyDescent="0.25">
      <c r="B59" s="105" t="s">
        <v>8</v>
      </c>
      <c r="C59" s="138">
        <v>2.4199999999999999E-2</v>
      </c>
      <c r="D59" s="139">
        <f t="shared" si="33"/>
        <v>29.117384905391187</v>
      </c>
      <c r="E59" s="139">
        <f t="shared" si="34"/>
        <v>29.822025620101655</v>
      </c>
      <c r="F59" s="139">
        <f t="shared" si="35"/>
        <v>30.543718640108114</v>
      </c>
      <c r="G59" s="139">
        <f t="shared" si="36"/>
        <v>31.282876631198732</v>
      </c>
      <c r="H59" s="139">
        <f t="shared" si="37"/>
        <v>32.039922245673743</v>
      </c>
      <c r="I59" s="139">
        <f t="shared" si="38"/>
        <v>32.815288364019047</v>
      </c>
      <c r="J59" s="139">
        <f t="shared" si="39"/>
        <v>33.609418342428306</v>
      </c>
      <c r="K59" s="139">
        <f t="shared" si="40"/>
        <v>34.422766266315072</v>
      </c>
      <c r="L59" s="139">
        <f t="shared" si="41"/>
        <v>35.255797209959894</v>
      </c>
      <c r="M59" s="139">
        <f t="shared" si="42"/>
        <v>36.108987502440925</v>
      </c>
      <c r="N59" s="139">
        <v>36.982824999999998</v>
      </c>
      <c r="Q59" s="105" t="s">
        <v>8</v>
      </c>
      <c r="R59" s="11">
        <v>148932.274304138</v>
      </c>
      <c r="S59" s="11">
        <v>29965.5849251578</v>
      </c>
      <c r="T59" s="11">
        <v>370.81304961955902</v>
      </c>
      <c r="U59" s="14">
        <f t="shared" si="43"/>
        <v>179268.67227891536</v>
      </c>
      <c r="Y59" s="2"/>
    </row>
    <row r="60" spans="2:36" x14ac:dyDescent="0.25">
      <c r="B60" s="105" t="s">
        <v>9</v>
      </c>
      <c r="C60" s="138">
        <v>1.1899999999999999E-2</v>
      </c>
      <c r="D60" s="139">
        <f t="shared" si="33"/>
        <v>9.6890374893495448</v>
      </c>
      <c r="E60" s="139">
        <f t="shared" si="34"/>
        <v>9.8043370354728054</v>
      </c>
      <c r="F60" s="139">
        <f t="shared" si="35"/>
        <v>9.9210086461949327</v>
      </c>
      <c r="G60" s="139">
        <f t="shared" si="36"/>
        <v>10.039068649084653</v>
      </c>
      <c r="H60" s="139">
        <f t="shared" si="37"/>
        <v>10.15853356600876</v>
      </c>
      <c r="I60" s="139">
        <f t="shared" si="38"/>
        <v>10.279420115444264</v>
      </c>
      <c r="J60" s="139">
        <f t="shared" si="39"/>
        <v>10.401745214818051</v>
      </c>
      <c r="K60" s="139">
        <f t="shared" si="40"/>
        <v>10.525525982874386</v>
      </c>
      <c r="L60" s="139">
        <f t="shared" si="41"/>
        <v>10.650779742070592</v>
      </c>
      <c r="M60" s="139">
        <f t="shared" si="42"/>
        <v>10.777524021001232</v>
      </c>
      <c r="N60" s="139">
        <v>10.905776556851148</v>
      </c>
      <c r="Q60" s="105" t="s">
        <v>9</v>
      </c>
      <c r="R60" s="11">
        <v>7365.75573141738</v>
      </c>
      <c r="S60" s="11">
        <v>1046.8507913800099</v>
      </c>
      <c r="T60" s="14"/>
      <c r="U60" s="14">
        <f t="shared" si="43"/>
        <v>8412.6065227973904</v>
      </c>
      <c r="Y60" s="2"/>
    </row>
    <row r="61" spans="2:36" x14ac:dyDescent="0.25">
      <c r="B61" s="105" t="s">
        <v>10</v>
      </c>
      <c r="C61" s="138">
        <v>2.98E-2</v>
      </c>
      <c r="D61" s="139">
        <f t="shared" si="33"/>
        <v>8.9436766609828364</v>
      </c>
      <c r="E61" s="139">
        <f t="shared" si="34"/>
        <v>9.2101982254801253</v>
      </c>
      <c r="F61" s="139">
        <f t="shared" si="35"/>
        <v>9.4846621325994338</v>
      </c>
      <c r="G61" s="139">
        <f t="shared" si="36"/>
        <v>9.7673050641508965</v>
      </c>
      <c r="H61" s="139">
        <f t="shared" si="37"/>
        <v>10.058370755062594</v>
      </c>
      <c r="I61" s="139">
        <f t="shared" si="38"/>
        <v>10.358110203563459</v>
      </c>
      <c r="J61" s="139">
        <f t="shared" si="39"/>
        <v>10.66678188762965</v>
      </c>
      <c r="K61" s="139">
        <f t="shared" si="40"/>
        <v>10.984651987881014</v>
      </c>
      <c r="L61" s="139">
        <f t="shared" si="41"/>
        <v>11.311994617119868</v>
      </c>
      <c r="M61" s="139">
        <f t="shared" si="42"/>
        <v>11.649092056710041</v>
      </c>
      <c r="N61" s="139">
        <v>11.996235</v>
      </c>
      <c r="Q61" s="105" t="s">
        <v>10</v>
      </c>
      <c r="R61" s="11">
        <v>42937.449618125</v>
      </c>
      <c r="S61" s="11">
        <v>289.48062176270099</v>
      </c>
      <c r="T61" s="14"/>
      <c r="U61" s="14">
        <f t="shared" si="43"/>
        <v>43226.930239887697</v>
      </c>
      <c r="Y61" s="2"/>
    </row>
    <row r="62" spans="2:36" x14ac:dyDescent="0.25">
      <c r="B62" s="105" t="s">
        <v>11</v>
      </c>
      <c r="C62" s="138">
        <v>3.32E-2</v>
      </c>
      <c r="D62" s="139">
        <f t="shared" si="33"/>
        <v>30.238653792381729</v>
      </c>
      <c r="E62" s="139">
        <f t="shared" si="34"/>
        <v>31.242577098288798</v>
      </c>
      <c r="F62" s="139">
        <f t="shared" si="35"/>
        <v>32.279830657951983</v>
      </c>
      <c r="G62" s="139">
        <f t="shared" si="36"/>
        <v>33.351521035795983</v>
      </c>
      <c r="H62" s="139">
        <f t="shared" si="37"/>
        <v>34.458791534184407</v>
      </c>
      <c r="I62" s="139">
        <f t="shared" si="38"/>
        <v>35.602823413119324</v>
      </c>
      <c r="J62" s="139">
        <f t="shared" si="39"/>
        <v>36.784837150434882</v>
      </c>
      <c r="K62" s="139">
        <f t="shared" si="40"/>
        <v>38.006093743829318</v>
      </c>
      <c r="L62" s="139">
        <f t="shared" si="41"/>
        <v>39.267896056124449</v>
      </c>
      <c r="M62" s="139">
        <f t="shared" si="42"/>
        <v>40.571590205187775</v>
      </c>
      <c r="N62" s="139">
        <v>41.918567000000003</v>
      </c>
      <c r="Q62" s="107" t="s">
        <v>11</v>
      </c>
      <c r="R62" s="11">
        <v>67656.990471432495</v>
      </c>
      <c r="S62" s="11">
        <v>1753.8306754422299</v>
      </c>
      <c r="T62" s="47">
        <v>0.26831073485763801</v>
      </c>
      <c r="U62" s="14">
        <f t="shared" si="43"/>
        <v>69411.089457609574</v>
      </c>
      <c r="Y62" s="2"/>
    </row>
    <row r="63" spans="2:36" x14ac:dyDescent="0.25">
      <c r="B63" s="159" t="s">
        <v>13</v>
      </c>
      <c r="D63" s="15">
        <f>SUM(D52:D62)</f>
        <v>210.2763232907709</v>
      </c>
      <c r="E63" s="15">
        <f t="shared" ref="E63:M63" si="44">SUM(E52:E62)</f>
        <v>215.36861238507396</v>
      </c>
      <c r="F63" s="15">
        <f t="shared" si="44"/>
        <v>220.59089761455894</v>
      </c>
      <c r="G63" s="15">
        <f t="shared" si="44"/>
        <v>225.94665077769793</v>
      </c>
      <c r="H63" s="15">
        <f t="shared" si="44"/>
        <v>231.43944002161996</v>
      </c>
      <c r="I63" s="15">
        <f t="shared" si="44"/>
        <v>237.07293260339145</v>
      </c>
      <c r="J63" s="15">
        <f t="shared" si="44"/>
        <v>242.85089773256266</v>
      </c>
      <c r="K63" s="15">
        <f t="shared" si="44"/>
        <v>248.77720949742468</v>
      </c>
      <c r="L63" s="15">
        <f t="shared" si="44"/>
        <v>254.85584987749613</v>
      </c>
      <c r="M63" s="15">
        <f t="shared" si="44"/>
        <v>261.09091184483498</v>
      </c>
      <c r="N63" s="15">
        <f>SUM(N52:N62)</f>
        <v>267.48660255685115</v>
      </c>
      <c r="Q63" s="106"/>
      <c r="U63" s="15">
        <f>SUM(U52:U62)</f>
        <v>547871.10953387525</v>
      </c>
      <c r="Y63" s="2"/>
    </row>
    <row r="64" spans="2:36" x14ac:dyDescent="0.25">
      <c r="N64"/>
      <c r="O64"/>
    </row>
    <row r="67" spans="2:22" x14ac:dyDescent="0.25">
      <c r="B67" s="217" t="s">
        <v>217</v>
      </c>
      <c r="C67" s="217"/>
      <c r="D67" s="217"/>
      <c r="E67" s="217"/>
      <c r="F67" s="217"/>
      <c r="G67" s="217"/>
      <c r="H67" s="217"/>
      <c r="I67" s="217"/>
      <c r="J67" s="217"/>
      <c r="K67" s="217"/>
      <c r="M67" s="217" t="s">
        <v>218</v>
      </c>
      <c r="N67" s="217"/>
      <c r="O67" s="217"/>
      <c r="P67" s="217"/>
      <c r="Q67" s="217"/>
      <c r="R67" s="217"/>
      <c r="S67" s="217"/>
      <c r="T67" s="217"/>
      <c r="U67" s="217"/>
      <c r="V67" s="217"/>
    </row>
    <row r="68" spans="2:22" x14ac:dyDescent="0.25">
      <c r="B68" s="104" t="s">
        <v>61</v>
      </c>
      <c r="C68" s="65">
        <v>2010</v>
      </c>
      <c r="D68" s="65">
        <v>2011</v>
      </c>
      <c r="E68" s="65">
        <v>2012</v>
      </c>
      <c r="F68" s="65">
        <v>2013</v>
      </c>
      <c r="G68" s="65">
        <v>2014</v>
      </c>
      <c r="H68" s="65">
        <v>2015</v>
      </c>
      <c r="I68" s="65">
        <v>2016</v>
      </c>
      <c r="J68" s="65">
        <v>2017</v>
      </c>
      <c r="K68" s="65">
        <v>2018</v>
      </c>
      <c r="L68" s="106"/>
      <c r="M68" s="104" t="s">
        <v>61</v>
      </c>
      <c r="N68" s="65">
        <v>2010</v>
      </c>
      <c r="O68" s="65">
        <v>2011</v>
      </c>
      <c r="P68" s="65">
        <v>2012</v>
      </c>
      <c r="Q68" s="65">
        <v>2013</v>
      </c>
      <c r="R68" s="65">
        <v>2014</v>
      </c>
      <c r="S68" s="65">
        <v>2015</v>
      </c>
      <c r="T68" s="65">
        <v>2016</v>
      </c>
      <c r="U68" s="65">
        <v>2017</v>
      </c>
      <c r="V68" s="65">
        <v>2018</v>
      </c>
    </row>
    <row r="69" spans="2:22" x14ac:dyDescent="0.25">
      <c r="B69" s="105" t="s">
        <v>1</v>
      </c>
      <c r="C69" s="14"/>
      <c r="D69" s="14"/>
      <c r="E69" s="14"/>
      <c r="F69" s="218"/>
      <c r="G69" s="14"/>
      <c r="H69" s="14"/>
      <c r="I69" s="14"/>
      <c r="J69" s="14"/>
      <c r="K69" s="14"/>
      <c r="L69" s="106"/>
      <c r="M69" s="105" t="s">
        <v>1</v>
      </c>
      <c r="N69" s="14">
        <f>P36+C69</f>
        <v>1.2332552620142447</v>
      </c>
      <c r="O69" s="14">
        <f t="shared" ref="O69:V79" si="45">Q36+D69</f>
        <v>1.2659744256775787</v>
      </c>
      <c r="P69" s="14">
        <f t="shared" si="45"/>
        <v>0.7693067514792219</v>
      </c>
      <c r="Q69" s="14">
        <f t="shared" si="45"/>
        <v>2.8482081257467033</v>
      </c>
      <c r="R69" s="14">
        <f t="shared" si="45"/>
        <v>1.522812179266253</v>
      </c>
      <c r="S69" s="14">
        <f t="shared" si="45"/>
        <v>4.0079665040383814</v>
      </c>
      <c r="T69" s="14">
        <f t="shared" si="45"/>
        <v>3.7154038785419865</v>
      </c>
      <c r="U69" s="14">
        <f t="shared" si="45"/>
        <v>1.9832072109514134</v>
      </c>
      <c r="V69" s="14">
        <f t="shared" si="45"/>
        <v>7.1530660073489152</v>
      </c>
    </row>
    <row r="70" spans="2:22" x14ac:dyDescent="0.25">
      <c r="B70" s="105" t="s">
        <v>2</v>
      </c>
      <c r="C70" s="14"/>
      <c r="D70" s="14"/>
      <c r="E70" s="14"/>
      <c r="F70" s="218"/>
      <c r="G70" s="14"/>
      <c r="H70" s="14"/>
      <c r="I70" s="14"/>
      <c r="J70" s="14"/>
      <c r="K70" s="14"/>
      <c r="L70" s="106"/>
      <c r="M70" s="105" t="s">
        <v>2</v>
      </c>
      <c r="N70" s="14">
        <f t="shared" ref="N70:N79" si="46">P37+C70</f>
        <v>2.4187231998381997</v>
      </c>
      <c r="O70" s="14">
        <f t="shared" si="45"/>
        <v>3.8418556888470429E-2</v>
      </c>
      <c r="P70" s="14">
        <f t="shared" si="45"/>
        <v>2.4789683273851866</v>
      </c>
      <c r="Q70" s="14">
        <f t="shared" si="45"/>
        <v>4.4267135247947871E-3</v>
      </c>
      <c r="R70" s="14">
        <f t="shared" si="45"/>
        <v>-1.2775241945256042</v>
      </c>
      <c r="S70" s="14">
        <f t="shared" si="45"/>
        <v>0.55883956504878174</v>
      </c>
      <c r="T70" s="14">
        <f t="shared" si="45"/>
        <v>-0.97289249052054205</v>
      </c>
      <c r="U70" s="14">
        <f t="shared" si="45"/>
        <v>-2.1134039371138331</v>
      </c>
      <c r="V70" s="14">
        <f t="shared" si="45"/>
        <v>1.3224981196287995</v>
      </c>
    </row>
    <row r="71" spans="2:22" x14ac:dyDescent="0.25">
      <c r="B71" s="105" t="s">
        <v>3</v>
      </c>
      <c r="C71" s="14">
        <v>53.71846</v>
      </c>
      <c r="D71" s="14">
        <v>0.36812</v>
      </c>
      <c r="E71" s="14">
        <v>154.1472</v>
      </c>
      <c r="F71" s="218">
        <v>42.652769999999997</v>
      </c>
      <c r="G71" s="14">
        <v>74.520830000000004</v>
      </c>
      <c r="H71" s="14">
        <v>0</v>
      </c>
      <c r="I71" s="14">
        <v>43.817010000000003</v>
      </c>
      <c r="J71" s="14">
        <v>94.815539999999999</v>
      </c>
      <c r="K71" s="14">
        <v>32.901110000000003</v>
      </c>
      <c r="L71" s="106"/>
      <c r="M71" s="105" t="s">
        <v>3</v>
      </c>
      <c r="N71" s="14">
        <f t="shared" si="46"/>
        <v>37.274950704205096</v>
      </c>
      <c r="O71" s="14">
        <f t="shared" si="45"/>
        <v>-13.520437660226618</v>
      </c>
      <c r="P71" s="14">
        <f t="shared" si="45"/>
        <v>139.13791894377255</v>
      </c>
      <c r="Q71" s="14">
        <f t="shared" si="45"/>
        <v>28.018076706050909</v>
      </c>
      <c r="R71" s="14">
        <f t="shared" si="45"/>
        <v>59.044063277741145</v>
      </c>
      <c r="S71" s="14">
        <f t="shared" si="45"/>
        <v>-16.688435242321788</v>
      </c>
      <c r="T71" s="14">
        <f t="shared" si="45"/>
        <v>29.196713670074665</v>
      </c>
      <c r="U71" s="14">
        <f t="shared" si="45"/>
        <v>77.987384949611197</v>
      </c>
      <c r="V71" s="14">
        <f t="shared" si="45"/>
        <v>13.371728307482854</v>
      </c>
    </row>
    <row r="72" spans="2:22" x14ac:dyDescent="0.25">
      <c r="B72" s="105" t="s">
        <v>4</v>
      </c>
      <c r="C72" s="14"/>
      <c r="D72" s="14"/>
      <c r="E72" s="14"/>
      <c r="F72" s="218"/>
      <c r="G72" s="14"/>
      <c r="H72" s="14"/>
      <c r="I72" s="14"/>
      <c r="J72" s="14"/>
      <c r="K72" s="14"/>
      <c r="L72" s="106"/>
      <c r="M72" s="105" t="s">
        <v>4</v>
      </c>
      <c r="N72" s="14">
        <f t="shared" si="46"/>
        <v>3.502514612375089</v>
      </c>
      <c r="O72" s="14">
        <f t="shared" si="45"/>
        <v>-0.16809021277655178</v>
      </c>
      <c r="P72" s="14">
        <f t="shared" si="45"/>
        <v>2.9981638556920855</v>
      </c>
      <c r="Q72" s="14">
        <f t="shared" si="45"/>
        <v>0.45743447564730311</v>
      </c>
      <c r="R72" s="14">
        <f t="shared" si="45"/>
        <v>2.4776537634861127</v>
      </c>
      <c r="S72" s="14">
        <f t="shared" si="45"/>
        <v>0.64927869200379018</v>
      </c>
      <c r="T72" s="14">
        <f t="shared" si="45"/>
        <v>1.7243620509396349</v>
      </c>
      <c r="U72" s="14">
        <f t="shared" si="45"/>
        <v>3.2750912718752518</v>
      </c>
      <c r="V72" s="14">
        <f t="shared" si="45"/>
        <v>1.9103503028842752</v>
      </c>
    </row>
    <row r="73" spans="2:22" x14ac:dyDescent="0.25">
      <c r="B73" s="105" t="s">
        <v>5</v>
      </c>
      <c r="C73" s="14"/>
      <c r="D73" s="14"/>
      <c r="E73" s="14"/>
      <c r="F73" s="218"/>
      <c r="G73" s="14"/>
      <c r="H73" s="14"/>
      <c r="I73" s="14"/>
      <c r="J73" s="14"/>
      <c r="K73" s="14"/>
      <c r="L73" s="106"/>
      <c r="M73" s="105" t="s">
        <v>5</v>
      </c>
      <c r="N73" s="14">
        <f t="shared" si="46"/>
        <v>103.97256102695296</v>
      </c>
      <c r="O73" s="14">
        <f t="shared" si="45"/>
        <v>64.093575287693014</v>
      </c>
      <c r="P73" s="14">
        <f t="shared" si="45"/>
        <v>108.47973776175608</v>
      </c>
      <c r="Q73" s="14">
        <f t="shared" si="45"/>
        <v>92.838566818258556</v>
      </c>
      <c r="R73" s="14">
        <f t="shared" si="45"/>
        <v>107.82811573630022</v>
      </c>
      <c r="S73" s="14">
        <f t="shared" si="45"/>
        <v>59.803140686266872</v>
      </c>
      <c r="T73" s="14">
        <f t="shared" si="45"/>
        <v>99.250775937174438</v>
      </c>
      <c r="U73" s="14">
        <f t="shared" si="45"/>
        <v>131.03557864571476</v>
      </c>
      <c r="V73" s="14">
        <f t="shared" si="45"/>
        <v>77.313145320001027</v>
      </c>
    </row>
    <row r="74" spans="2:22" x14ac:dyDescent="0.25">
      <c r="B74" s="105" t="s">
        <v>6</v>
      </c>
      <c r="C74" s="14"/>
      <c r="D74" s="14"/>
      <c r="E74" s="14"/>
      <c r="F74" s="218"/>
      <c r="G74" s="14"/>
      <c r="H74" s="14"/>
      <c r="I74" s="14"/>
      <c r="J74" s="14"/>
      <c r="K74" s="14"/>
      <c r="L74" s="106"/>
      <c r="M74" s="105" t="s">
        <v>6</v>
      </c>
      <c r="N74" s="14">
        <f t="shared" si="46"/>
        <v>17.520230893648204</v>
      </c>
      <c r="O74" s="14">
        <f t="shared" si="45"/>
        <v>16.824037840124145</v>
      </c>
      <c r="P74" s="14">
        <f t="shared" si="45"/>
        <v>25.321354259396958</v>
      </c>
      <c r="Q74" s="14">
        <f t="shared" si="45"/>
        <v>15.369887542025644</v>
      </c>
      <c r="R74" s="14">
        <f t="shared" si="45"/>
        <v>13.574455320634533</v>
      </c>
      <c r="S74" s="14">
        <f t="shared" si="45"/>
        <v>21.776001224106345</v>
      </c>
      <c r="T74" s="14">
        <f t="shared" si="45"/>
        <v>9.6132768537202793</v>
      </c>
      <c r="U74" s="14">
        <f t="shared" si="45"/>
        <v>16.052819884560293</v>
      </c>
      <c r="V74" s="14">
        <f t="shared" si="45"/>
        <v>27.678981965070257</v>
      </c>
    </row>
    <row r="75" spans="2:22" x14ac:dyDescent="0.25">
      <c r="B75" s="105" t="s">
        <v>7</v>
      </c>
      <c r="C75" s="14">
        <v>1.213992</v>
      </c>
      <c r="D75" s="14">
        <v>1.243743</v>
      </c>
      <c r="E75" s="14">
        <v>0.75284399999999996</v>
      </c>
      <c r="F75" s="218">
        <v>2.8377080000000001</v>
      </c>
      <c r="G75" s="14">
        <v>1.51258</v>
      </c>
      <c r="H75" s="14">
        <v>4.0081540000000002</v>
      </c>
      <c r="I75" s="14">
        <v>3.7128269999999999</v>
      </c>
      <c r="J75" s="14">
        <v>1.9715</v>
      </c>
      <c r="K75" s="14">
        <v>7.1694930000000001</v>
      </c>
      <c r="L75" s="106"/>
      <c r="M75" s="105" t="s">
        <v>7</v>
      </c>
      <c r="N75" s="14">
        <f t="shared" si="46"/>
        <v>4.7724655717562472</v>
      </c>
      <c r="O75" s="14">
        <f t="shared" si="45"/>
        <v>5.0876848147629623</v>
      </c>
      <c r="P75" s="14">
        <f t="shared" si="45"/>
        <v>4.283891547548798</v>
      </c>
      <c r="Q75" s="14">
        <f t="shared" si="45"/>
        <v>4.7460991264401189</v>
      </c>
      <c r="R75" s="14">
        <f t="shared" si="45"/>
        <v>1.789582875061857</v>
      </c>
      <c r="S75" s="14">
        <f t="shared" si="45"/>
        <v>6.0810234745348009</v>
      </c>
      <c r="T75" s="14">
        <f t="shared" si="45"/>
        <v>7.0507282070421029</v>
      </c>
      <c r="U75" s="14">
        <f t="shared" si="45"/>
        <v>3.5101391808328861</v>
      </c>
      <c r="V75" s="14">
        <f t="shared" si="45"/>
        <v>15.342062235864969</v>
      </c>
    </row>
    <row r="76" spans="2:22" x14ac:dyDescent="0.25">
      <c r="B76" s="105" t="s">
        <v>8</v>
      </c>
      <c r="C76" s="14">
        <v>105.5772</v>
      </c>
      <c r="D76" s="14">
        <v>53.665019999999998</v>
      </c>
      <c r="E76" s="14">
        <v>182.6276</v>
      </c>
      <c r="F76" s="218">
        <v>86.587829999999997</v>
      </c>
      <c r="G76" s="14">
        <v>95.201009999999997</v>
      </c>
      <c r="H76" s="14">
        <v>48.607779999999998</v>
      </c>
      <c r="I76" s="14">
        <v>98.755200000000002</v>
      </c>
      <c r="J76" s="14">
        <v>126.6739</v>
      </c>
      <c r="K76" s="14">
        <v>93.738609999999994</v>
      </c>
      <c r="L76" s="106"/>
      <c r="M76" s="105" t="s">
        <v>8</v>
      </c>
      <c r="N76" s="14">
        <f t="shared" si="46"/>
        <v>63.748056605192936</v>
      </c>
      <c r="O76" s="14">
        <f t="shared" si="45"/>
        <v>7.0302742916164718</v>
      </c>
      <c r="P76" s="14">
        <f t="shared" si="45"/>
        <v>151.98058237190162</v>
      </c>
      <c r="Q76" s="14">
        <f t="shared" si="45"/>
        <v>43.735336465137117</v>
      </c>
      <c r="R76" s="14">
        <f t="shared" si="45"/>
        <v>72.409115219445653</v>
      </c>
      <c r="S76" s="14">
        <f t="shared" si="45"/>
        <v>-26.000666800497179</v>
      </c>
      <c r="T76" s="14">
        <f t="shared" si="45"/>
        <v>32.427375080430082</v>
      </c>
      <c r="U76" s="14">
        <f t="shared" si="45"/>
        <v>110.72719866327984</v>
      </c>
      <c r="V76" s="14">
        <f t="shared" si="45"/>
        <v>49.943854410798103</v>
      </c>
    </row>
    <row r="77" spans="2:22" x14ac:dyDescent="0.25">
      <c r="B77" s="105" t="s">
        <v>9</v>
      </c>
      <c r="C77" s="14">
        <v>38.485999999999997</v>
      </c>
      <c r="D77" s="14">
        <v>86.581630000000004</v>
      </c>
      <c r="E77" s="14">
        <v>100.1418</v>
      </c>
      <c r="F77" s="218">
        <v>38.40654</v>
      </c>
      <c r="G77" s="14">
        <v>50.267130000000002</v>
      </c>
      <c r="H77" s="14">
        <v>111.74299999999999</v>
      </c>
      <c r="I77" s="14">
        <v>20.302440000000001</v>
      </c>
      <c r="J77" s="14">
        <v>58.637770000000003</v>
      </c>
      <c r="K77" s="14">
        <v>149.19839999999999</v>
      </c>
      <c r="L77" s="106"/>
      <c r="M77" s="105" t="s">
        <v>9</v>
      </c>
      <c r="N77" s="14">
        <f t="shared" si="46"/>
        <v>-55.02709251153933</v>
      </c>
      <c r="O77" s="14">
        <f t="shared" si="45"/>
        <v>-32.179711829604756</v>
      </c>
      <c r="P77" s="14">
        <f t="shared" si="45"/>
        <v>84.039173641948977</v>
      </c>
      <c r="Q77" s="14">
        <f t="shared" si="45"/>
        <v>-31.863227534312834</v>
      </c>
      <c r="R77" s="14">
        <f t="shared" si="45"/>
        <v>-65.240889805326731</v>
      </c>
      <c r="S77" s="14">
        <f t="shared" si="45"/>
        <v>-49.627233081830269</v>
      </c>
      <c r="T77" s="14">
        <f t="shared" si="45"/>
        <v>-123.68865107030761</v>
      </c>
      <c r="U77" s="14">
        <f t="shared" si="45"/>
        <v>-54.528911982951243</v>
      </c>
      <c r="V77" s="14">
        <f t="shared" si="45"/>
        <v>17.912044872943795</v>
      </c>
    </row>
    <row r="78" spans="2:22" x14ac:dyDescent="0.25">
      <c r="B78" s="105" t="s">
        <v>10</v>
      </c>
      <c r="C78" s="14"/>
      <c r="D78" s="14"/>
      <c r="E78" s="14"/>
      <c r="F78" s="218"/>
      <c r="G78" s="14"/>
      <c r="H78" s="14"/>
      <c r="I78" s="14"/>
      <c r="J78" s="14"/>
      <c r="K78" s="14"/>
      <c r="L78" s="106"/>
      <c r="M78" s="105" t="s">
        <v>10</v>
      </c>
      <c r="N78" s="14">
        <f t="shared" si="46"/>
        <v>23.742632694444477</v>
      </c>
      <c r="O78" s="14">
        <f t="shared" si="45"/>
        <v>41.495772011888072</v>
      </c>
      <c r="P78" s="14">
        <f t="shared" si="45"/>
        <v>26.214891117774812</v>
      </c>
      <c r="Q78" s="14">
        <f t="shared" si="45"/>
        <v>24.613443607903758</v>
      </c>
      <c r="R78" s="14">
        <f t="shared" si="45"/>
        <v>15.372343482549196</v>
      </c>
      <c r="S78" s="14">
        <f t="shared" si="45"/>
        <v>44.942843609111705</v>
      </c>
      <c r="T78" s="14">
        <f t="shared" si="45"/>
        <v>19.922849793244371</v>
      </c>
      <c r="U78" s="14">
        <f t="shared" si="45"/>
        <v>27.835036451662162</v>
      </c>
      <c r="V78" s="14">
        <f t="shared" si="45"/>
        <v>58.968413233176513</v>
      </c>
    </row>
    <row r="79" spans="2:22" x14ac:dyDescent="0.25">
      <c r="B79" s="105" t="s">
        <v>11</v>
      </c>
      <c r="C79" s="14">
        <v>36.38158</v>
      </c>
      <c r="D79" s="14">
        <v>56.544400000000003</v>
      </c>
      <c r="E79" s="14">
        <v>45.785299999999999</v>
      </c>
      <c r="F79" s="218">
        <v>31.115320000000001</v>
      </c>
      <c r="G79" s="14">
        <v>21.936219999999999</v>
      </c>
      <c r="H79" s="14">
        <v>58.46443</v>
      </c>
      <c r="I79" s="14">
        <v>18.84703</v>
      </c>
      <c r="J79" s="14">
        <v>35.102469999999997</v>
      </c>
      <c r="K79" s="14">
        <v>90.95129</v>
      </c>
      <c r="L79" s="106"/>
      <c r="M79" s="105" t="s">
        <v>11</v>
      </c>
      <c r="N79" s="14">
        <f t="shared" si="46"/>
        <v>32.600435576669803</v>
      </c>
      <c r="O79" s="14">
        <f t="shared" si="45"/>
        <v>80.354697901754676</v>
      </c>
      <c r="P79" s="14">
        <f t="shared" si="45"/>
        <v>93.807646099497077</v>
      </c>
      <c r="Q79" s="14">
        <f t="shared" si="45"/>
        <v>19.462607787555747</v>
      </c>
      <c r="R79" s="14">
        <f t="shared" si="45"/>
        <v>39.764138102531732</v>
      </c>
      <c r="S79" s="14">
        <f t="shared" si="45"/>
        <v>109.22962711277546</v>
      </c>
      <c r="T79" s="14">
        <f t="shared" si="45"/>
        <v>17.838949630358506</v>
      </c>
      <c r="U79" s="14">
        <f t="shared" si="45"/>
        <v>57.354060870161746</v>
      </c>
      <c r="V79" s="14">
        <f t="shared" si="45"/>
        <v>152.02851593235428</v>
      </c>
    </row>
    <row r="80" spans="2:22" x14ac:dyDescent="0.25">
      <c r="C80" s="15">
        <f>SUM(C69:C79)</f>
        <v>235.37723199999999</v>
      </c>
      <c r="D80" s="15">
        <f t="shared" ref="D80:J80" si="47">SUM(D69:D79)</f>
        <v>198.40291300000001</v>
      </c>
      <c r="E80" s="15">
        <f t="shared" si="47"/>
        <v>483.45474400000001</v>
      </c>
      <c r="F80" s="15">
        <f t="shared" si="47"/>
        <v>201.600168</v>
      </c>
      <c r="G80" s="15">
        <f t="shared" si="47"/>
        <v>243.43777</v>
      </c>
      <c r="H80" s="15">
        <f t="shared" si="47"/>
        <v>222.82336399999997</v>
      </c>
      <c r="I80" s="15">
        <f t="shared" si="47"/>
        <v>185.43450699999997</v>
      </c>
      <c r="J80" s="15">
        <f t="shared" si="47"/>
        <v>317.20117999999997</v>
      </c>
      <c r="K80" s="15">
        <f>SUM(K69:K79)</f>
        <v>373.95890299999996</v>
      </c>
      <c r="T80" s="219"/>
    </row>
    <row r="81" spans="2:20" s="2" customFormat="1" x14ac:dyDescent="0.25">
      <c r="B81" s="106"/>
      <c r="C81" s="15"/>
      <c r="D81" s="15"/>
      <c r="E81" s="15"/>
      <c r="F81" s="15"/>
      <c r="G81" s="15"/>
      <c r="H81" s="15"/>
      <c r="I81" s="15"/>
      <c r="J81" s="15"/>
      <c r="K81" s="15"/>
      <c r="M81" s="106"/>
      <c r="T81" s="219"/>
    </row>
    <row r="82" spans="2:20" s="2" customFormat="1" x14ac:dyDescent="0.25">
      <c r="B82" s="106"/>
      <c r="C82" s="15"/>
      <c r="D82" s="15"/>
      <c r="E82" s="15"/>
      <c r="F82" s="15"/>
      <c r="G82" s="15"/>
      <c r="H82" s="15"/>
      <c r="I82" s="15"/>
      <c r="J82" s="15"/>
      <c r="K82" s="15"/>
      <c r="M82" s="106"/>
      <c r="T82" s="219"/>
    </row>
  </sheetData>
  <mergeCells count="11">
    <mergeCell ref="B67:K67"/>
    <mergeCell ref="M67:V67"/>
    <mergeCell ref="Q50:U50"/>
    <mergeCell ref="Y2:AF2"/>
    <mergeCell ref="M2:X2"/>
    <mergeCell ref="M17:X17"/>
    <mergeCell ref="M34:X34"/>
    <mergeCell ref="B2:K2"/>
    <mergeCell ref="B17:K17"/>
    <mergeCell ref="B34:K34"/>
    <mergeCell ref="B50:N50"/>
  </mergeCells>
  <pageMargins left="0.7" right="0.7" top="0.75" bottom="0.75" header="0.3" footer="0.3"/>
  <pageSetup paperSize="9" orientation="portrait" r:id="rId1"/>
  <ignoredErrors>
    <ignoredError sqref="N63"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
  <sheetViews>
    <sheetView zoomScale="76" zoomScaleNormal="50" workbookViewId="0">
      <selection activeCell="C4" sqref="C4:C14"/>
    </sheetView>
  </sheetViews>
  <sheetFormatPr defaultRowHeight="13.2" x14ac:dyDescent="0.25"/>
  <cols>
    <col min="2" max="2" width="11.88671875" customWidth="1"/>
    <col min="3" max="3" width="11.109375" style="2" customWidth="1"/>
    <col min="4" max="4" width="11.21875" style="2" customWidth="1"/>
    <col min="5" max="5" width="10.77734375" style="2" customWidth="1"/>
    <col min="6" max="6" width="11" customWidth="1"/>
    <col min="7" max="7" width="10.77734375" style="2" customWidth="1"/>
    <col min="8" max="8" width="14.44140625" style="2" customWidth="1"/>
    <col min="9" max="9" width="12.33203125" style="2" customWidth="1"/>
    <col min="10" max="10" width="13.109375" style="2" customWidth="1"/>
    <col min="11" max="11" width="13.21875" style="2" customWidth="1"/>
    <col min="12" max="12" width="10.88671875" style="2" customWidth="1"/>
    <col min="13" max="13" width="12.109375" bestFit="1" customWidth="1"/>
    <col min="14" max="14" width="20.6640625" style="2" bestFit="1" customWidth="1"/>
    <col min="15" max="15" width="14.5546875" bestFit="1" customWidth="1"/>
    <col min="16" max="16" width="20.6640625" style="2" bestFit="1" customWidth="1"/>
    <col min="17" max="17" width="16.6640625" bestFit="1" customWidth="1"/>
    <col min="18" max="18" width="16.6640625" style="2" customWidth="1"/>
    <col min="19" max="19" width="18.88671875" bestFit="1" customWidth="1"/>
    <col min="20" max="20" width="22.44140625" bestFit="1" customWidth="1"/>
    <col min="21" max="21" width="18.88671875" style="2" customWidth="1"/>
    <col min="22" max="22" width="16.44140625" customWidth="1"/>
    <col min="23" max="23" width="17.44140625" bestFit="1" customWidth="1"/>
    <col min="24" max="24" width="14.44140625" bestFit="1" customWidth="1"/>
    <col min="25" max="25" width="25.5546875" customWidth="1"/>
  </cols>
  <sheetData>
    <row r="1" spans="2:26" ht="13.8" thickBot="1" x14ac:dyDescent="0.3">
      <c r="B1" s="23"/>
      <c r="C1" s="23"/>
      <c r="D1" s="23"/>
      <c r="E1" s="23"/>
      <c r="F1" s="23"/>
      <c r="G1" s="23"/>
      <c r="H1" s="23"/>
      <c r="I1" s="23"/>
      <c r="J1" s="23"/>
      <c r="K1" s="23"/>
      <c r="L1" s="23"/>
    </row>
    <row r="2" spans="2:26" ht="13.8" thickBot="1" x14ac:dyDescent="0.3">
      <c r="B2" s="203" t="s">
        <v>53</v>
      </c>
      <c r="C2" s="203"/>
      <c r="D2" s="203"/>
      <c r="E2" s="203"/>
      <c r="F2" s="203"/>
      <c r="G2" s="203"/>
      <c r="H2" s="203"/>
      <c r="I2" s="203"/>
      <c r="J2" s="203"/>
      <c r="K2" s="203"/>
      <c r="L2" s="203"/>
      <c r="M2" s="5"/>
      <c r="N2" s="67"/>
      <c r="O2" s="67"/>
      <c r="P2" s="67"/>
      <c r="Q2" s="67"/>
      <c r="R2" s="67"/>
      <c r="S2" s="67"/>
      <c r="T2" s="5"/>
      <c r="U2" s="5"/>
      <c r="V2" s="5"/>
      <c r="W2" s="5"/>
    </row>
    <row r="3" spans="2:26" s="8" customFormat="1" ht="51.6" customHeight="1" thickBot="1" x14ac:dyDescent="0.3">
      <c r="B3" s="83" t="s">
        <v>61</v>
      </c>
      <c r="C3" s="83" t="s">
        <v>60</v>
      </c>
      <c r="D3" s="83" t="s">
        <v>89</v>
      </c>
      <c r="E3" s="83" t="s">
        <v>63</v>
      </c>
      <c r="F3" s="83" t="s">
        <v>64</v>
      </c>
      <c r="G3" s="83" t="s">
        <v>216</v>
      </c>
      <c r="H3" s="82" t="s">
        <v>47</v>
      </c>
      <c r="I3" s="82" t="s">
        <v>56</v>
      </c>
      <c r="J3" s="82" t="s">
        <v>57</v>
      </c>
      <c r="K3" s="83" t="s">
        <v>58</v>
      </c>
      <c r="L3" s="83" t="s">
        <v>59</v>
      </c>
      <c r="M3" s="70"/>
      <c r="N3" s="2" t="s">
        <v>50</v>
      </c>
      <c r="O3" s="3">
        <v>18.5</v>
      </c>
      <c r="P3" s="2" t="s">
        <v>54</v>
      </c>
      <c r="Q3" s="108"/>
      <c r="R3" s="70"/>
      <c r="S3" s="108"/>
      <c r="T3" s="70"/>
      <c r="U3" s="70"/>
      <c r="V3" s="70"/>
      <c r="W3" s="70"/>
      <c r="X3" s="70"/>
      <c r="Y3" s="108"/>
      <c r="Z3" s="108"/>
    </row>
    <row r="4" spans="2:26" x14ac:dyDescent="0.25">
      <c r="B4" s="84" t="s">
        <v>1</v>
      </c>
      <c r="C4" s="85">
        <v>13199.085501550475</v>
      </c>
      <c r="D4" s="86">
        <v>7498.2226388555227</v>
      </c>
      <c r="E4" s="86">
        <v>7480.8958351792899</v>
      </c>
      <c r="F4" s="86">
        <v>17.326803676232597</v>
      </c>
      <c r="G4" s="85">
        <v>6.169632</v>
      </c>
      <c r="H4" s="80">
        <v>19.811006136278799</v>
      </c>
      <c r="I4" s="80">
        <v>12.678271607557253</v>
      </c>
      <c r="J4" s="195">
        <v>7.1530660073489152</v>
      </c>
      <c r="K4" s="195">
        <v>0</v>
      </c>
      <c r="L4" s="198">
        <f t="shared" ref="L4:L14" si="0">K4+J4</f>
        <v>7.1530660073489152</v>
      </c>
      <c r="M4" s="15"/>
      <c r="N4" s="3" t="s">
        <v>69</v>
      </c>
      <c r="O4" s="3">
        <f>O3*1000000</f>
        <v>18500000</v>
      </c>
      <c r="P4" s="3" t="s">
        <v>67</v>
      </c>
      <c r="Q4" s="5"/>
      <c r="R4" s="195">
        <v>136</v>
      </c>
      <c r="S4" s="5"/>
      <c r="T4" s="71"/>
      <c r="U4" s="71"/>
      <c r="V4" s="71"/>
      <c r="W4" s="72"/>
      <c r="X4" s="73"/>
      <c r="Y4" s="5"/>
      <c r="Z4" s="5"/>
    </row>
    <row r="5" spans="2:26" x14ac:dyDescent="0.25">
      <c r="B5" s="84" t="s">
        <v>2</v>
      </c>
      <c r="C5" s="85">
        <v>20450.034940117202</v>
      </c>
      <c r="D5" s="86">
        <v>4549.0211045835576</v>
      </c>
      <c r="E5" s="86">
        <v>4095.8505435363099</v>
      </c>
      <c r="F5" s="86">
        <v>453.17056104724901</v>
      </c>
      <c r="G5" s="85">
        <v>3.8753060000000001</v>
      </c>
      <c r="H5" s="80">
        <v>27</v>
      </c>
      <c r="I5" s="80">
        <v>26.084130370190923</v>
      </c>
      <c r="J5" s="195">
        <v>1.3224981196287995</v>
      </c>
      <c r="K5" s="195">
        <v>0</v>
      </c>
      <c r="L5" s="198">
        <f t="shared" si="0"/>
        <v>1.3224981196287995</v>
      </c>
      <c r="M5" s="15"/>
      <c r="N5" s="3" t="s">
        <v>69</v>
      </c>
      <c r="O5" s="74">
        <f>O4/$O$11</f>
        <v>1.8499999999999999E-2</v>
      </c>
      <c r="P5" s="3" t="s">
        <v>68</v>
      </c>
      <c r="Q5" s="2"/>
      <c r="R5" s="197">
        <f>J4+J5+J7+J8+J9+J10+J13+J14</f>
        <v>243.59625011632903</v>
      </c>
      <c r="S5" s="5"/>
      <c r="T5" s="71"/>
      <c r="U5" s="71"/>
      <c r="V5" s="71"/>
      <c r="W5" s="72"/>
      <c r="X5" s="73"/>
      <c r="Y5" s="5"/>
      <c r="Z5" s="5"/>
    </row>
    <row r="6" spans="2:26" x14ac:dyDescent="0.25">
      <c r="B6" s="84" t="s">
        <v>3</v>
      </c>
      <c r="C6" s="85">
        <v>251430.37783690859</v>
      </c>
      <c r="D6" s="86">
        <v>33738.127951375733</v>
      </c>
      <c r="E6" s="86">
        <v>36.2275463161657</v>
      </c>
      <c r="F6" s="86">
        <v>32732.968091907202</v>
      </c>
      <c r="G6" s="85">
        <v>83.946549000000005</v>
      </c>
      <c r="H6" s="80">
        <v>4.4920799454717004</v>
      </c>
      <c r="I6" s="80">
        <v>68.224789784349042</v>
      </c>
      <c r="J6" s="195">
        <v>0</v>
      </c>
      <c r="K6" s="195">
        <v>56.5</v>
      </c>
      <c r="L6" s="198">
        <f t="shared" si="0"/>
        <v>56.5</v>
      </c>
      <c r="M6" s="15"/>
      <c r="N6" s="3"/>
      <c r="O6" s="74"/>
      <c r="P6" s="3"/>
      <c r="S6" s="5"/>
      <c r="T6" s="71"/>
      <c r="U6" s="71"/>
      <c r="V6" s="71"/>
      <c r="W6" s="72"/>
      <c r="X6" s="73"/>
      <c r="Y6" s="5"/>
      <c r="Z6" s="5"/>
    </row>
    <row r="7" spans="2:26" x14ac:dyDescent="0.25">
      <c r="B7" s="84" t="s">
        <v>4</v>
      </c>
      <c r="C7" s="85">
        <v>24496.645034227455</v>
      </c>
      <c r="D7" s="86">
        <v>4739.5256339269945</v>
      </c>
      <c r="E7" s="86">
        <v>4571.8337917332701</v>
      </c>
      <c r="F7" s="86">
        <v>167.66828675695399</v>
      </c>
      <c r="G7" s="85">
        <v>1.2901100000000001</v>
      </c>
      <c r="H7" s="80">
        <v>14.349918475935281</v>
      </c>
      <c r="I7" s="80">
        <v>12.495254145281351</v>
      </c>
      <c r="J7" s="195">
        <v>1.9103503028842752</v>
      </c>
      <c r="K7" s="195">
        <v>0</v>
      </c>
      <c r="L7" s="198">
        <f t="shared" si="0"/>
        <v>1.9103503028842752</v>
      </c>
      <c r="M7" s="15"/>
      <c r="N7" t="s">
        <v>51</v>
      </c>
      <c r="O7" s="17">
        <v>10</v>
      </c>
      <c r="P7" s="3" t="s">
        <v>65</v>
      </c>
      <c r="S7" s="5"/>
      <c r="T7" s="71"/>
      <c r="U7" s="71"/>
      <c r="V7" s="71"/>
      <c r="W7" s="72"/>
      <c r="X7" s="73"/>
      <c r="Y7" s="5"/>
      <c r="Z7" s="5"/>
    </row>
    <row r="8" spans="2:26" x14ac:dyDescent="0.25">
      <c r="B8" s="84" t="s">
        <v>5</v>
      </c>
      <c r="C8" s="85">
        <v>363314.38569269452</v>
      </c>
      <c r="D8" s="86">
        <v>149774.72401466093</v>
      </c>
      <c r="E8" s="86">
        <v>148845.87450464899</v>
      </c>
      <c r="F8" s="86">
        <v>928.38682241953302</v>
      </c>
      <c r="G8" s="85">
        <v>39.232453</v>
      </c>
      <c r="H8" s="80">
        <v>448.50336533961865</v>
      </c>
      <c r="I8" s="80">
        <v>371.80449767139828</v>
      </c>
      <c r="J8" s="195">
        <v>77.313145320001027</v>
      </c>
      <c r="K8" s="195">
        <v>0</v>
      </c>
      <c r="L8" s="198">
        <f t="shared" si="0"/>
        <v>77.313145320001027</v>
      </c>
      <c r="M8" s="15"/>
      <c r="N8" s="3" t="s">
        <v>66</v>
      </c>
      <c r="O8" s="2">
        <v>10000000</v>
      </c>
      <c r="P8" s="3" t="s">
        <v>67</v>
      </c>
      <c r="Q8" s="2"/>
      <c r="S8" s="5"/>
      <c r="T8" s="71"/>
      <c r="U8" s="71"/>
      <c r="V8" s="71"/>
      <c r="W8" s="72"/>
      <c r="X8" s="66"/>
      <c r="Y8" s="5"/>
      <c r="Z8" s="5"/>
    </row>
    <row r="9" spans="2:26" x14ac:dyDescent="0.25">
      <c r="B9" s="84" t="s">
        <v>6</v>
      </c>
      <c r="C9" s="85">
        <v>49475.746319971244</v>
      </c>
      <c r="D9" s="86">
        <v>34543.134541376516</v>
      </c>
      <c r="E9" s="86">
        <v>34381.756113589799</v>
      </c>
      <c r="F9" s="86">
        <v>161.37842778671799</v>
      </c>
      <c r="G9" s="85">
        <v>19.742709999999999</v>
      </c>
      <c r="H9" s="80">
        <v>83.428364274259323</v>
      </c>
      <c r="I9" s="80">
        <v>57.060380284925856</v>
      </c>
      <c r="J9" s="195">
        <v>27.678981965070257</v>
      </c>
      <c r="K9" s="195">
        <v>0</v>
      </c>
      <c r="L9" s="198">
        <f t="shared" si="0"/>
        <v>27.678981965070257</v>
      </c>
      <c r="M9" s="15"/>
      <c r="N9" s="3" t="s">
        <v>66</v>
      </c>
      <c r="O9" s="75">
        <f>O8/$O$11</f>
        <v>0.01</v>
      </c>
      <c r="P9" s="3" t="s">
        <v>68</v>
      </c>
      <c r="Q9" s="2"/>
      <c r="R9"/>
      <c r="S9" s="5"/>
      <c r="T9" s="71"/>
      <c r="U9" s="71"/>
      <c r="V9" s="71"/>
      <c r="W9" s="72"/>
      <c r="X9" s="73"/>
      <c r="Y9" s="5"/>
      <c r="Z9" s="5"/>
    </row>
    <row r="10" spans="2:26" x14ac:dyDescent="0.25">
      <c r="B10" s="84" t="s">
        <v>7</v>
      </c>
      <c r="C10" s="85">
        <v>20836.189535136225</v>
      </c>
      <c r="D10" s="86">
        <v>12709.055149886017</v>
      </c>
      <c r="E10" s="86">
        <v>12592.695935711299</v>
      </c>
      <c r="F10" s="86">
        <v>116.35921417471801</v>
      </c>
      <c r="G10" s="85">
        <v>11.426439</v>
      </c>
      <c r="H10" s="80">
        <v>27.762864026902566</v>
      </c>
      <c r="I10" s="80">
        <v>19.681066838943018</v>
      </c>
      <c r="J10" s="195">
        <v>8.1725692358649695</v>
      </c>
      <c r="K10" s="195">
        <v>3.8</v>
      </c>
      <c r="L10" s="198">
        <f t="shared" si="0"/>
        <v>11.97256923586497</v>
      </c>
      <c r="M10" s="15"/>
      <c r="Q10" s="2"/>
      <c r="R10"/>
      <c r="S10" s="5"/>
      <c r="T10" s="71"/>
      <c r="U10" s="71"/>
      <c r="V10" s="71"/>
      <c r="W10" s="72"/>
      <c r="X10" s="73"/>
      <c r="Y10" s="5"/>
      <c r="Z10" s="5"/>
    </row>
    <row r="11" spans="2:26" x14ac:dyDescent="0.25">
      <c r="B11" s="84" t="s">
        <v>8</v>
      </c>
      <c r="C11" s="85">
        <v>1339764.2833351614</v>
      </c>
      <c r="D11" s="86">
        <v>179268.67227891536</v>
      </c>
      <c r="E11" s="86">
        <v>148932.274304138</v>
      </c>
      <c r="F11" s="86">
        <v>29965.5849251578</v>
      </c>
      <c r="G11" s="85">
        <v>36.982824999999998</v>
      </c>
      <c r="H11" s="80">
        <v>416.80308732067164</v>
      </c>
      <c r="I11" s="80">
        <v>477.69664528568518</v>
      </c>
      <c r="J11" s="195">
        <v>0</v>
      </c>
      <c r="K11" s="195">
        <v>33.799999999999997</v>
      </c>
      <c r="L11" s="198">
        <f t="shared" si="0"/>
        <v>33.799999999999997</v>
      </c>
      <c r="M11" s="15"/>
      <c r="N11" s="66" t="s">
        <v>55</v>
      </c>
      <c r="O11" s="71">
        <v>1000000000</v>
      </c>
      <c r="Q11" s="2"/>
      <c r="R11"/>
      <c r="S11" s="5"/>
      <c r="T11" s="71"/>
      <c r="U11" s="71"/>
      <c r="V11" s="71"/>
      <c r="W11" s="72"/>
      <c r="X11" s="73"/>
      <c r="Y11" s="5"/>
      <c r="Z11" s="5"/>
    </row>
    <row r="12" spans="2:26" x14ac:dyDescent="0.25">
      <c r="B12" s="84" t="s">
        <v>9</v>
      </c>
      <c r="C12" s="85">
        <v>617141.72101696266</v>
      </c>
      <c r="D12" s="86">
        <v>8412.6065227973904</v>
      </c>
      <c r="E12" s="86">
        <v>7365.75573141738</v>
      </c>
      <c r="F12" s="86">
        <v>1046.8507913800099</v>
      </c>
      <c r="G12" s="85">
        <v>10.905776556851148</v>
      </c>
      <c r="H12" s="80">
        <v>647.46120330334657</v>
      </c>
      <c r="I12" s="80">
        <v>779.51516859702542</v>
      </c>
      <c r="J12" s="195">
        <v>0</v>
      </c>
      <c r="K12" s="195">
        <v>23.5</v>
      </c>
      <c r="L12" s="198">
        <f t="shared" si="0"/>
        <v>23.5</v>
      </c>
      <c r="M12" s="15"/>
      <c r="N12" s="66" t="s">
        <v>62</v>
      </c>
      <c r="O12" s="71">
        <v>1000000</v>
      </c>
      <c r="Q12" s="2"/>
      <c r="R12"/>
      <c r="S12" s="5"/>
      <c r="T12" s="71"/>
      <c r="U12" s="71"/>
      <c r="V12" s="71"/>
      <c r="W12" s="72"/>
      <c r="X12" s="73"/>
      <c r="Y12" s="5"/>
      <c r="Z12" s="5"/>
    </row>
    <row r="13" spans="2:26" x14ac:dyDescent="0.25">
      <c r="B13" s="84" t="s">
        <v>10</v>
      </c>
      <c r="C13" s="85">
        <v>119784.51078433092</v>
      </c>
      <c r="D13" s="86">
        <v>43226.930239887697</v>
      </c>
      <c r="E13" s="86">
        <v>42937.449618125</v>
      </c>
      <c r="F13" s="86">
        <v>289.48062176270099</v>
      </c>
      <c r="G13" s="85">
        <v>11.996235</v>
      </c>
      <c r="H13" s="80">
        <v>162.7577156565315</v>
      </c>
      <c r="I13" s="80">
        <v>115.09356267302397</v>
      </c>
      <c r="J13" s="195">
        <v>58.968413233176513</v>
      </c>
      <c r="K13" s="195">
        <v>0</v>
      </c>
      <c r="L13" s="198">
        <f t="shared" si="0"/>
        <v>58.968413233176513</v>
      </c>
      <c r="M13" s="15"/>
      <c r="N13" s="128" t="s">
        <v>144</v>
      </c>
      <c r="O13" s="2">
        <v>11</v>
      </c>
      <c r="Q13" s="2"/>
      <c r="R13"/>
      <c r="S13" s="5"/>
      <c r="T13" s="71"/>
      <c r="U13" s="71"/>
      <c r="V13" s="71"/>
      <c r="W13" s="72"/>
      <c r="X13" s="73"/>
      <c r="Y13" s="5"/>
      <c r="Z13" s="5"/>
    </row>
    <row r="14" spans="2:26" ht="13.8" thickBot="1" x14ac:dyDescent="0.3">
      <c r="B14" s="88" t="s">
        <v>11</v>
      </c>
      <c r="C14" s="89">
        <v>237021.44592026682</v>
      </c>
      <c r="D14" s="89">
        <v>69411.089457609574</v>
      </c>
      <c r="E14" s="89">
        <v>67656.990471432495</v>
      </c>
      <c r="F14" s="89">
        <v>1753.8306754422299</v>
      </c>
      <c r="G14" s="89">
        <v>41.918567000000003</v>
      </c>
      <c r="H14" s="81">
        <v>330.96219581347026</v>
      </c>
      <c r="I14" s="81">
        <v>275.60885090207972</v>
      </c>
      <c r="J14" s="196">
        <v>61.077225932354281</v>
      </c>
      <c r="K14" s="196">
        <v>21.1</v>
      </c>
      <c r="L14" s="199">
        <f t="shared" si="0"/>
        <v>82.177225932354276</v>
      </c>
      <c r="M14" s="71"/>
      <c r="N14" s="71"/>
      <c r="O14" s="71"/>
      <c r="P14" s="71"/>
      <c r="Q14" s="5"/>
      <c r="R14" s="71"/>
      <c r="S14" s="5"/>
      <c r="T14" s="71"/>
      <c r="U14" s="71"/>
      <c r="V14" s="71"/>
      <c r="W14" s="72"/>
      <c r="X14" s="73"/>
      <c r="Y14" s="5"/>
      <c r="Z14" s="5"/>
    </row>
    <row r="15" spans="2:26" ht="13.8" thickBot="1" x14ac:dyDescent="0.3">
      <c r="B15" s="88" t="s">
        <v>12</v>
      </c>
      <c r="C15" s="89">
        <f>SUM(C4:C14)</f>
        <v>3056914.4259173274</v>
      </c>
      <c r="D15" s="89">
        <f t="shared" ref="D15:L15" si="1">SUM(D4:D14)</f>
        <v>547871.10953387525</v>
      </c>
      <c r="E15" s="89">
        <f t="shared" si="1"/>
        <v>478897.60439582798</v>
      </c>
      <c r="F15" s="89">
        <f t="shared" si="1"/>
        <v>67633.005221511354</v>
      </c>
      <c r="G15" s="89">
        <f t="shared" si="1"/>
        <v>267.48660255685115</v>
      </c>
      <c r="H15" s="89">
        <f t="shared" si="1"/>
        <v>2183.3318002924862</v>
      </c>
      <c r="I15" s="89">
        <f t="shared" si="1"/>
        <v>2215.9426181604604</v>
      </c>
      <c r="J15" s="89">
        <f t="shared" si="1"/>
        <v>243.59625011632903</v>
      </c>
      <c r="K15" s="89">
        <f t="shared" si="1"/>
        <v>138.69999999999999</v>
      </c>
      <c r="L15" s="199">
        <f t="shared" si="1"/>
        <v>382.29625011632902</v>
      </c>
      <c r="M15" s="71"/>
      <c r="N15" s="71"/>
      <c r="O15" s="71"/>
      <c r="P15" s="5"/>
      <c r="Q15" s="71"/>
      <c r="U15" s="71"/>
      <c r="V15" s="5"/>
      <c r="W15" s="5"/>
    </row>
    <row r="16" spans="2:26" s="2" customFormat="1" x14ac:dyDescent="0.25">
      <c r="B16" s="67"/>
      <c r="C16" s="71"/>
      <c r="D16" s="67"/>
      <c r="E16" s="71"/>
      <c r="F16" s="71"/>
      <c r="G16" s="71"/>
      <c r="H16" s="71"/>
      <c r="I16" s="71"/>
      <c r="J16" s="71"/>
      <c r="K16" s="71"/>
      <c r="L16" s="71"/>
      <c r="M16" s="71"/>
      <c r="N16" s="71"/>
      <c r="O16" s="71"/>
      <c r="P16" s="5"/>
      <c r="Q16" s="71"/>
      <c r="U16" s="71"/>
      <c r="V16" s="5"/>
      <c r="W16" s="5"/>
    </row>
    <row r="17" spans="2:26" ht="13.8" thickBot="1" x14ac:dyDescent="0.3">
      <c r="B17" s="23"/>
      <c r="C17" s="23"/>
      <c r="D17" s="23"/>
      <c r="E17" s="23"/>
      <c r="F17" s="23"/>
      <c r="G17" s="23"/>
      <c r="H17" s="23"/>
      <c r="I17" s="23"/>
      <c r="J17" s="4"/>
      <c r="K17" s="4"/>
      <c r="L17" s="4"/>
      <c r="M17" s="5"/>
      <c r="N17" s="5"/>
      <c r="O17" s="5"/>
      <c r="P17" s="5"/>
      <c r="Q17" s="5"/>
      <c r="R17" s="204" t="s">
        <v>143</v>
      </c>
      <c r="S17" s="204"/>
      <c r="T17" s="204"/>
      <c r="U17" s="204"/>
      <c r="V17" s="204"/>
      <c r="X17" s="205" t="s">
        <v>142</v>
      </c>
      <c r="Y17" s="205"/>
      <c r="Z17" s="5"/>
    </row>
    <row r="18" spans="2:26" ht="13.8" thickBot="1" x14ac:dyDescent="0.3">
      <c r="B18" s="206" t="s">
        <v>90</v>
      </c>
      <c r="C18" s="206"/>
      <c r="D18" s="206"/>
      <c r="E18" s="206"/>
      <c r="F18" s="206"/>
      <c r="G18" s="206"/>
      <c r="H18" s="206"/>
      <c r="I18" s="206"/>
      <c r="J18" s="48"/>
      <c r="K18" s="206" t="s">
        <v>73</v>
      </c>
      <c r="L18" s="206"/>
      <c r="M18" s="206"/>
      <c r="N18" s="206"/>
      <c r="O18" s="206"/>
      <c r="P18" s="206"/>
      <c r="Q18" s="5"/>
      <c r="R18" s="207" t="s">
        <v>121</v>
      </c>
      <c r="S18" s="207"/>
      <c r="T18" s="207"/>
      <c r="U18" s="207"/>
      <c r="V18" s="207"/>
      <c r="X18" s="208" t="s">
        <v>146</v>
      </c>
      <c r="Y18" s="208"/>
      <c r="Z18" s="5"/>
    </row>
    <row r="19" spans="2:26" s="16" customFormat="1" ht="40.200000000000003" thickBot="1" x14ac:dyDescent="0.3">
      <c r="B19" s="83" t="s">
        <v>61</v>
      </c>
      <c r="C19" s="83" t="s">
        <v>78</v>
      </c>
      <c r="D19" s="83" t="s">
        <v>70</v>
      </c>
      <c r="E19" s="83" t="s">
        <v>71</v>
      </c>
      <c r="F19" s="83" t="s">
        <v>74</v>
      </c>
      <c r="G19" s="83" t="s">
        <v>75</v>
      </c>
      <c r="H19" s="83" t="s">
        <v>77</v>
      </c>
      <c r="I19" s="83" t="s">
        <v>76</v>
      </c>
      <c r="J19" s="110"/>
      <c r="K19" s="109" t="s">
        <v>61</v>
      </c>
      <c r="L19" s="109" t="s">
        <v>72</v>
      </c>
      <c r="M19" s="109" t="s">
        <v>79</v>
      </c>
      <c r="N19" s="109" t="s">
        <v>80</v>
      </c>
      <c r="O19" s="109" t="s">
        <v>81</v>
      </c>
      <c r="P19" s="109" t="s">
        <v>82</v>
      </c>
      <c r="R19" s="83" t="s">
        <v>61</v>
      </c>
      <c r="S19" s="109" t="s">
        <v>125</v>
      </c>
      <c r="T19" s="109" t="s">
        <v>126</v>
      </c>
      <c r="U19" s="120" t="s">
        <v>123</v>
      </c>
      <c r="V19" s="120" t="s">
        <v>124</v>
      </c>
      <c r="X19" s="83" t="s">
        <v>61</v>
      </c>
      <c r="Y19" s="83" t="s">
        <v>145</v>
      </c>
      <c r="Z19" s="110"/>
    </row>
    <row r="20" spans="2:26" x14ac:dyDescent="0.25">
      <c r="B20" s="84" t="s">
        <v>1</v>
      </c>
      <c r="C20" s="87">
        <f t="shared" ref="C20:E30" si="2">D4*$O$9</f>
        <v>74.982226388555233</v>
      </c>
      <c r="D20" s="90">
        <f t="shared" si="2"/>
        <v>74.808958351792896</v>
      </c>
      <c r="E20" s="90">
        <f t="shared" si="2"/>
        <v>0.17326803676232597</v>
      </c>
      <c r="F20" s="87">
        <f t="shared" ref="F20:F30" si="3">D20-H4</f>
        <v>54.997952215514097</v>
      </c>
      <c r="G20" s="87">
        <f t="shared" ref="G20:G30" si="4">E20-H4</f>
        <v>-19.637738099516472</v>
      </c>
      <c r="H20" s="87">
        <f>E20-J4</f>
        <v>-6.9797979705865894</v>
      </c>
      <c r="I20" s="87">
        <f>E20-L4</f>
        <v>-6.9797979705865894</v>
      </c>
      <c r="J20"/>
      <c r="K20" s="84" t="s">
        <v>1</v>
      </c>
      <c r="L20" s="90">
        <f t="shared" ref="L20:L30" si="5">G4*$O$5</f>
        <v>0.114138192</v>
      </c>
      <c r="M20" s="93">
        <f t="shared" ref="M20:M30" si="6">L20-H4</f>
        <v>-19.6968679442788</v>
      </c>
      <c r="N20" s="93">
        <f t="shared" ref="N20:N30" si="7">L20-I4</f>
        <v>-12.564133415557253</v>
      </c>
      <c r="O20" s="93">
        <f t="shared" ref="O20:O30" si="8">L20-J4</f>
        <v>-7.0389278153489148</v>
      </c>
      <c r="P20" s="93">
        <f t="shared" ref="P20:P30" si="9">L20-L4</f>
        <v>-7.0389278153489148</v>
      </c>
      <c r="R20" s="84" t="s">
        <v>1</v>
      </c>
      <c r="S20" s="114">
        <f t="shared" ref="S20:S30" si="10">($L$15/$G$15)*G4</f>
        <v>8.8177394892008039</v>
      </c>
      <c r="T20" s="114">
        <f t="shared" ref="T20:T30" si="11">($L$15/$D$15)*D4</f>
        <v>5.2321473928615525</v>
      </c>
      <c r="U20" s="119">
        <f>L20-S20</f>
        <v>-8.7036012972008034</v>
      </c>
      <c r="V20" s="119">
        <f>E20-T20</f>
        <v>-5.0588793560992267</v>
      </c>
      <c r="X20" s="84" t="s">
        <v>1</v>
      </c>
      <c r="Y20" s="129">
        <v>34.754204556029912</v>
      </c>
    </row>
    <row r="21" spans="2:26" x14ac:dyDescent="0.25">
      <c r="B21" s="84" t="s">
        <v>2</v>
      </c>
      <c r="C21" s="87">
        <f t="shared" si="2"/>
        <v>45.490211045835579</v>
      </c>
      <c r="D21" s="90">
        <f t="shared" si="2"/>
        <v>40.958505435363101</v>
      </c>
      <c r="E21" s="90">
        <f t="shared" si="2"/>
        <v>4.53170561047249</v>
      </c>
      <c r="F21" s="87">
        <f t="shared" si="3"/>
        <v>13.958505435363101</v>
      </c>
      <c r="G21" s="87">
        <f t="shared" si="4"/>
        <v>-22.468294389527511</v>
      </c>
      <c r="H21" s="87">
        <f t="shared" ref="H21:H30" si="12">E21-J5</f>
        <v>3.2092074908436903</v>
      </c>
      <c r="I21" s="87">
        <f t="shared" ref="I21:I30" si="13">E21-L5</f>
        <v>3.2092074908436903</v>
      </c>
      <c r="J21"/>
      <c r="K21" s="84" t="s">
        <v>2</v>
      </c>
      <c r="L21" s="90">
        <f t="shared" si="5"/>
        <v>7.1693161000000005E-2</v>
      </c>
      <c r="M21" s="93">
        <f t="shared" si="6"/>
        <v>-26.928306839000001</v>
      </c>
      <c r="N21" s="93">
        <f t="shared" si="7"/>
        <v>-26.012437209190924</v>
      </c>
      <c r="O21" s="93">
        <f t="shared" si="8"/>
        <v>-1.2508049586287995</v>
      </c>
      <c r="P21" s="93">
        <f t="shared" si="9"/>
        <v>-1.2508049586287995</v>
      </c>
      <c r="R21" s="84" t="s">
        <v>2</v>
      </c>
      <c r="S21" s="114">
        <f t="shared" si="10"/>
        <v>5.538651049031257</v>
      </c>
      <c r="T21" s="114">
        <f t="shared" si="11"/>
        <v>3.1742387574733155</v>
      </c>
      <c r="U21" s="119">
        <f t="shared" ref="U21:U31" si="14">L21-S21</f>
        <v>-5.4669578880312573</v>
      </c>
      <c r="V21" s="119">
        <f t="shared" ref="V21:V31" si="15">E21-T21</f>
        <v>1.3574668529991745</v>
      </c>
      <c r="X21" s="84" t="s">
        <v>2</v>
      </c>
      <c r="Y21" s="129">
        <v>34.754204556029912</v>
      </c>
    </row>
    <row r="22" spans="2:26" x14ac:dyDescent="0.25">
      <c r="B22" s="84" t="s">
        <v>3</v>
      </c>
      <c r="C22" s="87">
        <f t="shared" si="2"/>
        <v>337.38127951375731</v>
      </c>
      <c r="D22" s="90">
        <f t="shared" si="2"/>
        <v>0.36227546316165699</v>
      </c>
      <c r="E22" s="90">
        <f t="shared" si="2"/>
        <v>327.32968091907202</v>
      </c>
      <c r="F22" s="87">
        <f t="shared" si="3"/>
        <v>-4.1298044823100435</v>
      </c>
      <c r="G22" s="87">
        <f t="shared" si="4"/>
        <v>322.83760097360033</v>
      </c>
      <c r="H22" s="87">
        <f t="shared" si="12"/>
        <v>327.32968091907202</v>
      </c>
      <c r="I22" s="87">
        <f t="shared" si="13"/>
        <v>270.82968091907202</v>
      </c>
      <c r="J22"/>
      <c r="K22" s="84" t="s">
        <v>3</v>
      </c>
      <c r="L22" s="90">
        <f t="shared" si="5"/>
        <v>1.5530111565</v>
      </c>
      <c r="M22" s="93">
        <f t="shared" si="6"/>
        <v>-2.9390687889717002</v>
      </c>
      <c r="N22" s="93">
        <f t="shared" si="7"/>
        <v>-66.671778627849037</v>
      </c>
      <c r="O22" s="93">
        <f t="shared" si="8"/>
        <v>1.5530111565</v>
      </c>
      <c r="P22" s="93">
        <f t="shared" si="9"/>
        <v>-54.946988843500002</v>
      </c>
      <c r="R22" s="84" t="s">
        <v>3</v>
      </c>
      <c r="S22" s="114">
        <f t="shared" si="10"/>
        <v>119.97778799439421</v>
      </c>
      <c r="T22" s="114">
        <f t="shared" si="11"/>
        <v>23.541960102129384</v>
      </c>
      <c r="U22" s="119">
        <f t="shared" si="14"/>
        <v>-118.4247768378942</v>
      </c>
      <c r="V22" s="119">
        <f t="shared" si="15"/>
        <v>303.78772081694262</v>
      </c>
      <c r="X22" s="84" t="s">
        <v>3</v>
      </c>
      <c r="Y22" s="129">
        <v>34.754204556029912</v>
      </c>
    </row>
    <row r="23" spans="2:26" x14ac:dyDescent="0.25">
      <c r="B23" s="84" t="s">
        <v>4</v>
      </c>
      <c r="C23" s="87">
        <f t="shared" si="2"/>
        <v>47.395256339269949</v>
      </c>
      <c r="D23" s="90">
        <f t="shared" si="2"/>
        <v>45.718337917332704</v>
      </c>
      <c r="E23" s="90">
        <f t="shared" si="2"/>
        <v>1.67668286756954</v>
      </c>
      <c r="F23" s="87">
        <f t="shared" si="3"/>
        <v>31.368419441397421</v>
      </c>
      <c r="G23" s="87">
        <f t="shared" si="4"/>
        <v>-12.673235608365742</v>
      </c>
      <c r="H23" s="87">
        <f t="shared" si="12"/>
        <v>-0.23366743531473522</v>
      </c>
      <c r="I23" s="87">
        <f t="shared" si="13"/>
        <v>-0.23366743531473522</v>
      </c>
      <c r="J23"/>
      <c r="K23" s="84" t="s">
        <v>4</v>
      </c>
      <c r="L23" s="90">
        <f t="shared" si="5"/>
        <v>2.3867035000000002E-2</v>
      </c>
      <c r="M23" s="93">
        <f t="shared" si="6"/>
        <v>-14.326051440935281</v>
      </c>
      <c r="N23" s="93">
        <f t="shared" si="7"/>
        <v>-12.47138711028135</v>
      </c>
      <c r="O23" s="93">
        <f t="shared" si="8"/>
        <v>-1.8864832678842751</v>
      </c>
      <c r="P23" s="93">
        <f t="shared" si="9"/>
        <v>-1.8864832678842751</v>
      </c>
      <c r="R23" s="84" t="s">
        <v>4</v>
      </c>
      <c r="S23" s="114">
        <f t="shared" si="10"/>
        <v>1.8438464226736457</v>
      </c>
      <c r="T23" s="114">
        <f t="shared" si="11"/>
        <v>3.3071699632456633</v>
      </c>
      <c r="U23" s="119">
        <f t="shared" si="14"/>
        <v>-1.8199793876736456</v>
      </c>
      <c r="V23" s="119">
        <f t="shared" si="15"/>
        <v>-1.6304870956761233</v>
      </c>
      <c r="X23" s="84" t="s">
        <v>4</v>
      </c>
      <c r="Y23" s="129">
        <v>34.754204556029912</v>
      </c>
    </row>
    <row r="24" spans="2:26" x14ac:dyDescent="0.25">
      <c r="B24" s="84" t="s">
        <v>5</v>
      </c>
      <c r="C24" s="87">
        <f t="shared" si="2"/>
        <v>1497.7472401466093</v>
      </c>
      <c r="D24" s="90">
        <f t="shared" si="2"/>
        <v>1488.4587450464899</v>
      </c>
      <c r="E24" s="90">
        <f t="shared" si="2"/>
        <v>9.2838682241953308</v>
      </c>
      <c r="F24" s="87">
        <f t="shared" si="3"/>
        <v>1039.9553797068711</v>
      </c>
      <c r="G24" s="87">
        <f t="shared" si="4"/>
        <v>-439.21949711542334</v>
      </c>
      <c r="H24" s="87">
        <f t="shared" si="12"/>
        <v>-68.029277095805696</v>
      </c>
      <c r="I24" s="87">
        <f t="shared" si="13"/>
        <v>-68.029277095805696</v>
      </c>
      <c r="J24"/>
      <c r="K24" s="84" t="s">
        <v>5</v>
      </c>
      <c r="L24" s="90">
        <f t="shared" si="5"/>
        <v>0.72580038049999995</v>
      </c>
      <c r="M24" s="93">
        <f t="shared" si="6"/>
        <v>-447.77756495911865</v>
      </c>
      <c r="N24" s="93">
        <f t="shared" si="7"/>
        <v>-371.07869729089828</v>
      </c>
      <c r="O24" s="93">
        <f t="shared" si="8"/>
        <v>-76.587344939501023</v>
      </c>
      <c r="P24" s="93">
        <f t="shared" si="9"/>
        <v>-76.587344939501023</v>
      </c>
      <c r="R24" s="84" t="s">
        <v>5</v>
      </c>
      <c r="S24" s="114">
        <f t="shared" si="10"/>
        <v>56.071666847603638</v>
      </c>
      <c r="T24" s="114">
        <f t="shared" si="11"/>
        <v>104.51055796997203</v>
      </c>
      <c r="U24" s="119">
        <f t="shared" si="14"/>
        <v>-55.34586646710364</v>
      </c>
      <c r="V24" s="119">
        <f t="shared" si="15"/>
        <v>-95.226689745776696</v>
      </c>
      <c r="X24" s="84" t="s">
        <v>5</v>
      </c>
      <c r="Y24" s="129">
        <v>34.754204556029912</v>
      </c>
    </row>
    <row r="25" spans="2:26" x14ac:dyDescent="0.25">
      <c r="B25" s="84" t="s">
        <v>6</v>
      </c>
      <c r="C25" s="87">
        <f t="shared" si="2"/>
        <v>345.43134541376514</v>
      </c>
      <c r="D25" s="90">
        <f t="shared" si="2"/>
        <v>343.81756113589802</v>
      </c>
      <c r="E25" s="90">
        <f t="shared" si="2"/>
        <v>1.61378427786718</v>
      </c>
      <c r="F25" s="87">
        <f t="shared" si="3"/>
        <v>260.38919686163871</v>
      </c>
      <c r="G25" s="87">
        <f t="shared" si="4"/>
        <v>-81.814579996392141</v>
      </c>
      <c r="H25" s="87">
        <f t="shared" si="12"/>
        <v>-26.065197687203078</v>
      </c>
      <c r="I25" s="87">
        <f t="shared" si="13"/>
        <v>-26.065197687203078</v>
      </c>
      <c r="J25"/>
      <c r="K25" s="84" t="s">
        <v>6</v>
      </c>
      <c r="L25" s="90">
        <f t="shared" si="5"/>
        <v>0.36524013499999997</v>
      </c>
      <c r="M25" s="93">
        <f t="shared" si="6"/>
        <v>-83.06312413925933</v>
      </c>
      <c r="N25" s="93">
        <f t="shared" si="7"/>
        <v>-56.695140149925855</v>
      </c>
      <c r="O25" s="93">
        <f t="shared" si="8"/>
        <v>-27.313741830070256</v>
      </c>
      <c r="P25" s="93">
        <f t="shared" si="9"/>
        <v>-27.313741830070256</v>
      </c>
      <c r="R25" s="84" t="s">
        <v>6</v>
      </c>
      <c r="S25" s="114">
        <f t="shared" si="10"/>
        <v>28.216605721514604</v>
      </c>
      <c r="T25" s="114">
        <f t="shared" si="11"/>
        <v>24.103681637214642</v>
      </c>
      <c r="U25" s="119">
        <f t="shared" si="14"/>
        <v>-27.851365586514603</v>
      </c>
      <c r="V25" s="119">
        <f t="shared" si="15"/>
        <v>-22.489897359347463</v>
      </c>
      <c r="X25" s="84" t="s">
        <v>6</v>
      </c>
      <c r="Y25" s="129">
        <v>34.754204556029912</v>
      </c>
    </row>
    <row r="26" spans="2:26" x14ac:dyDescent="0.25">
      <c r="B26" s="84" t="s">
        <v>7</v>
      </c>
      <c r="C26" s="87">
        <f t="shared" si="2"/>
        <v>127.09055149886017</v>
      </c>
      <c r="D26" s="90">
        <f t="shared" si="2"/>
        <v>125.92695935711299</v>
      </c>
      <c r="E26" s="90">
        <f t="shared" si="2"/>
        <v>1.1635921417471802</v>
      </c>
      <c r="F26" s="87">
        <f t="shared" si="3"/>
        <v>98.164095330210429</v>
      </c>
      <c r="G26" s="87">
        <f t="shared" si="4"/>
        <v>-26.599271885155385</v>
      </c>
      <c r="H26" s="87">
        <f t="shared" si="12"/>
        <v>-7.0089770941177889</v>
      </c>
      <c r="I26" s="87">
        <f t="shared" si="13"/>
        <v>-10.80897709411779</v>
      </c>
      <c r="J26"/>
      <c r="K26" s="84" t="s">
        <v>7</v>
      </c>
      <c r="L26" s="90">
        <f t="shared" si="5"/>
        <v>0.2113891215</v>
      </c>
      <c r="M26" s="93">
        <f t="shared" si="6"/>
        <v>-27.551474905402564</v>
      </c>
      <c r="N26" s="93">
        <f t="shared" si="7"/>
        <v>-19.469677717443016</v>
      </c>
      <c r="O26" s="93">
        <f t="shared" si="8"/>
        <v>-7.9611801143649696</v>
      </c>
      <c r="P26" s="93">
        <f t="shared" si="9"/>
        <v>-11.76118011436497</v>
      </c>
      <c r="R26" s="84" t="s">
        <v>7</v>
      </c>
      <c r="S26" s="114">
        <f t="shared" si="10"/>
        <v>16.330854480663376</v>
      </c>
      <c r="T26" s="114">
        <f t="shared" si="11"/>
        <v>8.8681882321860801</v>
      </c>
      <c r="U26" s="119">
        <f t="shared" si="14"/>
        <v>-16.119465359163375</v>
      </c>
      <c r="V26" s="119">
        <f t="shared" si="15"/>
        <v>-7.7045960904388995</v>
      </c>
      <c r="X26" s="84" t="s">
        <v>7</v>
      </c>
      <c r="Y26" s="129">
        <v>34.754204556029912</v>
      </c>
    </row>
    <row r="27" spans="2:26" x14ac:dyDescent="0.25">
      <c r="B27" s="84" t="s">
        <v>8</v>
      </c>
      <c r="C27" s="87">
        <f t="shared" si="2"/>
        <v>1792.6867227891537</v>
      </c>
      <c r="D27" s="90">
        <f t="shared" si="2"/>
        <v>1489.3227430413801</v>
      </c>
      <c r="E27" s="90">
        <f t="shared" si="2"/>
        <v>299.65584925157799</v>
      </c>
      <c r="F27" s="87">
        <f t="shared" si="3"/>
        <v>1072.5196557207084</v>
      </c>
      <c r="G27" s="87">
        <f t="shared" si="4"/>
        <v>-117.14723806909365</v>
      </c>
      <c r="H27" s="87">
        <f t="shared" si="12"/>
        <v>299.65584925157799</v>
      </c>
      <c r="I27" s="87">
        <f t="shared" si="13"/>
        <v>265.85584925157798</v>
      </c>
      <c r="J27"/>
      <c r="K27" s="84" t="s">
        <v>8</v>
      </c>
      <c r="L27" s="90">
        <f t="shared" si="5"/>
        <v>0.68418226249999992</v>
      </c>
      <c r="M27" s="93">
        <f t="shared" si="6"/>
        <v>-416.11890505817166</v>
      </c>
      <c r="N27" s="93">
        <f t="shared" si="7"/>
        <v>-477.01246302318521</v>
      </c>
      <c r="O27" s="93">
        <f t="shared" si="8"/>
        <v>0.68418226249999992</v>
      </c>
      <c r="P27" s="93">
        <f t="shared" si="9"/>
        <v>-33.115817737499995</v>
      </c>
      <c r="R27" s="84" t="s">
        <v>8</v>
      </c>
      <c r="S27" s="114">
        <f t="shared" si="10"/>
        <v>52.856461523913048</v>
      </c>
      <c r="T27" s="114">
        <f t="shared" si="11"/>
        <v>125.09099308753558</v>
      </c>
      <c r="U27" s="119">
        <f t="shared" si="14"/>
        <v>-52.172279261413046</v>
      </c>
      <c r="V27" s="119">
        <f t="shared" si="15"/>
        <v>174.5648561640424</v>
      </c>
      <c r="X27" s="84" t="s">
        <v>8</v>
      </c>
      <c r="Y27" s="129">
        <v>34.754204556029912</v>
      </c>
    </row>
    <row r="28" spans="2:26" x14ac:dyDescent="0.25">
      <c r="B28" s="84" t="s">
        <v>9</v>
      </c>
      <c r="C28" s="87">
        <f t="shared" si="2"/>
        <v>84.126065227973911</v>
      </c>
      <c r="D28" s="90">
        <f t="shared" si="2"/>
        <v>73.6575573141738</v>
      </c>
      <c r="E28" s="90">
        <f t="shared" si="2"/>
        <v>10.468507913800099</v>
      </c>
      <c r="F28" s="87">
        <f t="shared" si="3"/>
        <v>-573.80364598917276</v>
      </c>
      <c r="G28" s="87">
        <f t="shared" si="4"/>
        <v>-636.9926953895465</v>
      </c>
      <c r="H28" s="87">
        <f t="shared" si="12"/>
        <v>10.468507913800099</v>
      </c>
      <c r="I28" s="87">
        <f t="shared" si="13"/>
        <v>-13.031492086199901</v>
      </c>
      <c r="J28"/>
      <c r="K28" s="84" t="s">
        <v>9</v>
      </c>
      <c r="L28" s="90">
        <f t="shared" si="5"/>
        <v>0.20175686630174622</v>
      </c>
      <c r="M28" s="93">
        <f t="shared" si="6"/>
        <v>-647.25944643704486</v>
      </c>
      <c r="N28" s="93">
        <f t="shared" si="7"/>
        <v>-779.31341173072371</v>
      </c>
      <c r="O28" s="93">
        <f t="shared" si="8"/>
        <v>0.20175686630174622</v>
      </c>
      <c r="P28" s="93">
        <f t="shared" si="9"/>
        <v>-23.298243133698254</v>
      </c>
      <c r="R28" s="84" t="s">
        <v>9</v>
      </c>
      <c r="S28" s="114">
        <f t="shared" si="10"/>
        <v>15.586715156713844</v>
      </c>
      <c r="T28" s="114">
        <f t="shared" si="11"/>
        <v>5.8701907645866802</v>
      </c>
      <c r="U28" s="119">
        <f t="shared" si="14"/>
        <v>-15.384958290412097</v>
      </c>
      <c r="V28" s="119">
        <f t="shared" si="15"/>
        <v>4.5983171492134192</v>
      </c>
      <c r="X28" s="84" t="s">
        <v>9</v>
      </c>
      <c r="Y28" s="129">
        <v>34.754204556029912</v>
      </c>
    </row>
    <row r="29" spans="2:26" x14ac:dyDescent="0.25">
      <c r="B29" s="84" t="s">
        <v>10</v>
      </c>
      <c r="C29" s="87">
        <f t="shared" si="2"/>
        <v>432.26930239887696</v>
      </c>
      <c r="D29" s="90">
        <f t="shared" si="2"/>
        <v>429.37449618124998</v>
      </c>
      <c r="E29" s="90">
        <f t="shared" si="2"/>
        <v>2.8948062176270102</v>
      </c>
      <c r="F29" s="87">
        <f t="shared" si="3"/>
        <v>266.61678052471848</v>
      </c>
      <c r="G29" s="87">
        <f t="shared" si="4"/>
        <v>-159.8629094389045</v>
      </c>
      <c r="H29" s="87">
        <f t="shared" si="12"/>
        <v>-56.073607015549506</v>
      </c>
      <c r="I29" s="87">
        <f t="shared" si="13"/>
        <v>-56.073607015549506</v>
      </c>
      <c r="J29"/>
      <c r="K29" s="84" t="s">
        <v>10</v>
      </c>
      <c r="L29" s="90">
        <f t="shared" si="5"/>
        <v>0.22193034749999999</v>
      </c>
      <c r="M29" s="93">
        <f t="shared" si="6"/>
        <v>-162.5357853090315</v>
      </c>
      <c r="N29" s="93">
        <f t="shared" si="7"/>
        <v>-114.87163232552396</v>
      </c>
      <c r="O29" s="93">
        <f t="shared" si="8"/>
        <v>-58.746482885676514</v>
      </c>
      <c r="P29" s="93">
        <f t="shared" si="9"/>
        <v>-58.746482885676514</v>
      </c>
      <c r="R29" s="84" t="s">
        <v>10</v>
      </c>
      <c r="S29" s="114">
        <f t="shared" si="10"/>
        <v>17.145216291868429</v>
      </c>
      <c r="T29" s="114">
        <f t="shared" si="11"/>
        <v>30.163104144712033</v>
      </c>
      <c r="U29" s="119">
        <f t="shared" si="14"/>
        <v>-16.92328594436843</v>
      </c>
      <c r="V29" s="119">
        <f t="shared" si="15"/>
        <v>-27.268297927085023</v>
      </c>
      <c r="X29" s="84" t="s">
        <v>10</v>
      </c>
      <c r="Y29" s="129">
        <v>34.754204556029912</v>
      </c>
    </row>
    <row r="30" spans="2:26" ht="13.8" thickBot="1" x14ac:dyDescent="0.3">
      <c r="B30" s="88" t="s">
        <v>11</v>
      </c>
      <c r="C30" s="91">
        <f t="shared" si="2"/>
        <v>694.1108945760958</v>
      </c>
      <c r="D30" s="92">
        <f t="shared" si="2"/>
        <v>676.56990471432493</v>
      </c>
      <c r="E30" s="92">
        <f t="shared" si="2"/>
        <v>17.538306754422301</v>
      </c>
      <c r="F30" s="91">
        <f t="shared" si="3"/>
        <v>345.60770890085467</v>
      </c>
      <c r="G30" s="91">
        <f t="shared" si="4"/>
        <v>-313.42388905904795</v>
      </c>
      <c r="H30" s="91">
        <f t="shared" si="12"/>
        <v>-43.53891917793198</v>
      </c>
      <c r="I30" s="91">
        <f t="shared" si="13"/>
        <v>-64.638919177931967</v>
      </c>
      <c r="J30"/>
      <c r="K30" s="88" t="s">
        <v>11</v>
      </c>
      <c r="L30" s="92">
        <f t="shared" si="5"/>
        <v>0.77549348949999997</v>
      </c>
      <c r="M30" s="94">
        <f t="shared" si="6"/>
        <v>-330.18670232397028</v>
      </c>
      <c r="N30" s="94">
        <f t="shared" si="7"/>
        <v>-274.83335741257974</v>
      </c>
      <c r="O30" s="94">
        <f t="shared" si="8"/>
        <v>-60.301732442854281</v>
      </c>
      <c r="P30" s="94">
        <f t="shared" si="9"/>
        <v>-81.401732442854282</v>
      </c>
      <c r="R30" s="88" t="s">
        <v>11</v>
      </c>
      <c r="S30" s="115">
        <f t="shared" si="10"/>
        <v>59.910705138752149</v>
      </c>
      <c r="T30" s="115">
        <f t="shared" si="11"/>
        <v>48.434018064412065</v>
      </c>
      <c r="U30" s="121">
        <f t="shared" si="14"/>
        <v>-59.135211649252149</v>
      </c>
      <c r="V30" s="121">
        <f t="shared" si="15"/>
        <v>-30.895711309989764</v>
      </c>
      <c r="X30" s="88" t="s">
        <v>11</v>
      </c>
      <c r="Y30" s="129">
        <v>34.754204556029912</v>
      </c>
    </row>
    <row r="31" spans="2:26" ht="13.8" thickBot="1" x14ac:dyDescent="0.3">
      <c r="G31" s="45"/>
      <c r="H31" s="45"/>
      <c r="R31" s="88" t="s">
        <v>12</v>
      </c>
      <c r="S31" s="115">
        <f>SUM(S20:S30)</f>
        <v>382.29625011632902</v>
      </c>
      <c r="T31" s="115">
        <f>SUM(T20:T30)</f>
        <v>382.29625011632891</v>
      </c>
      <c r="U31" s="122">
        <f t="shared" si="14"/>
        <v>-382.29625011632902</v>
      </c>
      <c r="V31" s="122">
        <f t="shared" si="15"/>
        <v>-382.29625011632891</v>
      </c>
      <c r="X31" s="88" t="s">
        <v>12</v>
      </c>
      <c r="Y31" s="124">
        <f>SUM(Y20:Y30)</f>
        <v>382.29625011632896</v>
      </c>
    </row>
    <row r="32" spans="2:26" s="2" customFormat="1" ht="13.8" thickBot="1" x14ac:dyDescent="0.3">
      <c r="G32" s="45"/>
      <c r="H32" s="45"/>
    </row>
    <row r="33" spans="1:25" ht="13.8" thickBot="1" x14ac:dyDescent="0.3">
      <c r="B33" s="203" t="s">
        <v>150</v>
      </c>
      <c r="C33" s="203"/>
      <c r="D33" s="203"/>
      <c r="E33" s="203"/>
      <c r="F33" s="203"/>
      <c r="G33" s="203"/>
      <c r="H33" s="203"/>
      <c r="I33" s="203"/>
      <c r="J33" s="203"/>
      <c r="K33" s="203"/>
      <c r="L33" s="203"/>
      <c r="M33" s="5"/>
      <c r="N33" s="67"/>
      <c r="O33" s="67"/>
      <c r="P33" s="67"/>
      <c r="Q33" s="67"/>
      <c r="R33" s="67"/>
      <c r="S33" s="67"/>
      <c r="T33" s="5"/>
      <c r="U33" s="5"/>
      <c r="V33" s="5"/>
      <c r="W33" s="5"/>
      <c r="X33" s="2"/>
      <c r="Y33" s="2"/>
    </row>
    <row r="34" spans="1:25" ht="48" customHeight="1" thickBot="1" x14ac:dyDescent="0.3">
      <c r="B34" s="83" t="s">
        <v>61</v>
      </c>
      <c r="C34" s="83" t="s">
        <v>60</v>
      </c>
      <c r="D34" s="83" t="s">
        <v>89</v>
      </c>
      <c r="E34" s="83" t="s">
        <v>63</v>
      </c>
      <c r="F34" s="83" t="s">
        <v>64</v>
      </c>
      <c r="G34" s="83" t="s">
        <v>216</v>
      </c>
      <c r="H34" s="82" t="s">
        <v>47</v>
      </c>
      <c r="I34" s="82" t="s">
        <v>56</v>
      </c>
      <c r="J34" s="82" t="s">
        <v>57</v>
      </c>
      <c r="K34" s="83" t="s">
        <v>58</v>
      </c>
      <c r="L34" s="83" t="s">
        <v>59</v>
      </c>
      <c r="M34" s="70"/>
      <c r="N34" s="2" t="s">
        <v>50</v>
      </c>
      <c r="O34" s="3">
        <v>18.5</v>
      </c>
      <c r="P34" s="2" t="s">
        <v>54</v>
      </c>
      <c r="Q34" s="108"/>
      <c r="R34" s="70"/>
      <c r="S34" s="108"/>
      <c r="T34" s="70"/>
      <c r="U34" s="70"/>
      <c r="V34" s="70"/>
      <c r="W34" s="70"/>
      <c r="X34" s="70"/>
      <c r="Y34" s="108"/>
    </row>
    <row r="35" spans="1:25" s="8" customFormat="1" x14ac:dyDescent="0.25">
      <c r="B35" s="84" t="s">
        <v>1</v>
      </c>
      <c r="C35" s="85">
        <v>13199.085501550475</v>
      </c>
      <c r="D35" s="86">
        <v>7498.2226388555227</v>
      </c>
      <c r="E35" s="86">
        <v>7480.8958351792899</v>
      </c>
      <c r="F35" s="86">
        <v>17.326803676232597</v>
      </c>
      <c r="G35" s="85">
        <v>6.169632</v>
      </c>
      <c r="H35" s="80">
        <v>15.589621527401139</v>
      </c>
      <c r="I35" s="80">
        <v>13.62551145548483</v>
      </c>
      <c r="J35" s="80">
        <v>1.9832072109514134</v>
      </c>
      <c r="K35" s="86">
        <v>0</v>
      </c>
      <c r="L35" s="87">
        <f t="shared" ref="L35:L45" si="16">K35+J35</f>
        <v>1.9832072109514134</v>
      </c>
      <c r="M35" s="15"/>
      <c r="N35" s="3" t="s">
        <v>69</v>
      </c>
      <c r="O35" s="3">
        <f>O34*1000000</f>
        <v>18500000</v>
      </c>
      <c r="P35" s="3" t="s">
        <v>67</v>
      </c>
      <c r="Q35" s="5"/>
      <c r="R35" s="71"/>
      <c r="S35" s="5"/>
      <c r="T35" s="71"/>
      <c r="U35" s="71"/>
      <c r="V35" s="71"/>
      <c r="W35" s="72"/>
      <c r="X35" s="73"/>
      <c r="Y35" s="5"/>
    </row>
    <row r="36" spans="1:25" x14ac:dyDescent="0.25">
      <c r="A36" s="2"/>
      <c r="B36" s="84" t="s">
        <v>2</v>
      </c>
      <c r="C36" s="85">
        <v>20450.034940117202</v>
      </c>
      <c r="D36" s="86">
        <v>4549.0211045835576</v>
      </c>
      <c r="E36" s="86">
        <v>4095.8505435363099</v>
      </c>
      <c r="F36" s="86">
        <v>453.17056104724901</v>
      </c>
      <c r="G36" s="85">
        <v>3.8753060000000001</v>
      </c>
      <c r="H36" s="80">
        <v>23.724017140818511</v>
      </c>
      <c r="I36" s="80">
        <v>26.053635154547475</v>
      </c>
      <c r="J36" s="80">
        <v>-2.1134039371138331</v>
      </c>
      <c r="K36" s="86">
        <v>0</v>
      </c>
      <c r="L36" s="87">
        <f t="shared" si="16"/>
        <v>-2.1134039371138331</v>
      </c>
      <c r="M36" s="15"/>
      <c r="N36" s="3" t="s">
        <v>69</v>
      </c>
      <c r="O36" s="74">
        <f>O35/$O$11</f>
        <v>1.8499999999999999E-2</v>
      </c>
      <c r="P36" s="3" t="s">
        <v>68</v>
      </c>
      <c r="Q36" s="2"/>
      <c r="S36" s="5"/>
      <c r="T36" s="71"/>
      <c r="U36" s="71"/>
      <c r="V36" s="71"/>
      <c r="W36" s="72"/>
      <c r="X36" s="73"/>
      <c r="Y36" s="5"/>
    </row>
    <row r="37" spans="1:25" x14ac:dyDescent="0.25">
      <c r="A37" s="2"/>
      <c r="B37" s="84" t="s">
        <v>3</v>
      </c>
      <c r="C37" s="85">
        <v>251430.37783690859</v>
      </c>
      <c r="D37" s="86">
        <v>33738.127951375733</v>
      </c>
      <c r="E37" s="86">
        <v>36.2275463161657</v>
      </c>
      <c r="F37" s="86">
        <v>32732.968091907202</v>
      </c>
      <c r="G37" s="85">
        <v>83.946549000000005</v>
      </c>
      <c r="H37" s="80">
        <v>3.3803673657372775</v>
      </c>
      <c r="I37" s="80">
        <v>63.208496046190042</v>
      </c>
      <c r="J37" s="80">
        <v>-16.828155050388805</v>
      </c>
      <c r="K37" s="86">
        <v>56.5</v>
      </c>
      <c r="L37" s="87">
        <f t="shared" si="16"/>
        <v>39.671844949611199</v>
      </c>
      <c r="M37" s="15"/>
      <c r="N37" s="3"/>
      <c r="O37" s="74"/>
      <c r="P37" s="3"/>
      <c r="Q37" s="2"/>
      <c r="S37" s="5"/>
      <c r="T37" s="71"/>
      <c r="U37" s="71"/>
      <c r="V37" s="71"/>
      <c r="W37" s="72"/>
      <c r="X37" s="73"/>
      <c r="Y37" s="5"/>
    </row>
    <row r="38" spans="1:25" s="2" customFormat="1" x14ac:dyDescent="0.25">
      <c r="B38" s="84" t="s">
        <v>4</v>
      </c>
      <c r="C38" s="85">
        <v>24496.645034227455</v>
      </c>
      <c r="D38" s="86">
        <v>4739.5256339269945</v>
      </c>
      <c r="E38" s="86">
        <v>4571.8337917332701</v>
      </c>
      <c r="F38" s="86">
        <v>167.66828675695399</v>
      </c>
      <c r="G38" s="85">
        <v>1.2901100000000001</v>
      </c>
      <c r="H38" s="80">
        <v>14.400136359321918</v>
      </c>
      <c r="I38" s="80">
        <v>11.171359418917772</v>
      </c>
      <c r="J38" s="80">
        <v>3.2750912718752518</v>
      </c>
      <c r="K38" s="86">
        <v>0</v>
      </c>
      <c r="L38" s="87">
        <f t="shared" si="16"/>
        <v>3.2750912718752518</v>
      </c>
      <c r="M38" s="15"/>
      <c r="N38" s="2" t="s">
        <v>51</v>
      </c>
      <c r="O38" s="17">
        <v>10</v>
      </c>
      <c r="P38" s="3" t="s">
        <v>65</v>
      </c>
      <c r="S38" s="5"/>
      <c r="T38" s="71"/>
      <c r="U38" s="71"/>
      <c r="V38" s="71"/>
      <c r="W38" s="72"/>
      <c r="X38" s="73"/>
      <c r="Y38" s="5"/>
    </row>
    <row r="39" spans="1:25" s="2" customFormat="1" x14ac:dyDescent="0.25">
      <c r="B39" s="84" t="s">
        <v>5</v>
      </c>
      <c r="C39" s="85">
        <v>363314.38569269452</v>
      </c>
      <c r="D39" s="86">
        <v>149774.72401466093</v>
      </c>
      <c r="E39" s="86">
        <v>148845.87450464899</v>
      </c>
      <c r="F39" s="86">
        <v>928.38682241953302</v>
      </c>
      <c r="G39" s="85">
        <v>39.232453</v>
      </c>
      <c r="H39" s="80">
        <v>484.06868290093661</v>
      </c>
      <c r="I39" s="80">
        <v>353.6026358725851</v>
      </c>
      <c r="J39" s="80">
        <v>131.03557864571476</v>
      </c>
      <c r="K39" s="86">
        <v>0</v>
      </c>
      <c r="L39" s="87">
        <f t="shared" si="16"/>
        <v>131.03557864571476</v>
      </c>
      <c r="M39" s="15"/>
      <c r="N39" s="3" t="s">
        <v>66</v>
      </c>
      <c r="O39" s="2">
        <v>10000000</v>
      </c>
      <c r="P39" s="3" t="s">
        <v>67</v>
      </c>
      <c r="S39" s="5"/>
      <c r="T39" s="71"/>
      <c r="U39" s="71"/>
      <c r="V39" s="71"/>
      <c r="W39" s="72"/>
      <c r="X39" s="66"/>
      <c r="Y39" s="5"/>
    </row>
    <row r="40" spans="1:25" s="2" customFormat="1" x14ac:dyDescent="0.25">
      <c r="B40" s="84" t="s">
        <v>6</v>
      </c>
      <c r="C40" s="85">
        <v>49475.746319971244</v>
      </c>
      <c r="D40" s="86">
        <v>34543.134541376516</v>
      </c>
      <c r="E40" s="86">
        <v>34381.756113589799</v>
      </c>
      <c r="F40" s="86">
        <v>161.37842778671799</v>
      </c>
      <c r="G40" s="85">
        <v>19.742709999999999</v>
      </c>
      <c r="H40" s="80">
        <v>72.980329509151488</v>
      </c>
      <c r="I40" s="80">
        <v>58.065831028798335</v>
      </c>
      <c r="J40" s="80">
        <v>16.052819884560293</v>
      </c>
      <c r="K40" s="86">
        <v>0</v>
      </c>
      <c r="L40" s="87">
        <f t="shared" si="16"/>
        <v>16.052819884560293</v>
      </c>
      <c r="M40" s="15"/>
      <c r="N40" s="3" t="s">
        <v>66</v>
      </c>
      <c r="O40" s="75">
        <f>O39/$O$11</f>
        <v>0.01</v>
      </c>
      <c r="P40" s="3" t="s">
        <v>68</v>
      </c>
      <c r="S40" s="5"/>
      <c r="T40" s="71"/>
      <c r="U40" s="71"/>
      <c r="V40" s="71"/>
      <c r="W40" s="72"/>
      <c r="X40" s="73"/>
      <c r="Y40" s="5"/>
    </row>
    <row r="41" spans="1:25" x14ac:dyDescent="0.25">
      <c r="A41" s="2"/>
      <c r="B41" s="84" t="s">
        <v>7</v>
      </c>
      <c r="C41" s="85">
        <v>20836.189535136225</v>
      </c>
      <c r="D41" s="86">
        <v>12709.055149886017</v>
      </c>
      <c r="E41" s="86">
        <v>12592.695935711299</v>
      </c>
      <c r="F41" s="86">
        <v>116.35921417471801</v>
      </c>
      <c r="G41" s="85">
        <v>11.426439</v>
      </c>
      <c r="H41" s="80">
        <v>21.331893349594765</v>
      </c>
      <c r="I41" s="80">
        <v>19.890651093947945</v>
      </c>
      <c r="J41" s="80">
        <v>1.5386391808328861</v>
      </c>
      <c r="K41" s="86">
        <v>3.8</v>
      </c>
      <c r="L41" s="87">
        <f t="shared" si="16"/>
        <v>5.3386391808328861</v>
      </c>
      <c r="M41" s="15"/>
      <c r="O41" s="2"/>
      <c r="Q41" s="2"/>
      <c r="S41" s="5"/>
      <c r="T41" s="71"/>
      <c r="U41" s="71"/>
      <c r="V41" s="71"/>
      <c r="W41" s="72"/>
      <c r="X41" s="73"/>
      <c r="Y41" s="5"/>
    </row>
    <row r="42" spans="1:25" x14ac:dyDescent="0.25">
      <c r="A42" s="2"/>
      <c r="B42" s="84" t="s">
        <v>8</v>
      </c>
      <c r="C42" s="85">
        <v>1339764.2833351614</v>
      </c>
      <c r="D42" s="86">
        <v>179268.67227891536</v>
      </c>
      <c r="E42" s="86">
        <v>148932.274304138</v>
      </c>
      <c r="F42" s="86">
        <v>29965.5849251578</v>
      </c>
      <c r="G42" s="85">
        <v>36.982824999999998</v>
      </c>
      <c r="H42" s="80">
        <v>404.09091338939459</v>
      </c>
      <c r="I42" s="80">
        <v>436.58135275731689</v>
      </c>
      <c r="J42" s="80">
        <v>-15.946701336720173</v>
      </c>
      <c r="K42" s="86">
        <v>33.799999999999997</v>
      </c>
      <c r="L42" s="87">
        <f t="shared" si="16"/>
        <v>17.853298663279823</v>
      </c>
      <c r="M42" s="15"/>
      <c r="N42" s="66" t="s">
        <v>55</v>
      </c>
      <c r="O42" s="71">
        <v>1000000000</v>
      </c>
      <c r="Q42" s="2"/>
      <c r="S42" s="5"/>
      <c r="T42" s="71"/>
      <c r="U42" s="71"/>
      <c r="V42" s="71"/>
      <c r="W42" s="72"/>
      <c r="X42" s="73"/>
      <c r="Y42" s="5"/>
    </row>
    <row r="43" spans="1:25" x14ac:dyDescent="0.25">
      <c r="A43" s="2"/>
      <c r="B43" s="84" t="s">
        <v>9</v>
      </c>
      <c r="C43" s="85">
        <v>617141.72101696266</v>
      </c>
      <c r="D43" s="86">
        <v>8412.6065227973904</v>
      </c>
      <c r="E43" s="86">
        <v>7365.75573141738</v>
      </c>
      <c r="F43" s="86">
        <v>1046.8507913800099</v>
      </c>
      <c r="G43" s="85">
        <v>10.905776556851148</v>
      </c>
      <c r="H43" s="80">
        <v>620.94260061497255</v>
      </c>
      <c r="I43" s="80">
        <v>734.87724433925337</v>
      </c>
      <c r="J43" s="80">
        <v>-113.16668198295125</v>
      </c>
      <c r="K43" s="86">
        <v>23.5</v>
      </c>
      <c r="L43" s="87">
        <f t="shared" si="16"/>
        <v>-89.666681982951246</v>
      </c>
      <c r="M43" s="15"/>
      <c r="N43" s="66" t="s">
        <v>62</v>
      </c>
      <c r="O43" s="71">
        <v>1000000</v>
      </c>
      <c r="Q43" s="2"/>
      <c r="S43" s="5"/>
      <c r="T43" s="71"/>
      <c r="U43" s="71"/>
      <c r="V43" s="71"/>
      <c r="W43" s="72"/>
      <c r="X43" s="73"/>
      <c r="Y43" s="5"/>
    </row>
    <row r="44" spans="1:25" x14ac:dyDescent="0.25">
      <c r="A44" s="2"/>
      <c r="B44" s="84" t="s">
        <v>10</v>
      </c>
      <c r="C44" s="85">
        <v>119784.51078433092</v>
      </c>
      <c r="D44" s="86">
        <v>43226.930239887697</v>
      </c>
      <c r="E44" s="86">
        <v>42937.449618125</v>
      </c>
      <c r="F44" s="86">
        <v>289.48062176270099</v>
      </c>
      <c r="G44" s="85">
        <v>11.996235</v>
      </c>
      <c r="H44" s="80">
        <v>130.37580876063711</v>
      </c>
      <c r="I44" s="80">
        <v>113.8115207203455</v>
      </c>
      <c r="J44" s="80">
        <v>27.835036451662162</v>
      </c>
      <c r="K44" s="86">
        <v>0</v>
      </c>
      <c r="L44" s="87">
        <f t="shared" si="16"/>
        <v>27.835036451662162</v>
      </c>
      <c r="M44" s="15"/>
      <c r="N44" s="128" t="s">
        <v>144</v>
      </c>
      <c r="O44" s="2">
        <v>11</v>
      </c>
      <c r="Q44" s="2"/>
      <c r="S44" s="5"/>
      <c r="T44" s="71"/>
      <c r="U44" s="71"/>
      <c r="V44" s="71"/>
      <c r="W44" s="72"/>
      <c r="X44" s="73"/>
      <c r="Y44" s="5"/>
    </row>
    <row r="45" spans="1:25" ht="13.8" thickBot="1" x14ac:dyDescent="0.3">
      <c r="A45" s="2"/>
      <c r="B45" s="88" t="s">
        <v>11</v>
      </c>
      <c r="C45" s="89">
        <v>237021.44592026682</v>
      </c>
      <c r="D45" s="89">
        <v>69411.089457609574</v>
      </c>
      <c r="E45" s="89">
        <v>67656.990471432495</v>
      </c>
      <c r="F45" s="89">
        <v>1753.8306754422299</v>
      </c>
      <c r="G45" s="89">
        <v>41.918567000000003</v>
      </c>
      <c r="H45" s="81">
        <v>292.66694540931792</v>
      </c>
      <c r="I45" s="81">
        <v>276.95149598433915</v>
      </c>
      <c r="J45" s="81">
        <v>22.251590870161746</v>
      </c>
      <c r="K45" s="89">
        <v>21.1</v>
      </c>
      <c r="L45" s="89">
        <f t="shared" si="16"/>
        <v>43.351590870161743</v>
      </c>
      <c r="M45" s="71"/>
      <c r="N45" s="71"/>
      <c r="O45" s="71"/>
      <c r="P45" s="71"/>
      <c r="Q45" s="5"/>
      <c r="R45" s="71"/>
      <c r="S45" s="5"/>
      <c r="T45" s="71"/>
      <c r="U45" s="71"/>
      <c r="V45" s="71"/>
      <c r="W45" s="72"/>
      <c r="X45" s="73"/>
      <c r="Y45" s="5"/>
    </row>
    <row r="46" spans="1:25" ht="13.8" thickBot="1" x14ac:dyDescent="0.3">
      <c r="A46" s="2"/>
      <c r="B46" s="88" t="s">
        <v>12</v>
      </c>
      <c r="C46" s="89">
        <f>SUM(C35:C45)</f>
        <v>3056914.4259173274</v>
      </c>
      <c r="D46" s="89">
        <f>SUM(D35:D45)</f>
        <v>547871.10953387525</v>
      </c>
      <c r="E46" s="89">
        <f>SUM(E35:E45)</f>
        <v>478897.60439582798</v>
      </c>
      <c r="F46" s="89">
        <f t="shared" ref="F46:L46" si="17">SUM(F35:F45)</f>
        <v>67633.005221511354</v>
      </c>
      <c r="G46" s="89">
        <f t="shared" si="17"/>
        <v>267.48660255685115</v>
      </c>
      <c r="H46" s="89">
        <f t="shared" si="17"/>
        <v>2083.551316327284</v>
      </c>
      <c r="I46" s="89">
        <f t="shared" si="17"/>
        <v>2107.8397338717264</v>
      </c>
      <c r="J46" s="89">
        <f t="shared" si="17"/>
        <v>55.917021208584472</v>
      </c>
      <c r="K46" s="89">
        <f t="shared" si="17"/>
        <v>138.69999999999999</v>
      </c>
      <c r="L46" s="89">
        <f t="shared" si="17"/>
        <v>194.61702120858448</v>
      </c>
      <c r="M46" s="71"/>
      <c r="N46" s="71"/>
      <c r="O46" s="71"/>
      <c r="P46" s="5"/>
      <c r="Q46" s="71"/>
      <c r="S46" s="2"/>
      <c r="T46" s="2"/>
      <c r="U46" s="71"/>
      <c r="V46" s="5"/>
      <c r="W46" s="5"/>
      <c r="X46" s="2"/>
      <c r="Y46" s="2"/>
    </row>
    <row r="47" spans="1:25" x14ac:dyDescent="0.25">
      <c r="B47" s="67"/>
      <c r="C47" s="71"/>
      <c r="D47" s="67"/>
      <c r="E47" s="71"/>
      <c r="F47" s="71"/>
      <c r="G47" s="71"/>
      <c r="H47" s="71"/>
      <c r="I47" s="71"/>
      <c r="J47" s="71"/>
      <c r="K47" s="71"/>
      <c r="L47" s="71"/>
      <c r="M47" s="71"/>
      <c r="N47" s="71"/>
      <c r="O47" s="71"/>
      <c r="P47" s="5"/>
      <c r="Q47" s="71"/>
      <c r="S47" s="2"/>
      <c r="T47" s="2"/>
      <c r="U47" s="71"/>
      <c r="V47" s="5"/>
      <c r="W47" s="5"/>
      <c r="X47" s="2"/>
      <c r="Y47" s="2"/>
    </row>
    <row r="48" spans="1:25" ht="13.8" thickBot="1" x14ac:dyDescent="0.3">
      <c r="B48" s="23"/>
      <c r="C48" s="23"/>
      <c r="D48" s="23"/>
      <c r="E48" s="23"/>
      <c r="F48" s="23"/>
      <c r="G48" s="23"/>
      <c r="H48" s="23"/>
      <c r="I48" s="23"/>
      <c r="J48" s="4"/>
      <c r="K48" s="4"/>
      <c r="L48" s="4"/>
      <c r="M48" s="5"/>
      <c r="N48" s="5"/>
      <c r="O48" s="5"/>
      <c r="P48" s="5"/>
      <c r="Q48" s="5"/>
      <c r="R48" s="204" t="s">
        <v>143</v>
      </c>
      <c r="S48" s="204"/>
      <c r="T48" s="204"/>
      <c r="U48" s="204"/>
      <c r="V48" s="204"/>
      <c r="W48" s="2"/>
      <c r="X48" s="205" t="s">
        <v>142</v>
      </c>
      <c r="Y48" s="205"/>
    </row>
    <row r="49" spans="2:25" ht="13.8" thickBot="1" x14ac:dyDescent="0.3">
      <c r="B49" s="206" t="s">
        <v>90</v>
      </c>
      <c r="C49" s="206"/>
      <c r="D49" s="206"/>
      <c r="E49" s="206"/>
      <c r="F49" s="206"/>
      <c r="G49" s="206"/>
      <c r="H49" s="206"/>
      <c r="I49" s="206"/>
      <c r="J49" s="48"/>
      <c r="K49" s="206" t="s">
        <v>73</v>
      </c>
      <c r="L49" s="206"/>
      <c r="M49" s="206"/>
      <c r="N49" s="206"/>
      <c r="O49" s="206"/>
      <c r="P49" s="206"/>
      <c r="Q49" s="5"/>
      <c r="R49" s="207" t="s">
        <v>121</v>
      </c>
      <c r="S49" s="207"/>
      <c r="T49" s="207"/>
      <c r="U49" s="207"/>
      <c r="V49" s="207"/>
      <c r="W49" s="2"/>
      <c r="X49" s="208" t="s">
        <v>146</v>
      </c>
      <c r="Y49" s="208"/>
    </row>
    <row r="50" spans="2:25" ht="40.200000000000003" thickBot="1" x14ac:dyDescent="0.3">
      <c r="B50" s="83" t="s">
        <v>61</v>
      </c>
      <c r="C50" s="83" t="s">
        <v>78</v>
      </c>
      <c r="D50" s="83" t="s">
        <v>70</v>
      </c>
      <c r="E50" s="83" t="s">
        <v>71</v>
      </c>
      <c r="F50" s="83" t="s">
        <v>74</v>
      </c>
      <c r="G50" s="83" t="s">
        <v>75</v>
      </c>
      <c r="H50" s="83" t="s">
        <v>77</v>
      </c>
      <c r="I50" s="83" t="s">
        <v>76</v>
      </c>
      <c r="J50" s="110"/>
      <c r="K50" s="109" t="s">
        <v>61</v>
      </c>
      <c r="L50" s="109" t="s">
        <v>72</v>
      </c>
      <c r="M50" s="109" t="s">
        <v>79</v>
      </c>
      <c r="N50" s="109" t="s">
        <v>80</v>
      </c>
      <c r="O50" s="109" t="s">
        <v>81</v>
      </c>
      <c r="P50" s="109" t="s">
        <v>82</v>
      </c>
      <c r="Q50" s="16"/>
      <c r="R50" s="83" t="s">
        <v>61</v>
      </c>
      <c r="S50" s="109" t="s">
        <v>125</v>
      </c>
      <c r="T50" s="109" t="s">
        <v>126</v>
      </c>
      <c r="U50" s="120" t="s">
        <v>123</v>
      </c>
      <c r="V50" s="120" t="s">
        <v>124</v>
      </c>
      <c r="W50" s="16"/>
      <c r="X50" s="83" t="s">
        <v>61</v>
      </c>
      <c r="Y50" s="83" t="s">
        <v>145</v>
      </c>
    </row>
    <row r="51" spans="2:25" x14ac:dyDescent="0.25">
      <c r="B51" s="84" t="s">
        <v>1</v>
      </c>
      <c r="C51" s="87">
        <f t="shared" ref="C51:C61" si="18">D35*$O$9</f>
        <v>74.982226388555233</v>
      </c>
      <c r="D51" s="90">
        <f t="shared" ref="D51:D61" si="19">E35*$O$9</f>
        <v>74.808958351792896</v>
      </c>
      <c r="E51" s="90">
        <f t="shared" ref="E51:E61" si="20">F35*$O$9</f>
        <v>0.17326803676232597</v>
      </c>
      <c r="F51" s="87">
        <f t="shared" ref="F51:F61" si="21">D51-H35</f>
        <v>59.21933682439176</v>
      </c>
      <c r="G51" s="87">
        <f t="shared" ref="G51:G61" si="22">E51-H35</f>
        <v>-15.416353490638812</v>
      </c>
      <c r="H51" s="87">
        <f>E51-J35</f>
        <v>-1.8099391741890873</v>
      </c>
      <c r="I51" s="87">
        <f>E51-L35</f>
        <v>-1.8099391741890873</v>
      </c>
      <c r="K51" s="84" t="s">
        <v>1</v>
      </c>
      <c r="L51" s="90">
        <f t="shared" ref="L51:L61" si="23">G35*$O$5</f>
        <v>0.114138192</v>
      </c>
      <c r="M51" s="93">
        <f t="shared" ref="M51:M61" si="24">L51-H35</f>
        <v>-15.475483335401139</v>
      </c>
      <c r="N51" s="93">
        <f t="shared" ref="N51:N61" si="25">L51-I35</f>
        <v>-13.511373263484829</v>
      </c>
      <c r="O51" s="93">
        <f t="shared" ref="O51:O61" si="26">L51-J35</f>
        <v>-1.8690690189514134</v>
      </c>
      <c r="P51" s="93">
        <f t="shared" ref="P51:P61" si="27">L51-L35</f>
        <v>-1.8690690189514134</v>
      </c>
      <c r="Q51" s="2"/>
      <c r="R51" s="84" t="s">
        <v>1</v>
      </c>
      <c r="S51" s="114">
        <f>($L$46/$G$46)*G35</f>
        <v>4.4888805282797799</v>
      </c>
      <c r="T51" s="114">
        <f t="shared" ref="T51:T61" si="28">($L$46/$D$46)*D35</f>
        <v>2.6635493803905446</v>
      </c>
      <c r="U51" s="119">
        <f>L51-S51</f>
        <v>-4.3747423362797795</v>
      </c>
      <c r="V51" s="119">
        <f>E51-T51</f>
        <v>-2.4902813436282187</v>
      </c>
      <c r="W51" s="2"/>
      <c r="X51" s="84" t="s">
        <v>1</v>
      </c>
      <c r="Y51" s="129">
        <v>34.754204556029912</v>
      </c>
    </row>
    <row r="52" spans="2:25" x14ac:dyDescent="0.25">
      <c r="B52" s="84" t="s">
        <v>2</v>
      </c>
      <c r="C52" s="87">
        <f t="shared" si="18"/>
        <v>45.490211045835579</v>
      </c>
      <c r="D52" s="90">
        <f t="shared" si="19"/>
        <v>40.958505435363101</v>
      </c>
      <c r="E52" s="90">
        <f t="shared" si="20"/>
        <v>4.53170561047249</v>
      </c>
      <c r="F52" s="87">
        <f t="shared" si="21"/>
        <v>17.23448829454459</v>
      </c>
      <c r="G52" s="87">
        <f t="shared" si="22"/>
        <v>-19.192311530346021</v>
      </c>
      <c r="H52" s="87">
        <f t="shared" ref="H52:H61" si="29">E52-J36</f>
        <v>6.6451095475863227</v>
      </c>
      <c r="I52" s="87">
        <f t="shared" ref="I52:I61" si="30">E52-L36</f>
        <v>6.6451095475863227</v>
      </c>
      <c r="K52" s="84" t="s">
        <v>2</v>
      </c>
      <c r="L52" s="90">
        <f t="shared" si="23"/>
        <v>7.1693161000000005E-2</v>
      </c>
      <c r="M52" s="93">
        <f t="shared" si="24"/>
        <v>-23.652323979818512</v>
      </c>
      <c r="N52" s="93">
        <f t="shared" si="25"/>
        <v>-25.981941993547476</v>
      </c>
      <c r="O52" s="93">
        <f t="shared" si="26"/>
        <v>2.1850970981138333</v>
      </c>
      <c r="P52" s="93">
        <f t="shared" si="27"/>
        <v>2.1850970981138333</v>
      </c>
      <c r="Q52" s="2"/>
      <c r="R52" s="84" t="s">
        <v>2</v>
      </c>
      <c r="S52" s="114">
        <f t="shared" ref="S52:S61" si="31">($L$46/$G$46)*G36</f>
        <v>2.8195823745283026</v>
      </c>
      <c r="T52" s="114">
        <f t="shared" si="28"/>
        <v>1.6159219228446957</v>
      </c>
      <c r="U52" s="119">
        <f t="shared" ref="U52:U62" si="32">L52-S52</f>
        <v>-2.7478892135283024</v>
      </c>
      <c r="V52" s="119">
        <f t="shared" ref="V52:V62" si="33">E52-T52</f>
        <v>2.9157836876277941</v>
      </c>
      <c r="W52" s="2"/>
      <c r="X52" s="84" t="s">
        <v>2</v>
      </c>
      <c r="Y52" s="129">
        <v>34.754204556029912</v>
      </c>
    </row>
    <row r="53" spans="2:25" x14ac:dyDescent="0.25">
      <c r="B53" s="84" t="s">
        <v>3</v>
      </c>
      <c r="C53" s="87">
        <f t="shared" si="18"/>
        <v>337.38127951375731</v>
      </c>
      <c r="D53" s="90">
        <f t="shared" si="19"/>
        <v>0.36227546316165699</v>
      </c>
      <c r="E53" s="90">
        <f t="shared" si="20"/>
        <v>327.32968091907202</v>
      </c>
      <c r="F53" s="87">
        <f t="shared" si="21"/>
        <v>-3.0180919025756205</v>
      </c>
      <c r="G53" s="87">
        <f t="shared" si="22"/>
        <v>323.94931355333472</v>
      </c>
      <c r="H53" s="87">
        <f t="shared" si="29"/>
        <v>344.15783596946085</v>
      </c>
      <c r="I53" s="87">
        <f t="shared" si="30"/>
        <v>287.65783596946085</v>
      </c>
      <c r="K53" s="84" t="s">
        <v>3</v>
      </c>
      <c r="L53" s="90">
        <f t="shared" si="23"/>
        <v>1.5530111565</v>
      </c>
      <c r="M53" s="93">
        <f t="shared" si="24"/>
        <v>-1.8273562092372775</v>
      </c>
      <c r="N53" s="93">
        <f t="shared" si="25"/>
        <v>-61.655484889690044</v>
      </c>
      <c r="O53" s="93">
        <f t="shared" si="26"/>
        <v>18.381166206888803</v>
      </c>
      <c r="P53" s="93">
        <f t="shared" si="27"/>
        <v>-38.1188337931112</v>
      </c>
      <c r="Q53" s="2"/>
      <c r="R53" s="84" t="s">
        <v>3</v>
      </c>
      <c r="S53" s="114">
        <f t="shared" si="31"/>
        <v>61.07755360812191</v>
      </c>
      <c r="T53" s="114">
        <f>($L$46/$D$46)*D37</f>
        <v>11.98459610078207</v>
      </c>
      <c r="U53" s="119">
        <f t="shared" si="32"/>
        <v>-59.524542451621912</v>
      </c>
      <c r="V53" s="119">
        <f t="shared" si="33"/>
        <v>315.34508481828993</v>
      </c>
      <c r="W53" s="2"/>
      <c r="X53" s="84" t="s">
        <v>3</v>
      </c>
      <c r="Y53" s="129">
        <v>34.754204556029912</v>
      </c>
    </row>
    <row r="54" spans="2:25" x14ac:dyDescent="0.25">
      <c r="B54" s="84" t="s">
        <v>4</v>
      </c>
      <c r="C54" s="87">
        <f t="shared" si="18"/>
        <v>47.395256339269949</v>
      </c>
      <c r="D54" s="90">
        <f t="shared" si="19"/>
        <v>45.718337917332704</v>
      </c>
      <c r="E54" s="90">
        <f t="shared" si="20"/>
        <v>1.67668286756954</v>
      </c>
      <c r="F54" s="87">
        <f t="shared" si="21"/>
        <v>31.318201558010784</v>
      </c>
      <c r="G54" s="87">
        <f t="shared" si="22"/>
        <v>-12.723453491752378</v>
      </c>
      <c r="H54" s="87">
        <f t="shared" si="29"/>
        <v>-1.5984084043057118</v>
      </c>
      <c r="I54" s="87">
        <f t="shared" si="30"/>
        <v>-1.5984084043057118</v>
      </c>
      <c r="K54" s="84" t="s">
        <v>4</v>
      </c>
      <c r="L54" s="90">
        <f t="shared" si="23"/>
        <v>2.3867035000000002E-2</v>
      </c>
      <c r="M54" s="93">
        <f t="shared" si="24"/>
        <v>-14.376269324321918</v>
      </c>
      <c r="N54" s="93">
        <f t="shared" si="25"/>
        <v>-11.147492383917772</v>
      </c>
      <c r="O54" s="93">
        <f t="shared" si="26"/>
        <v>-3.251224236875252</v>
      </c>
      <c r="P54" s="93">
        <f t="shared" si="27"/>
        <v>-3.251224236875252</v>
      </c>
      <c r="Q54" s="2"/>
      <c r="R54" s="84" t="s">
        <v>4</v>
      </c>
      <c r="S54" s="114">
        <f t="shared" si="31"/>
        <v>0.93865398427961777</v>
      </c>
      <c r="T54" s="114">
        <f t="shared" si="28"/>
        <v>1.6835937226209361</v>
      </c>
      <c r="U54" s="119">
        <f t="shared" si="32"/>
        <v>-0.91478694927961779</v>
      </c>
      <c r="V54" s="119">
        <f t="shared" si="33"/>
        <v>-6.9108550513961031E-3</v>
      </c>
      <c r="W54" s="2"/>
      <c r="X54" s="84" t="s">
        <v>4</v>
      </c>
      <c r="Y54" s="129">
        <v>34.754204556029912</v>
      </c>
    </row>
    <row r="55" spans="2:25" x14ac:dyDescent="0.25">
      <c r="B55" s="84" t="s">
        <v>5</v>
      </c>
      <c r="C55" s="87">
        <f t="shared" si="18"/>
        <v>1497.7472401466093</v>
      </c>
      <c r="D55" s="90">
        <f t="shared" si="19"/>
        <v>1488.4587450464899</v>
      </c>
      <c r="E55" s="90">
        <f t="shared" si="20"/>
        <v>9.2838682241953308</v>
      </c>
      <c r="F55" s="87">
        <f t="shared" si="21"/>
        <v>1004.3900621455532</v>
      </c>
      <c r="G55" s="87">
        <f t="shared" si="22"/>
        <v>-474.78481467674129</v>
      </c>
      <c r="H55" s="87">
        <f t="shared" si="29"/>
        <v>-121.75171042151943</v>
      </c>
      <c r="I55" s="87">
        <f t="shared" si="30"/>
        <v>-121.75171042151943</v>
      </c>
      <c r="K55" s="84" t="s">
        <v>5</v>
      </c>
      <c r="L55" s="90">
        <f t="shared" si="23"/>
        <v>0.72580038049999995</v>
      </c>
      <c r="M55" s="93">
        <f t="shared" si="24"/>
        <v>-483.3428825204366</v>
      </c>
      <c r="N55" s="93">
        <f t="shared" si="25"/>
        <v>-352.87683549208509</v>
      </c>
      <c r="O55" s="93">
        <f t="shared" si="26"/>
        <v>-130.30977826521476</v>
      </c>
      <c r="P55" s="93">
        <f t="shared" si="27"/>
        <v>-130.30977826521476</v>
      </c>
      <c r="Q55" s="2"/>
      <c r="R55" s="84" t="s">
        <v>5</v>
      </c>
      <c r="S55" s="114">
        <f t="shared" si="31"/>
        <v>28.544618925140369</v>
      </c>
      <c r="T55" s="114">
        <f t="shared" si="28"/>
        <v>53.203591379130508</v>
      </c>
      <c r="U55" s="119">
        <f t="shared" si="32"/>
        <v>-27.818818544640369</v>
      </c>
      <c r="V55" s="119">
        <f t="shared" si="33"/>
        <v>-43.919723154935177</v>
      </c>
      <c r="W55" s="2"/>
      <c r="X55" s="84" t="s">
        <v>5</v>
      </c>
      <c r="Y55" s="129">
        <v>34.754204556029912</v>
      </c>
    </row>
    <row r="56" spans="2:25" x14ac:dyDescent="0.25">
      <c r="B56" s="84" t="s">
        <v>6</v>
      </c>
      <c r="C56" s="87">
        <f t="shared" si="18"/>
        <v>345.43134541376514</v>
      </c>
      <c r="D56" s="90">
        <f t="shared" si="19"/>
        <v>343.81756113589802</v>
      </c>
      <c r="E56" s="90">
        <f t="shared" si="20"/>
        <v>1.61378427786718</v>
      </c>
      <c r="F56" s="87">
        <f t="shared" si="21"/>
        <v>270.83723162674653</v>
      </c>
      <c r="G56" s="87">
        <f t="shared" si="22"/>
        <v>-71.366545231284306</v>
      </c>
      <c r="H56" s="87">
        <f t="shared" si="29"/>
        <v>-14.439035606693112</v>
      </c>
      <c r="I56" s="87">
        <f t="shared" si="30"/>
        <v>-14.439035606693112</v>
      </c>
      <c r="K56" s="84" t="s">
        <v>6</v>
      </c>
      <c r="L56" s="90">
        <f t="shared" si="23"/>
        <v>0.36524013499999997</v>
      </c>
      <c r="M56" s="93">
        <f t="shared" si="24"/>
        <v>-72.615089374151495</v>
      </c>
      <c r="N56" s="93">
        <f t="shared" si="25"/>
        <v>-57.700590893798335</v>
      </c>
      <c r="O56" s="93">
        <f t="shared" si="26"/>
        <v>-15.687579749560292</v>
      </c>
      <c r="P56" s="93">
        <f t="shared" si="27"/>
        <v>-15.687579749560292</v>
      </c>
      <c r="Q56" s="2"/>
      <c r="R56" s="84" t="s">
        <v>6</v>
      </c>
      <c r="S56" s="114">
        <f t="shared" si="31"/>
        <v>14.36433591087353</v>
      </c>
      <c r="T56" s="114">
        <f t="shared" si="28"/>
        <v>12.270553841339927</v>
      </c>
      <c r="U56" s="119">
        <f t="shared" si="32"/>
        <v>-13.999095775873529</v>
      </c>
      <c r="V56" s="119">
        <f t="shared" si="33"/>
        <v>-10.656769563472746</v>
      </c>
      <c r="W56" s="2"/>
      <c r="X56" s="84" t="s">
        <v>6</v>
      </c>
      <c r="Y56" s="129">
        <v>34.754204556029912</v>
      </c>
    </row>
    <row r="57" spans="2:25" x14ac:dyDescent="0.25">
      <c r="B57" s="84" t="s">
        <v>7</v>
      </c>
      <c r="C57" s="87">
        <f t="shared" si="18"/>
        <v>127.09055149886017</v>
      </c>
      <c r="D57" s="90">
        <f t="shared" si="19"/>
        <v>125.92695935711299</v>
      </c>
      <c r="E57" s="90">
        <f t="shared" si="20"/>
        <v>1.1635921417471802</v>
      </c>
      <c r="F57" s="87">
        <f t="shared" si="21"/>
        <v>104.59506600751823</v>
      </c>
      <c r="G57" s="87">
        <f t="shared" si="22"/>
        <v>-20.168301207847584</v>
      </c>
      <c r="H57" s="87">
        <f t="shared" si="29"/>
        <v>-0.37504703908570591</v>
      </c>
      <c r="I57" s="87">
        <f t="shared" si="30"/>
        <v>-4.1750470390857064</v>
      </c>
      <c r="K57" s="84" t="s">
        <v>7</v>
      </c>
      <c r="L57" s="90">
        <f t="shared" si="23"/>
        <v>0.2113891215</v>
      </c>
      <c r="M57" s="93">
        <f t="shared" si="24"/>
        <v>-21.120504228094763</v>
      </c>
      <c r="N57" s="93">
        <f t="shared" si="25"/>
        <v>-19.679261972447943</v>
      </c>
      <c r="O57" s="93">
        <f t="shared" si="26"/>
        <v>-1.327250059332886</v>
      </c>
      <c r="P57" s="93">
        <f t="shared" si="27"/>
        <v>-5.1272500593328862</v>
      </c>
      <c r="Q57" s="2"/>
      <c r="R57" s="84" t="s">
        <v>7</v>
      </c>
      <c r="S57" s="114">
        <f t="shared" si="31"/>
        <v>8.3136108498329691</v>
      </c>
      <c r="T57" s="114">
        <f t="shared" si="28"/>
        <v>4.5145626637454681</v>
      </c>
      <c r="U57" s="119">
        <f t="shared" si="32"/>
        <v>-8.1022217283329692</v>
      </c>
      <c r="V57" s="119">
        <f t="shared" si="33"/>
        <v>-3.3509705219982879</v>
      </c>
      <c r="W57" s="2"/>
      <c r="X57" s="84" t="s">
        <v>7</v>
      </c>
      <c r="Y57" s="129">
        <v>34.754204556029912</v>
      </c>
    </row>
    <row r="58" spans="2:25" x14ac:dyDescent="0.25">
      <c r="B58" s="84" t="s">
        <v>8</v>
      </c>
      <c r="C58" s="87">
        <f t="shared" si="18"/>
        <v>1792.6867227891537</v>
      </c>
      <c r="D58" s="90">
        <f t="shared" si="19"/>
        <v>1489.3227430413801</v>
      </c>
      <c r="E58" s="90">
        <f t="shared" si="20"/>
        <v>299.65584925157799</v>
      </c>
      <c r="F58" s="87">
        <f t="shared" si="21"/>
        <v>1085.2318296519857</v>
      </c>
      <c r="G58" s="87">
        <f t="shared" si="22"/>
        <v>-104.4350641378166</v>
      </c>
      <c r="H58" s="87">
        <f t="shared" si="29"/>
        <v>315.60255058829819</v>
      </c>
      <c r="I58" s="87">
        <f t="shared" si="30"/>
        <v>281.80255058829817</v>
      </c>
      <c r="K58" s="84" t="s">
        <v>8</v>
      </c>
      <c r="L58" s="90">
        <f t="shared" si="23"/>
        <v>0.68418226249999992</v>
      </c>
      <c r="M58" s="93">
        <f t="shared" si="24"/>
        <v>-403.40673112689461</v>
      </c>
      <c r="N58" s="93">
        <f t="shared" si="25"/>
        <v>-435.89717049481692</v>
      </c>
      <c r="O58" s="93">
        <f t="shared" si="26"/>
        <v>16.630883599220173</v>
      </c>
      <c r="P58" s="93">
        <f t="shared" si="27"/>
        <v>-17.169116400779824</v>
      </c>
      <c r="Q58" s="2"/>
      <c r="R58" s="84" t="s">
        <v>8</v>
      </c>
      <c r="S58" s="114">
        <f t="shared" si="31"/>
        <v>26.907841994997209</v>
      </c>
      <c r="T58" s="114">
        <f t="shared" si="28"/>
        <v>63.680552574899473</v>
      </c>
      <c r="U58" s="119">
        <f t="shared" si="32"/>
        <v>-26.223659732497211</v>
      </c>
      <c r="V58" s="119">
        <f t="shared" si="33"/>
        <v>235.97529667667851</v>
      </c>
      <c r="W58" s="2"/>
      <c r="X58" s="84" t="s">
        <v>8</v>
      </c>
      <c r="Y58" s="129">
        <v>34.754204556029912</v>
      </c>
    </row>
    <row r="59" spans="2:25" x14ac:dyDescent="0.25">
      <c r="B59" s="84" t="s">
        <v>9</v>
      </c>
      <c r="C59" s="87">
        <f t="shared" si="18"/>
        <v>84.126065227973911</v>
      </c>
      <c r="D59" s="90">
        <f t="shared" si="19"/>
        <v>73.6575573141738</v>
      </c>
      <c r="E59" s="90">
        <f t="shared" si="20"/>
        <v>10.468507913800099</v>
      </c>
      <c r="F59" s="87">
        <f t="shared" si="21"/>
        <v>-547.28504330079875</v>
      </c>
      <c r="G59" s="87">
        <f t="shared" si="22"/>
        <v>-610.47409270117248</v>
      </c>
      <c r="H59" s="87">
        <f t="shared" si="29"/>
        <v>123.63518989675134</v>
      </c>
      <c r="I59" s="87">
        <f t="shared" si="30"/>
        <v>100.13518989675134</v>
      </c>
      <c r="K59" s="84" t="s">
        <v>9</v>
      </c>
      <c r="L59" s="90">
        <f t="shared" si="23"/>
        <v>0.20175686630174622</v>
      </c>
      <c r="M59" s="93">
        <f t="shared" si="24"/>
        <v>-620.74084374867084</v>
      </c>
      <c r="N59" s="93">
        <f t="shared" si="25"/>
        <v>-734.67548747295166</v>
      </c>
      <c r="O59" s="93">
        <f t="shared" si="26"/>
        <v>113.368438849253</v>
      </c>
      <c r="P59" s="93">
        <f t="shared" si="27"/>
        <v>89.868438849252996</v>
      </c>
      <c r="Q59" s="2"/>
      <c r="R59" s="84" t="s">
        <v>9</v>
      </c>
      <c r="S59" s="114">
        <f t="shared" si="31"/>
        <v>7.9347889844676658</v>
      </c>
      <c r="T59" s="114">
        <f t="shared" si="28"/>
        <v>2.9883605716309529</v>
      </c>
      <c r="U59" s="119">
        <f t="shared" si="32"/>
        <v>-7.7330321181659194</v>
      </c>
      <c r="V59" s="119">
        <f t="shared" si="33"/>
        <v>7.4801473421691469</v>
      </c>
      <c r="W59" s="2"/>
      <c r="X59" s="84" t="s">
        <v>9</v>
      </c>
      <c r="Y59" s="129">
        <v>34.754204556029912</v>
      </c>
    </row>
    <row r="60" spans="2:25" x14ac:dyDescent="0.25">
      <c r="B60" s="84" t="s">
        <v>10</v>
      </c>
      <c r="C60" s="87">
        <f t="shared" si="18"/>
        <v>432.26930239887696</v>
      </c>
      <c r="D60" s="90">
        <f t="shared" si="19"/>
        <v>429.37449618124998</v>
      </c>
      <c r="E60" s="90">
        <f t="shared" si="20"/>
        <v>2.8948062176270102</v>
      </c>
      <c r="F60" s="87">
        <f t="shared" si="21"/>
        <v>298.9986874206129</v>
      </c>
      <c r="G60" s="87">
        <f t="shared" si="22"/>
        <v>-127.48100254301011</v>
      </c>
      <c r="H60" s="87">
        <f t="shared" si="29"/>
        <v>-24.940230234035152</v>
      </c>
      <c r="I60" s="87">
        <f t="shared" si="30"/>
        <v>-24.940230234035152</v>
      </c>
      <c r="K60" s="84" t="s">
        <v>10</v>
      </c>
      <c r="L60" s="90">
        <f t="shared" si="23"/>
        <v>0.22193034749999999</v>
      </c>
      <c r="M60" s="93">
        <f t="shared" si="24"/>
        <v>-130.15387841313711</v>
      </c>
      <c r="N60" s="93">
        <f t="shared" si="25"/>
        <v>-113.58959037284549</v>
      </c>
      <c r="O60" s="93">
        <f t="shared" si="26"/>
        <v>-27.613106104162163</v>
      </c>
      <c r="P60" s="93">
        <f t="shared" si="27"/>
        <v>-27.613106104162163</v>
      </c>
      <c r="Q60" s="2"/>
      <c r="R60" s="84" t="s">
        <v>10</v>
      </c>
      <c r="S60" s="114">
        <f t="shared" si="31"/>
        <v>8.728181146649975</v>
      </c>
      <c r="T60" s="114">
        <f t="shared" si="28"/>
        <v>15.355247343550724</v>
      </c>
      <c r="U60" s="119">
        <f t="shared" si="32"/>
        <v>-8.5062507991499743</v>
      </c>
      <c r="V60" s="119">
        <f t="shared" si="33"/>
        <v>-12.460441125923714</v>
      </c>
      <c r="W60" s="2"/>
      <c r="X60" s="84" t="s">
        <v>10</v>
      </c>
      <c r="Y60" s="129">
        <v>34.754204556029912</v>
      </c>
    </row>
    <row r="61" spans="2:25" ht="13.8" thickBot="1" x14ac:dyDescent="0.3">
      <c r="B61" s="88" t="s">
        <v>11</v>
      </c>
      <c r="C61" s="91">
        <f t="shared" si="18"/>
        <v>694.1108945760958</v>
      </c>
      <c r="D61" s="92">
        <f t="shared" si="19"/>
        <v>676.56990471432493</v>
      </c>
      <c r="E61" s="92">
        <f t="shared" si="20"/>
        <v>17.538306754422301</v>
      </c>
      <c r="F61" s="91">
        <f t="shared" si="21"/>
        <v>383.90295930500702</v>
      </c>
      <c r="G61" s="91">
        <f t="shared" si="22"/>
        <v>-275.12863865489561</v>
      </c>
      <c r="H61" s="91">
        <f t="shared" si="29"/>
        <v>-4.7132841157394445</v>
      </c>
      <c r="I61" s="91">
        <f t="shared" si="30"/>
        <v>-25.813284115739442</v>
      </c>
      <c r="K61" s="88" t="s">
        <v>11</v>
      </c>
      <c r="L61" s="92">
        <f t="shared" si="23"/>
        <v>0.77549348949999997</v>
      </c>
      <c r="M61" s="94">
        <f t="shared" si="24"/>
        <v>-291.89145191981794</v>
      </c>
      <c r="N61" s="94">
        <f t="shared" si="25"/>
        <v>-276.17600249483917</v>
      </c>
      <c r="O61" s="94">
        <f t="shared" si="26"/>
        <v>-21.476097380661745</v>
      </c>
      <c r="P61" s="94">
        <f t="shared" si="27"/>
        <v>-42.576097380661743</v>
      </c>
      <c r="Q61" s="2"/>
      <c r="R61" s="88" t="s">
        <v>11</v>
      </c>
      <c r="S61" s="115">
        <f t="shared" si="31"/>
        <v>30.49897290141314</v>
      </c>
      <c r="T61" s="115">
        <f t="shared" si="28"/>
        <v>24.656491707649192</v>
      </c>
      <c r="U61" s="121">
        <f t="shared" si="32"/>
        <v>-29.723479411913139</v>
      </c>
      <c r="V61" s="121">
        <f t="shared" si="33"/>
        <v>-7.1181849532268906</v>
      </c>
      <c r="W61" s="2"/>
      <c r="X61" s="88" t="s">
        <v>11</v>
      </c>
      <c r="Y61" s="129">
        <v>34.754204556029912</v>
      </c>
    </row>
    <row r="62" spans="2:25" ht="13.8" thickBot="1" x14ac:dyDescent="0.3">
      <c r="B62" s="2"/>
      <c r="F62" s="2"/>
      <c r="G62" s="45"/>
      <c r="H62" s="45"/>
      <c r="M62" s="2"/>
      <c r="O62" s="2"/>
      <c r="Q62" s="2"/>
      <c r="R62" s="88" t="s">
        <v>12</v>
      </c>
      <c r="S62" s="115">
        <f>SUM(S51:S61)</f>
        <v>194.61702120858448</v>
      </c>
      <c r="T62" s="115">
        <f>SUM(T51:T61)</f>
        <v>194.6170212085845</v>
      </c>
      <c r="U62" s="122">
        <f t="shared" si="32"/>
        <v>-194.61702120858448</v>
      </c>
      <c r="V62" s="122">
        <f t="shared" si="33"/>
        <v>-194.6170212085845</v>
      </c>
      <c r="W62" s="2"/>
      <c r="X62" s="88" t="s">
        <v>12</v>
      </c>
      <c r="Y62" s="124">
        <f>SUM(Y51:Y61)</f>
        <v>382.29625011632896</v>
      </c>
    </row>
    <row r="63" spans="2:25" x14ac:dyDescent="0.25">
      <c r="B63" s="2"/>
      <c r="C63"/>
      <c r="D63"/>
      <c r="F63" s="2"/>
      <c r="G63"/>
      <c r="H63"/>
      <c r="I63"/>
      <c r="J63"/>
      <c r="K63"/>
      <c r="L63"/>
      <c r="N63"/>
      <c r="P63"/>
      <c r="R63"/>
      <c r="U63"/>
    </row>
    <row r="64" spans="2:25" x14ac:dyDescent="0.25">
      <c r="B64" s="2"/>
      <c r="C64"/>
      <c r="D64"/>
      <c r="F64" s="2"/>
      <c r="G64"/>
      <c r="H64"/>
      <c r="I64"/>
      <c r="J64"/>
      <c r="K64"/>
      <c r="L64"/>
      <c r="N64"/>
      <c r="P64"/>
      <c r="R64"/>
      <c r="U64"/>
    </row>
    <row r="65" spans="2:21" x14ac:dyDescent="0.25">
      <c r="B65" s="2"/>
      <c r="C65"/>
      <c r="D65"/>
      <c r="F65" s="2"/>
      <c r="G65"/>
      <c r="H65"/>
      <c r="I65"/>
      <c r="J65"/>
      <c r="K65"/>
      <c r="L65"/>
      <c r="N65"/>
      <c r="P65"/>
      <c r="R65"/>
      <c r="U65"/>
    </row>
    <row r="66" spans="2:21" x14ac:dyDescent="0.25">
      <c r="C66"/>
      <c r="D66"/>
      <c r="E66"/>
      <c r="G66"/>
      <c r="H66"/>
      <c r="I66"/>
      <c r="J66"/>
      <c r="K66"/>
      <c r="L66"/>
      <c r="N66"/>
      <c r="P66"/>
      <c r="R66"/>
      <c r="U66"/>
    </row>
    <row r="67" spans="2:21" x14ac:dyDescent="0.25">
      <c r="C67"/>
      <c r="D67"/>
      <c r="E67"/>
      <c r="G67"/>
      <c r="H67"/>
      <c r="I67"/>
      <c r="J67"/>
      <c r="K67"/>
      <c r="L67"/>
      <c r="N67"/>
      <c r="P67"/>
      <c r="R67"/>
      <c r="U67"/>
    </row>
    <row r="68" spans="2:21" x14ac:dyDescent="0.25">
      <c r="C68"/>
      <c r="D68"/>
      <c r="E68"/>
      <c r="G68"/>
      <c r="H68"/>
      <c r="I68"/>
      <c r="J68"/>
      <c r="K68"/>
      <c r="L68"/>
      <c r="N68"/>
      <c r="P68"/>
      <c r="R68"/>
      <c r="U68"/>
    </row>
    <row r="69" spans="2:21" x14ac:dyDescent="0.25">
      <c r="B69" s="2"/>
      <c r="C69"/>
      <c r="D69"/>
      <c r="F69" s="2"/>
      <c r="G69"/>
      <c r="H69"/>
      <c r="I69"/>
      <c r="J69"/>
      <c r="K69"/>
      <c r="L69"/>
      <c r="N69"/>
      <c r="P69"/>
      <c r="R69"/>
      <c r="U69"/>
    </row>
    <row r="70" spans="2:21" x14ac:dyDescent="0.25">
      <c r="B70" s="2"/>
      <c r="C70"/>
      <c r="D70"/>
      <c r="F70" s="2"/>
      <c r="G70"/>
      <c r="H70"/>
      <c r="I70"/>
      <c r="J70"/>
      <c r="K70"/>
      <c r="L70"/>
      <c r="N70"/>
      <c r="P70"/>
      <c r="R70"/>
      <c r="U70"/>
    </row>
    <row r="71" spans="2:21" x14ac:dyDescent="0.25">
      <c r="B71" s="2"/>
      <c r="C71"/>
      <c r="D71"/>
      <c r="F71" s="2"/>
      <c r="G71"/>
      <c r="H71"/>
      <c r="I71"/>
      <c r="J71"/>
      <c r="K71"/>
      <c r="L71"/>
      <c r="N71"/>
      <c r="P71"/>
      <c r="R71"/>
      <c r="U71"/>
    </row>
    <row r="72" spans="2:21" x14ac:dyDescent="0.25">
      <c r="B72" s="2"/>
      <c r="C72"/>
      <c r="D72"/>
      <c r="F72" s="2"/>
      <c r="G72"/>
      <c r="H72"/>
      <c r="I72"/>
      <c r="J72"/>
      <c r="K72"/>
      <c r="L72"/>
      <c r="N72"/>
      <c r="P72"/>
      <c r="R72"/>
      <c r="U72"/>
    </row>
    <row r="73" spans="2:21" x14ac:dyDescent="0.25">
      <c r="B73" s="2"/>
      <c r="C73"/>
      <c r="D73"/>
      <c r="F73" s="2"/>
      <c r="G73"/>
      <c r="H73"/>
      <c r="I73"/>
      <c r="J73"/>
      <c r="K73"/>
      <c r="L73"/>
      <c r="N73"/>
      <c r="P73"/>
      <c r="R73"/>
      <c r="U73"/>
    </row>
    <row r="74" spans="2:21" x14ac:dyDescent="0.25">
      <c r="B74" s="2"/>
      <c r="C74"/>
      <c r="D74"/>
      <c r="F74" s="2"/>
      <c r="G74"/>
      <c r="H74"/>
      <c r="I74"/>
      <c r="J74"/>
      <c r="K74"/>
      <c r="L74"/>
      <c r="N74"/>
      <c r="P74"/>
      <c r="R74"/>
      <c r="U74"/>
    </row>
    <row r="75" spans="2:21" x14ac:dyDescent="0.25">
      <c r="B75" s="2"/>
      <c r="C75"/>
      <c r="D75"/>
      <c r="F75" s="2"/>
      <c r="G75"/>
      <c r="H75"/>
      <c r="I75"/>
      <c r="J75"/>
      <c r="K75"/>
      <c r="L75"/>
      <c r="N75"/>
      <c r="P75"/>
      <c r="R75"/>
      <c r="U75"/>
    </row>
    <row r="76" spans="2:21" x14ac:dyDescent="0.25">
      <c r="B76" s="2"/>
      <c r="C76"/>
      <c r="D76"/>
      <c r="F76" s="2"/>
      <c r="G76"/>
      <c r="H76"/>
      <c r="I76"/>
      <c r="J76"/>
      <c r="K76"/>
      <c r="L76"/>
      <c r="N76"/>
      <c r="P76"/>
      <c r="R76"/>
      <c r="U76"/>
    </row>
    <row r="77" spans="2:21" x14ac:dyDescent="0.25">
      <c r="B77" s="2"/>
      <c r="C77"/>
      <c r="D77"/>
      <c r="F77" s="2"/>
      <c r="G77"/>
      <c r="H77"/>
      <c r="I77"/>
      <c r="J77"/>
      <c r="K77"/>
      <c r="L77"/>
      <c r="N77"/>
      <c r="P77"/>
      <c r="R77"/>
      <c r="U77"/>
    </row>
    <row r="78" spans="2:21" x14ac:dyDescent="0.25">
      <c r="B78" s="2"/>
      <c r="C78"/>
      <c r="D78"/>
      <c r="F78" s="2"/>
      <c r="G78"/>
      <c r="H78"/>
      <c r="I78"/>
      <c r="J78"/>
      <c r="K78"/>
      <c r="L78"/>
      <c r="N78"/>
      <c r="P78"/>
      <c r="R78"/>
      <c r="U78"/>
    </row>
    <row r="79" spans="2:21" x14ac:dyDescent="0.25">
      <c r="B79" s="2"/>
      <c r="C79"/>
      <c r="D79"/>
      <c r="F79" s="2"/>
      <c r="G79"/>
      <c r="H79"/>
      <c r="I79"/>
      <c r="J79"/>
      <c r="K79"/>
      <c r="L79"/>
      <c r="N79"/>
      <c r="P79"/>
      <c r="R79"/>
      <c r="U79"/>
    </row>
    <row r="80" spans="2:21" x14ac:dyDescent="0.25">
      <c r="B80" s="2"/>
      <c r="C80"/>
      <c r="D80"/>
      <c r="F80" s="2"/>
      <c r="G80"/>
      <c r="H80"/>
      <c r="I80"/>
      <c r="J80"/>
      <c r="K80"/>
      <c r="L80"/>
      <c r="N80"/>
      <c r="P80"/>
      <c r="R80"/>
      <c r="U80"/>
    </row>
    <row r="81" spans="2:21" x14ac:dyDescent="0.25">
      <c r="B81" s="2"/>
      <c r="C81"/>
      <c r="D81"/>
      <c r="F81" s="2"/>
      <c r="G81"/>
      <c r="H81"/>
      <c r="I81"/>
      <c r="J81"/>
      <c r="K81"/>
      <c r="L81"/>
      <c r="N81"/>
      <c r="P81"/>
      <c r="R81"/>
      <c r="U81"/>
    </row>
    <row r="82" spans="2:21" x14ac:dyDescent="0.25">
      <c r="B82" s="2"/>
      <c r="C82"/>
      <c r="D82"/>
      <c r="F82" s="2"/>
      <c r="G82"/>
      <c r="H82"/>
      <c r="I82"/>
      <c r="J82"/>
      <c r="K82"/>
      <c r="L82"/>
      <c r="N82"/>
      <c r="P82"/>
      <c r="R82"/>
      <c r="U82"/>
    </row>
    <row r="83" spans="2:21" x14ac:dyDescent="0.25">
      <c r="B83" s="2"/>
      <c r="C83"/>
      <c r="D83"/>
      <c r="F83" s="2"/>
      <c r="G83"/>
      <c r="H83"/>
      <c r="I83"/>
      <c r="J83"/>
      <c r="K83"/>
      <c r="L83"/>
      <c r="N83"/>
      <c r="P83"/>
      <c r="R83"/>
      <c r="U83"/>
    </row>
    <row r="84" spans="2:21" x14ac:dyDescent="0.25">
      <c r="B84" s="2"/>
      <c r="C84"/>
      <c r="D84"/>
      <c r="F84" s="2"/>
      <c r="G84"/>
      <c r="H84"/>
      <c r="I84"/>
      <c r="J84"/>
      <c r="K84"/>
      <c r="L84"/>
      <c r="N84"/>
      <c r="P84"/>
      <c r="R84"/>
      <c r="U84"/>
    </row>
    <row r="85" spans="2:21" x14ac:dyDescent="0.25">
      <c r="B85" s="2"/>
      <c r="C85"/>
      <c r="D85"/>
      <c r="F85" s="2"/>
      <c r="G85"/>
      <c r="H85"/>
      <c r="I85"/>
      <c r="J85"/>
      <c r="K85"/>
      <c r="L85"/>
      <c r="N85"/>
      <c r="P85"/>
      <c r="R85"/>
      <c r="U85"/>
    </row>
    <row r="86" spans="2:21" x14ac:dyDescent="0.25">
      <c r="B86" s="2"/>
      <c r="C86"/>
      <c r="D86"/>
      <c r="F86" s="2"/>
      <c r="G86"/>
      <c r="H86"/>
      <c r="I86"/>
      <c r="J86"/>
      <c r="K86"/>
      <c r="L86"/>
      <c r="N86"/>
      <c r="P86"/>
      <c r="R86"/>
      <c r="U86"/>
    </row>
    <row r="87" spans="2:21" x14ac:dyDescent="0.25">
      <c r="B87" s="2"/>
      <c r="C87"/>
      <c r="D87"/>
      <c r="F87" s="2"/>
      <c r="G87"/>
      <c r="H87"/>
      <c r="I87"/>
      <c r="J87"/>
      <c r="K87"/>
      <c r="L87"/>
      <c r="N87"/>
      <c r="P87"/>
      <c r="R87"/>
      <c r="U87"/>
    </row>
    <row r="88" spans="2:21" x14ac:dyDescent="0.25">
      <c r="B88" s="2"/>
      <c r="C88"/>
      <c r="D88"/>
      <c r="F88" s="2"/>
      <c r="G88"/>
      <c r="H88"/>
      <c r="I88"/>
      <c r="J88"/>
      <c r="K88"/>
      <c r="L88"/>
      <c r="N88"/>
      <c r="P88"/>
      <c r="R88"/>
      <c r="U88"/>
    </row>
    <row r="89" spans="2:21" x14ac:dyDescent="0.25">
      <c r="B89" s="2"/>
      <c r="C89"/>
      <c r="D89"/>
      <c r="F89" s="2"/>
      <c r="G89"/>
      <c r="H89"/>
      <c r="I89"/>
      <c r="J89"/>
      <c r="K89"/>
      <c r="L89"/>
      <c r="N89"/>
      <c r="P89"/>
      <c r="R89"/>
      <c r="U89"/>
    </row>
    <row r="90" spans="2:21" x14ac:dyDescent="0.25">
      <c r="B90" s="2"/>
      <c r="C90"/>
      <c r="D90"/>
      <c r="F90" s="2"/>
      <c r="G90"/>
      <c r="H90"/>
      <c r="I90"/>
      <c r="J90"/>
      <c r="K90"/>
      <c r="L90"/>
      <c r="N90"/>
      <c r="P90"/>
      <c r="R90"/>
      <c r="U90"/>
    </row>
    <row r="91" spans="2:21" x14ac:dyDescent="0.25">
      <c r="B91" s="2"/>
      <c r="C91"/>
      <c r="D91"/>
      <c r="F91" s="2"/>
      <c r="G91"/>
      <c r="H91"/>
      <c r="I91"/>
      <c r="J91"/>
      <c r="K91"/>
      <c r="L91"/>
      <c r="N91"/>
      <c r="P91"/>
      <c r="R91"/>
      <c r="U91"/>
    </row>
    <row r="92" spans="2:21" x14ac:dyDescent="0.25">
      <c r="B92" s="2"/>
      <c r="C92"/>
      <c r="D92"/>
      <c r="F92" s="2"/>
      <c r="G92"/>
      <c r="H92"/>
      <c r="I92"/>
      <c r="J92"/>
      <c r="K92"/>
      <c r="L92"/>
      <c r="N92"/>
      <c r="P92"/>
      <c r="R92"/>
      <c r="U92"/>
    </row>
    <row r="93" spans="2:21" x14ac:dyDescent="0.25">
      <c r="B93" s="2"/>
      <c r="C93"/>
      <c r="D93"/>
      <c r="F93" s="2"/>
      <c r="G93"/>
      <c r="H93"/>
      <c r="I93"/>
      <c r="J93"/>
      <c r="K93"/>
      <c r="L93"/>
      <c r="N93"/>
      <c r="P93"/>
      <c r="R93"/>
      <c r="U93"/>
    </row>
    <row r="94" spans="2:21" x14ac:dyDescent="0.25">
      <c r="B94" s="2"/>
      <c r="C94"/>
      <c r="D94"/>
      <c r="F94" s="2"/>
      <c r="G94"/>
      <c r="H94"/>
      <c r="I94"/>
      <c r="J94"/>
      <c r="K94"/>
      <c r="L94"/>
      <c r="N94"/>
      <c r="P94"/>
      <c r="R94"/>
      <c r="U94"/>
    </row>
    <row r="95" spans="2:21" x14ac:dyDescent="0.25">
      <c r="B95" s="2"/>
      <c r="C95"/>
      <c r="D95"/>
      <c r="F95" s="2"/>
      <c r="G95"/>
      <c r="H95"/>
      <c r="I95"/>
      <c r="J95"/>
      <c r="K95"/>
      <c r="L95"/>
      <c r="N95"/>
      <c r="P95"/>
      <c r="R95"/>
      <c r="U95"/>
    </row>
    <row r="96" spans="2:21" x14ac:dyDescent="0.25">
      <c r="B96" s="2"/>
      <c r="C96"/>
      <c r="D96"/>
      <c r="F96" s="2"/>
      <c r="G96"/>
      <c r="H96"/>
      <c r="I96"/>
      <c r="J96"/>
      <c r="K96"/>
      <c r="L96"/>
      <c r="N96"/>
      <c r="P96"/>
      <c r="R96"/>
      <c r="U96"/>
    </row>
    <row r="97" spans="2:21" x14ac:dyDescent="0.25">
      <c r="B97" s="2"/>
      <c r="C97"/>
      <c r="D97"/>
      <c r="F97" s="2"/>
      <c r="G97"/>
      <c r="H97"/>
      <c r="I97"/>
      <c r="J97"/>
      <c r="K97"/>
      <c r="L97"/>
      <c r="N97"/>
      <c r="P97"/>
      <c r="R97"/>
      <c r="U97"/>
    </row>
    <row r="98" spans="2:21" x14ac:dyDescent="0.25">
      <c r="B98" s="2"/>
      <c r="C98"/>
      <c r="D98"/>
      <c r="F98" s="2"/>
      <c r="G98"/>
      <c r="H98"/>
      <c r="I98"/>
      <c r="J98"/>
      <c r="K98"/>
      <c r="L98"/>
      <c r="N98"/>
      <c r="P98"/>
      <c r="R98"/>
      <c r="U98"/>
    </row>
    <row r="99" spans="2:21" x14ac:dyDescent="0.25">
      <c r="B99" s="2"/>
      <c r="C99"/>
      <c r="D99"/>
      <c r="F99" s="2"/>
      <c r="G99"/>
      <c r="H99"/>
      <c r="I99"/>
      <c r="J99"/>
      <c r="K99"/>
      <c r="L99"/>
      <c r="N99"/>
      <c r="P99"/>
      <c r="R99"/>
      <c r="U99"/>
    </row>
    <row r="100" spans="2:21" x14ac:dyDescent="0.25">
      <c r="B100" s="2"/>
      <c r="C100"/>
      <c r="D100"/>
      <c r="F100" s="2"/>
      <c r="G100"/>
      <c r="H100"/>
      <c r="I100"/>
      <c r="J100"/>
      <c r="K100"/>
      <c r="L100"/>
      <c r="N100"/>
      <c r="P100"/>
      <c r="R100"/>
      <c r="U100"/>
    </row>
  </sheetData>
  <mergeCells count="14">
    <mergeCell ref="X17:Y17"/>
    <mergeCell ref="X18:Y18"/>
    <mergeCell ref="B18:I18"/>
    <mergeCell ref="K18:P18"/>
    <mergeCell ref="B2:L2"/>
    <mergeCell ref="R17:V17"/>
    <mergeCell ref="R18:V18"/>
    <mergeCell ref="B33:L33"/>
    <mergeCell ref="R48:V48"/>
    <mergeCell ref="X48:Y48"/>
    <mergeCell ref="B49:I49"/>
    <mergeCell ref="K49:P49"/>
    <mergeCell ref="R49:V49"/>
    <mergeCell ref="X49:Y4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AF318-81FA-4E34-B4E9-844C01079F02}">
  <dimension ref="A1:R632"/>
  <sheetViews>
    <sheetView showGridLines="0" topLeftCell="A235" zoomScale="66" zoomScaleNormal="60" workbookViewId="0">
      <selection activeCell="P288" sqref="P288"/>
    </sheetView>
  </sheetViews>
  <sheetFormatPr defaultColWidth="12.6640625" defaultRowHeight="15" customHeight="1" x14ac:dyDescent="0.25"/>
  <cols>
    <col min="1" max="1" width="8.6640625" style="2" customWidth="1"/>
    <col min="2" max="2" width="15.109375" style="2" bestFit="1" customWidth="1"/>
    <col min="3" max="3" width="16.33203125" style="2" bestFit="1" customWidth="1"/>
    <col min="4" max="4" width="13.21875" style="2" customWidth="1"/>
    <col min="5" max="5" width="8.44140625" style="2" customWidth="1"/>
    <col min="6" max="6" width="13.33203125" style="2" customWidth="1"/>
    <col min="7" max="7" width="14" style="2" bestFit="1" customWidth="1"/>
    <col min="8" max="8" width="14.21875" style="2" bestFit="1" customWidth="1"/>
    <col min="9" max="9" width="20.21875" style="2" bestFit="1" customWidth="1"/>
    <col min="10" max="13" width="16.109375" style="2" customWidth="1"/>
    <col min="14" max="14" width="20" style="2" customWidth="1"/>
    <col min="15" max="17" width="12.6640625" style="2"/>
    <col min="18" max="18" width="16.33203125" style="2" bestFit="1" customWidth="1"/>
    <col min="19" max="16384" width="12.6640625" style="2"/>
  </cols>
  <sheetData>
    <row r="1" spans="1:18" ht="25.05" customHeight="1" x14ac:dyDescent="0.25">
      <c r="A1" s="211" t="s">
        <v>96</v>
      </c>
      <c r="B1" s="211"/>
      <c r="C1" s="211"/>
      <c r="D1" s="211"/>
      <c r="E1" s="211"/>
      <c r="F1" s="211"/>
    </row>
    <row r="2" spans="1:18" ht="12.75" customHeight="1" x14ac:dyDescent="0.25">
      <c r="D2" s="1"/>
    </row>
    <row r="3" spans="1:18" ht="12.75" customHeight="1" x14ac:dyDescent="0.25"/>
    <row r="4" spans="1:18" ht="21" customHeight="1" thickBot="1" x14ac:dyDescent="0.35">
      <c r="B4" s="209" t="s">
        <v>110</v>
      </c>
      <c r="C4" s="209"/>
      <c r="D4" s="209"/>
      <c r="E4" s="209"/>
      <c r="F4" s="209"/>
      <c r="G4" s="209"/>
      <c r="H4" s="209"/>
      <c r="I4" s="209"/>
    </row>
    <row r="5" spans="1:18" s="8" customFormat="1" ht="40.200000000000003" customHeight="1" thickBot="1" x14ac:dyDescent="0.3">
      <c r="B5" s="36" t="s">
        <v>20</v>
      </c>
      <c r="C5" s="37" t="s">
        <v>47</v>
      </c>
      <c r="D5" s="37" t="s">
        <v>46</v>
      </c>
      <c r="E5" s="37" t="s">
        <v>30</v>
      </c>
      <c r="F5" s="37" t="s">
        <v>17</v>
      </c>
      <c r="G5" s="37" t="s">
        <v>31</v>
      </c>
      <c r="H5" s="37" t="s">
        <v>136</v>
      </c>
      <c r="I5" s="37" t="s">
        <v>21</v>
      </c>
    </row>
    <row r="6" spans="1:18" ht="12.75" customHeight="1" x14ac:dyDescent="0.25">
      <c r="B6" s="4"/>
      <c r="C6" s="26">
        <v>0</v>
      </c>
      <c r="D6" s="26">
        <v>0</v>
      </c>
      <c r="E6" s="50">
        <v>0</v>
      </c>
      <c r="F6" s="50">
        <v>0</v>
      </c>
      <c r="G6" s="50">
        <v>0</v>
      </c>
      <c r="H6" s="51">
        <f>F6</f>
        <v>0</v>
      </c>
      <c r="I6" s="50">
        <v>0</v>
      </c>
      <c r="P6" s="18"/>
      <c r="Q6" s="14"/>
      <c r="R6" s="15"/>
    </row>
    <row r="7" spans="1:18" ht="12.75" customHeight="1" x14ac:dyDescent="0.25">
      <c r="B7" s="84" t="s">
        <v>3</v>
      </c>
      <c r="C7" s="29">
        <v>3.3803673657372775</v>
      </c>
      <c r="D7" s="29">
        <v>83.946549000000005</v>
      </c>
      <c r="E7" s="50">
        <f t="shared" ref="E7:E17" si="0">C7/$C$18</f>
        <v>1.6224065801728926E-3</v>
      </c>
      <c r="F7" s="50">
        <f t="shared" ref="F7:F17" si="1">D7/$D$18</f>
        <v>0.31383459282660014</v>
      </c>
      <c r="G7" s="50">
        <f t="shared" ref="G7:G17" si="2">G6+E7</f>
        <v>1.6224065801728926E-3</v>
      </c>
      <c r="H7" s="51">
        <f t="shared" ref="H7:H17" si="3">F7+H6</f>
        <v>0.31383459282660014</v>
      </c>
      <c r="I7" s="50">
        <f t="shared" ref="I7:I17" si="4">(G6+G7)*0.5*(H7-H6)</f>
        <v>2.5458365424387827E-4</v>
      </c>
      <c r="P7" s="18"/>
      <c r="Q7" s="14"/>
      <c r="R7" s="15"/>
    </row>
    <row r="8" spans="1:18" ht="12.75" customHeight="1" x14ac:dyDescent="0.25">
      <c r="B8" s="84" t="s">
        <v>4</v>
      </c>
      <c r="C8" s="29">
        <v>14.400136359321918</v>
      </c>
      <c r="D8" s="29">
        <v>1.2901100000000001</v>
      </c>
      <c r="E8" s="50">
        <f t="shared" si="0"/>
        <v>6.9113423060322386E-3</v>
      </c>
      <c r="F8" s="50">
        <f t="shared" si="1"/>
        <v>4.8230826802841548E-3</v>
      </c>
      <c r="G8" s="50">
        <f t="shared" si="2"/>
        <v>8.5337488862051308E-3</v>
      </c>
      <c r="H8" s="51">
        <f t="shared" si="3"/>
        <v>0.31865767550688429</v>
      </c>
      <c r="I8" s="50">
        <f t="shared" si="4"/>
        <v>2.4491988764080472E-5</v>
      </c>
      <c r="P8" s="18"/>
      <c r="Q8" s="14"/>
      <c r="R8" s="15"/>
    </row>
    <row r="9" spans="1:18" ht="12.75" customHeight="1" x14ac:dyDescent="0.25">
      <c r="B9" s="84" t="s">
        <v>1</v>
      </c>
      <c r="C9" s="29">
        <v>15.589621527401139</v>
      </c>
      <c r="D9" s="29">
        <v>6.169632</v>
      </c>
      <c r="E9" s="50">
        <f t="shared" si="0"/>
        <v>7.4822354531115009E-3</v>
      </c>
      <c r="F9" s="50">
        <f t="shared" si="1"/>
        <v>2.3065200054977395E-2</v>
      </c>
      <c r="G9" s="50">
        <f t="shared" si="2"/>
        <v>1.6015984339316631E-2</v>
      </c>
      <c r="H9" s="51">
        <f t="shared" si="3"/>
        <v>0.34172287556186171</v>
      </c>
      <c r="I9" s="50">
        <f t="shared" si="4"/>
        <v>2.8312225407149276E-4</v>
      </c>
      <c r="P9" s="18"/>
      <c r="Q9" s="14"/>
      <c r="R9" s="15"/>
    </row>
    <row r="10" spans="1:18" ht="12.75" customHeight="1" x14ac:dyDescent="0.25">
      <c r="B10" s="84" t="s">
        <v>7</v>
      </c>
      <c r="C10" s="29">
        <v>21.331893349594765</v>
      </c>
      <c r="D10" s="29">
        <v>11.426439</v>
      </c>
      <c r="E10" s="50">
        <f t="shared" si="0"/>
        <v>1.0238237562200726E-2</v>
      </c>
      <c r="F10" s="50">
        <f t="shared" si="1"/>
        <v>4.2717799287055672E-2</v>
      </c>
      <c r="G10" s="50">
        <f t="shared" si="2"/>
        <v>2.6254221901517355E-2</v>
      </c>
      <c r="H10" s="51">
        <f t="shared" si="3"/>
        <v>0.38444067484891736</v>
      </c>
      <c r="I10" s="50">
        <f t="shared" si="4"/>
        <v>9.028450930091968E-4</v>
      </c>
      <c r="P10" s="18"/>
      <c r="Q10" s="14"/>
      <c r="R10" s="15"/>
    </row>
    <row r="11" spans="1:18" ht="12.75" customHeight="1" x14ac:dyDescent="0.25">
      <c r="B11" s="84" t="s">
        <v>2</v>
      </c>
      <c r="C11" s="29">
        <v>23.724017140818511</v>
      </c>
      <c r="D11" s="29">
        <v>3.8753060000000001</v>
      </c>
      <c r="E11" s="50">
        <f t="shared" si="0"/>
        <v>1.1386336854250027E-2</v>
      </c>
      <c r="F11" s="50">
        <f t="shared" si="1"/>
        <v>1.4487850841712153E-2</v>
      </c>
      <c r="G11" s="50">
        <f t="shared" si="2"/>
        <v>3.7640558755767384E-2</v>
      </c>
      <c r="H11" s="51">
        <f t="shared" si="3"/>
        <v>0.39892852569062953</v>
      </c>
      <c r="I11" s="50">
        <f t="shared" si="4"/>
        <v>4.6284902586332855E-4</v>
      </c>
      <c r="P11" s="18"/>
      <c r="Q11" s="14"/>
      <c r="R11" s="15"/>
    </row>
    <row r="12" spans="1:18" ht="12.75" customHeight="1" x14ac:dyDescent="0.25">
      <c r="B12" s="84" t="s">
        <v>6</v>
      </c>
      <c r="C12" s="29">
        <v>72.980329509151488</v>
      </c>
      <c r="D12" s="29">
        <v>19.742709999999999</v>
      </c>
      <c r="E12" s="50">
        <f t="shared" si="0"/>
        <v>3.5026893236205635E-2</v>
      </c>
      <c r="F12" s="50">
        <f t="shared" si="1"/>
        <v>7.3808219967966118E-2</v>
      </c>
      <c r="G12" s="50">
        <f t="shared" si="2"/>
        <v>7.2667451991973026E-2</v>
      </c>
      <c r="H12" s="51">
        <f t="shared" si="3"/>
        <v>0.47273674565859564</v>
      </c>
      <c r="I12" s="50">
        <f t="shared" si="4"/>
        <v>4.0708189607489963E-3</v>
      </c>
      <c r="P12" s="18"/>
      <c r="Q12" s="14"/>
      <c r="R12" s="15"/>
    </row>
    <row r="13" spans="1:18" ht="12.75" customHeight="1" x14ac:dyDescent="0.25">
      <c r="B13" s="84" t="s">
        <v>10</v>
      </c>
      <c r="C13" s="29">
        <v>130.37580876063711</v>
      </c>
      <c r="D13" s="29">
        <v>11.996235</v>
      </c>
      <c r="E13" s="50">
        <f t="shared" si="0"/>
        <v>6.2573840989168947E-2</v>
      </c>
      <c r="F13" s="50">
        <f t="shared" si="1"/>
        <v>4.4847984479709932E-2</v>
      </c>
      <c r="G13" s="50">
        <f t="shared" si="2"/>
        <v>0.13524129298114196</v>
      </c>
      <c r="H13" s="51">
        <f t="shared" si="3"/>
        <v>0.51758473013830553</v>
      </c>
      <c r="I13" s="50">
        <f t="shared" si="4"/>
        <v>4.6621440838751109E-3</v>
      </c>
      <c r="P13" s="18"/>
      <c r="Q13" s="14"/>
      <c r="R13" s="15"/>
    </row>
    <row r="14" spans="1:18" ht="12.75" customHeight="1" x14ac:dyDescent="0.25">
      <c r="B14" s="116" t="s">
        <v>11</v>
      </c>
      <c r="C14" s="29">
        <v>292.66694540931792</v>
      </c>
      <c r="D14" s="29">
        <v>41.918567000000003</v>
      </c>
      <c r="E14" s="50">
        <f t="shared" si="0"/>
        <v>0.14046543663978844</v>
      </c>
      <c r="F14" s="50">
        <f t="shared" si="1"/>
        <v>0.15671277215123589</v>
      </c>
      <c r="G14" s="50">
        <f t="shared" si="2"/>
        <v>0.2757067296209304</v>
      </c>
      <c r="H14" s="51">
        <f t="shared" si="3"/>
        <v>0.67429750228954144</v>
      </c>
      <c r="I14" s="50">
        <f t="shared" si="4"/>
        <v>3.2200401916019757E-2</v>
      </c>
      <c r="P14" s="18"/>
      <c r="Q14" s="14"/>
      <c r="R14" s="15"/>
    </row>
    <row r="15" spans="1:18" ht="12.75" customHeight="1" x14ac:dyDescent="0.25">
      <c r="B15" s="84" t="s">
        <v>8</v>
      </c>
      <c r="C15" s="29">
        <v>404.09091338939459</v>
      </c>
      <c r="D15" s="29">
        <v>36.982824999999998</v>
      </c>
      <c r="E15" s="50">
        <f t="shared" si="0"/>
        <v>0.19394334577834801</v>
      </c>
      <c r="F15" s="50">
        <f t="shared" si="1"/>
        <v>0.1382604760256721</v>
      </c>
      <c r="G15" s="50">
        <f t="shared" si="2"/>
        <v>0.46965007539927839</v>
      </c>
      <c r="H15" s="51">
        <f t="shared" si="3"/>
        <v>0.81255797831521348</v>
      </c>
      <c r="I15" s="50">
        <f t="shared" si="4"/>
        <v>5.152669333553405E-2</v>
      </c>
      <c r="P15" s="18"/>
      <c r="Q15" s="14"/>
      <c r="R15" s="15"/>
    </row>
    <row r="16" spans="1:18" ht="12.75" customHeight="1" x14ac:dyDescent="0.25">
      <c r="B16" s="84" t="s">
        <v>5</v>
      </c>
      <c r="C16" s="29">
        <v>484.06868290093661</v>
      </c>
      <c r="D16" s="29">
        <v>39.232453</v>
      </c>
      <c r="E16" s="50">
        <f t="shared" si="0"/>
        <v>0.2323286588180673</v>
      </c>
      <c r="F16" s="50">
        <f t="shared" si="1"/>
        <v>0.14667072154262978</v>
      </c>
      <c r="G16" s="50">
        <f t="shared" si="2"/>
        <v>0.70197873421734569</v>
      </c>
      <c r="H16" s="51">
        <f t="shared" si="3"/>
        <v>0.9592286998578432</v>
      </c>
      <c r="I16" s="50">
        <f t="shared" si="4"/>
        <v>8.5921821443301308E-2</v>
      </c>
      <c r="P16" s="18"/>
      <c r="Q16" s="14"/>
      <c r="R16" s="15"/>
    </row>
    <row r="17" spans="1:14" ht="12.75" customHeight="1" thickBot="1" x14ac:dyDescent="0.3">
      <c r="B17" s="88" t="s">
        <v>9</v>
      </c>
      <c r="C17" s="32">
        <v>620.94260061497255</v>
      </c>
      <c r="D17" s="32">
        <v>10.905776556851148</v>
      </c>
      <c r="E17" s="52">
        <f t="shared" si="0"/>
        <v>0.2980212657826542</v>
      </c>
      <c r="F17" s="52">
        <f t="shared" si="1"/>
        <v>4.0771300142156658E-2</v>
      </c>
      <c r="G17" s="50">
        <f t="shared" si="2"/>
        <v>0.99999999999999989</v>
      </c>
      <c r="H17" s="53">
        <f t="shared" si="3"/>
        <v>0.99999999999999989</v>
      </c>
      <c r="I17" s="52">
        <f t="shared" si="4"/>
        <v>3.4695942904171662E-2</v>
      </c>
    </row>
    <row r="18" spans="1:14" ht="12.75" customHeight="1" thickBot="1" x14ac:dyDescent="0.3">
      <c r="B18" s="35" t="s">
        <v>13</v>
      </c>
      <c r="C18" s="6">
        <f>SUM(C6:C17)</f>
        <v>2083.551316327284</v>
      </c>
      <c r="D18" s="6">
        <f>SUM(D6:D17)</f>
        <v>267.48660255685115</v>
      </c>
      <c r="E18" s="60">
        <f>SUM(E7:E17)</f>
        <v>0.99999999999999989</v>
      </c>
      <c r="F18" s="60">
        <f>SUM(F7:F17)</f>
        <v>0.99999999999999989</v>
      </c>
      <c r="G18" s="54"/>
      <c r="H18" s="54"/>
      <c r="I18" s="60">
        <f>SUM(I6:I17)</f>
        <v>0.21500571465960286</v>
      </c>
    </row>
    <row r="19" spans="1:14" ht="12.75" customHeight="1" thickBot="1" x14ac:dyDescent="0.3">
      <c r="B19" s="4"/>
      <c r="C19" s="4"/>
      <c r="D19" s="4"/>
      <c r="E19" s="51"/>
      <c r="F19" s="51"/>
      <c r="G19" s="51"/>
      <c r="H19" s="54"/>
      <c r="I19" s="54"/>
    </row>
    <row r="20" spans="1:14" ht="12.75" customHeight="1" thickBot="1" x14ac:dyDescent="0.3">
      <c r="B20" s="4"/>
      <c r="C20" s="4"/>
      <c r="D20" s="4"/>
      <c r="E20" s="51"/>
      <c r="F20" s="51"/>
      <c r="G20" s="56"/>
      <c r="H20" s="57" t="s">
        <v>34</v>
      </c>
      <c r="I20" s="53">
        <f>1-(2*I18)</f>
        <v>0.56998857068079434</v>
      </c>
    </row>
    <row r="21" spans="1:14" ht="12.75" customHeight="1" x14ac:dyDescent="0.25"/>
    <row r="22" spans="1:14" ht="12.75" customHeight="1" x14ac:dyDescent="0.25"/>
    <row r="23" spans="1:14" ht="12.75" customHeight="1" x14ac:dyDescent="0.25"/>
    <row r="24" spans="1:14" ht="12.75" customHeight="1" x14ac:dyDescent="0.25"/>
    <row r="25" spans="1:14" ht="16.2" thickBot="1" x14ac:dyDescent="0.35">
      <c r="B25" s="209" t="s">
        <v>111</v>
      </c>
      <c r="C25" s="209"/>
      <c r="D25" s="209"/>
      <c r="E25" s="209"/>
      <c r="F25" s="209"/>
      <c r="G25" s="209"/>
      <c r="H25" s="209"/>
      <c r="I25" s="209"/>
    </row>
    <row r="26" spans="1:14" ht="27" thickBot="1" x14ac:dyDescent="0.3">
      <c r="B26" s="36" t="s">
        <v>20</v>
      </c>
      <c r="C26" s="37" t="s">
        <v>112</v>
      </c>
      <c r="D26" s="37" t="s">
        <v>46</v>
      </c>
      <c r="E26" s="37" t="s">
        <v>35</v>
      </c>
      <c r="F26" s="37" t="s">
        <v>17</v>
      </c>
      <c r="G26" s="37" t="s">
        <v>36</v>
      </c>
      <c r="H26" s="37" t="s">
        <v>136</v>
      </c>
      <c r="I26" s="37" t="s">
        <v>21</v>
      </c>
      <c r="J26" s="8"/>
      <c r="K26" s="8"/>
      <c r="L26" s="8"/>
      <c r="M26" s="8"/>
      <c r="N26" s="8"/>
    </row>
    <row r="27" spans="1:14" ht="12.75" customHeight="1" x14ac:dyDescent="0.25">
      <c r="B27" s="4"/>
      <c r="C27" s="26">
        <v>0</v>
      </c>
      <c r="D27" s="26">
        <v>0</v>
      </c>
      <c r="E27" s="50">
        <f t="shared" ref="E27:E38" si="5">C27/$C$39</f>
        <v>0</v>
      </c>
      <c r="F27" s="50">
        <f t="shared" ref="F27:F38" si="6">D27/$D$39</f>
        <v>0</v>
      </c>
      <c r="G27" s="50">
        <v>0</v>
      </c>
      <c r="H27" s="51">
        <f>F27</f>
        <v>0</v>
      </c>
      <c r="I27" s="50">
        <v>0</v>
      </c>
    </row>
    <row r="28" spans="1:14" ht="12.75" customHeight="1" x14ac:dyDescent="0.25">
      <c r="A28" s="8"/>
      <c r="B28" s="84" t="s">
        <v>4</v>
      </c>
      <c r="C28" s="29">
        <v>11.171359418917772</v>
      </c>
      <c r="D28" s="29">
        <v>1.2901100000000001</v>
      </c>
      <c r="E28" s="50">
        <f t="shared" si="5"/>
        <v>5.2999093049631314E-3</v>
      </c>
      <c r="F28" s="50">
        <f t="shared" si="6"/>
        <v>4.8230826802841548E-3</v>
      </c>
      <c r="G28" s="50">
        <f t="shared" ref="G28:G38" si="7">G27+E28</f>
        <v>5.2999093049631314E-3</v>
      </c>
      <c r="H28" s="51">
        <f t="shared" ref="H28:H38" si="8">F28+H27</f>
        <v>4.8230826802841548E-3</v>
      </c>
      <c r="I28" s="50">
        <f t="shared" ref="I28:I38" si="9">(G27+G28)*0.5*(H28-H27)</f>
        <v>1.2780950387922255E-5</v>
      </c>
    </row>
    <row r="29" spans="1:14" ht="12.75" customHeight="1" x14ac:dyDescent="0.25">
      <c r="B29" s="84" t="s">
        <v>1</v>
      </c>
      <c r="C29" s="29">
        <v>13.62551145548483</v>
      </c>
      <c r="D29" s="29">
        <v>6.169632</v>
      </c>
      <c r="E29" s="50">
        <f t="shared" si="5"/>
        <v>6.4642065696603936E-3</v>
      </c>
      <c r="F29" s="50">
        <f t="shared" si="6"/>
        <v>2.3065200054977395E-2</v>
      </c>
      <c r="G29" s="50">
        <f t="shared" si="7"/>
        <v>1.1764115874623525E-2</v>
      </c>
      <c r="H29" s="51">
        <f t="shared" si="8"/>
        <v>2.788828273526155E-2</v>
      </c>
      <c r="I29" s="50">
        <f t="shared" si="9"/>
        <v>1.9679257725516887E-4</v>
      </c>
    </row>
    <row r="30" spans="1:14" ht="12.75" customHeight="1" x14ac:dyDescent="0.25">
      <c r="B30" s="84" t="s">
        <v>7</v>
      </c>
      <c r="C30" s="29">
        <v>19.890651093947945</v>
      </c>
      <c r="D30" s="29">
        <v>11.426439</v>
      </c>
      <c r="E30" s="50">
        <f t="shared" si="5"/>
        <v>9.4365101740502624E-3</v>
      </c>
      <c r="F30" s="50">
        <f t="shared" si="6"/>
        <v>4.2717799287055672E-2</v>
      </c>
      <c r="G30" s="50">
        <f t="shared" si="7"/>
        <v>2.1200626048673787E-2</v>
      </c>
      <c r="H30" s="51">
        <f t="shared" si="8"/>
        <v>7.0606082022317218E-2</v>
      </c>
      <c r="I30" s="50">
        <f t="shared" si="9"/>
        <v>7.040906145145021E-4</v>
      </c>
    </row>
    <row r="31" spans="1:14" ht="12.75" customHeight="1" x14ac:dyDescent="0.25">
      <c r="B31" s="84" t="s">
        <v>2</v>
      </c>
      <c r="C31" s="29">
        <v>26.053635154547475</v>
      </c>
      <c r="D31" s="29">
        <v>3.8753060000000001</v>
      </c>
      <c r="E31" s="50">
        <f t="shared" si="5"/>
        <v>1.2360349193480467E-2</v>
      </c>
      <c r="F31" s="50">
        <f t="shared" si="6"/>
        <v>1.4487850841712153E-2</v>
      </c>
      <c r="G31" s="50">
        <f t="shared" si="7"/>
        <v>3.3560975242154255E-2</v>
      </c>
      <c r="H31" s="51">
        <f t="shared" si="8"/>
        <v>8.5093932864029373E-2</v>
      </c>
      <c r="I31" s="50">
        <f t="shared" si="9"/>
        <v>3.9668895567741423E-4</v>
      </c>
    </row>
    <row r="32" spans="1:14" ht="12.75" customHeight="1" x14ac:dyDescent="0.25">
      <c r="B32" s="84" t="s">
        <v>6</v>
      </c>
      <c r="C32" s="29">
        <v>58.065831028798335</v>
      </c>
      <c r="D32" s="29">
        <v>19.742709999999999</v>
      </c>
      <c r="E32" s="50">
        <f t="shared" si="5"/>
        <v>2.7547555013654544E-2</v>
      </c>
      <c r="F32" s="50">
        <f t="shared" si="6"/>
        <v>7.3808219967966118E-2</v>
      </c>
      <c r="G32" s="50">
        <f t="shared" si="7"/>
        <v>6.1108530255808799E-2</v>
      </c>
      <c r="H32" s="51">
        <f t="shared" si="8"/>
        <v>0.15890215283199549</v>
      </c>
      <c r="I32" s="50">
        <f t="shared" si="9"/>
        <v>3.4936938430261172E-3</v>
      </c>
    </row>
    <row r="33" spans="2:14" ht="12.75" customHeight="1" x14ac:dyDescent="0.25">
      <c r="B33" s="84" t="s">
        <v>3</v>
      </c>
      <c r="C33" s="29">
        <v>63.208496046190042</v>
      </c>
      <c r="D33" s="29">
        <v>83.946549000000005</v>
      </c>
      <c r="E33" s="50">
        <f t="shared" si="5"/>
        <v>2.9987334914731531E-2</v>
      </c>
      <c r="F33" s="50">
        <f t="shared" si="6"/>
        <v>0.31383459282660014</v>
      </c>
      <c r="G33" s="50">
        <f t="shared" si="7"/>
        <v>9.109586517054033E-2</v>
      </c>
      <c r="H33" s="51">
        <f t="shared" si="8"/>
        <v>0.47273674565859564</v>
      </c>
      <c r="I33" s="50">
        <f t="shared" si="9"/>
        <v>2.3883502232523557E-2</v>
      </c>
    </row>
    <row r="34" spans="2:14" ht="12.75" customHeight="1" x14ac:dyDescent="0.25">
      <c r="B34" s="84" t="s">
        <v>10</v>
      </c>
      <c r="C34" s="29">
        <v>113.8115207203455</v>
      </c>
      <c r="D34" s="29">
        <v>11.996235</v>
      </c>
      <c r="E34" s="50">
        <f t="shared" si="5"/>
        <v>5.3994390034243257E-2</v>
      </c>
      <c r="F34" s="50">
        <f t="shared" si="6"/>
        <v>4.4847984479709932E-2</v>
      </c>
      <c r="G34" s="50">
        <f t="shared" si="7"/>
        <v>0.14509025520478358</v>
      </c>
      <c r="H34" s="51">
        <f t="shared" si="8"/>
        <v>0.51758473013830553</v>
      </c>
      <c r="I34" s="50">
        <f t="shared" si="9"/>
        <v>5.2962357304577089E-3</v>
      </c>
    </row>
    <row r="35" spans="2:14" ht="12.75" customHeight="1" x14ac:dyDescent="0.25">
      <c r="B35" s="116" t="s">
        <v>11</v>
      </c>
      <c r="C35" s="29">
        <v>276.95149598433915</v>
      </c>
      <c r="D35" s="29">
        <v>41.918567000000003</v>
      </c>
      <c r="E35" s="50">
        <f t="shared" si="5"/>
        <v>0.13139115442881824</v>
      </c>
      <c r="F35" s="50">
        <f t="shared" si="6"/>
        <v>0.15671277215123589</v>
      </c>
      <c r="G35" s="50">
        <f t="shared" si="7"/>
        <v>0.27648140963360179</v>
      </c>
      <c r="H35" s="51">
        <f t="shared" si="8"/>
        <v>0.67429750228954144</v>
      </c>
      <c r="I35" s="50">
        <f t="shared" si="9"/>
        <v>3.3032832128617538E-2</v>
      </c>
    </row>
    <row r="36" spans="2:14" ht="12.75" customHeight="1" x14ac:dyDescent="0.25">
      <c r="B36" s="84" t="s">
        <v>5</v>
      </c>
      <c r="C36" s="29">
        <v>353.6026358725851</v>
      </c>
      <c r="D36" s="29">
        <v>39.232453</v>
      </c>
      <c r="E36" s="50">
        <f t="shared" si="5"/>
        <v>0.16775593997513275</v>
      </c>
      <c r="F36" s="50">
        <f t="shared" si="6"/>
        <v>0.14667072154262978</v>
      </c>
      <c r="G36" s="50">
        <f t="shared" si="7"/>
        <v>0.44423734960873451</v>
      </c>
      <c r="H36" s="51">
        <f t="shared" si="8"/>
        <v>0.82096822383217116</v>
      </c>
      <c r="I36" s="50">
        <f t="shared" si="9"/>
        <v>5.2854170223691148E-2</v>
      </c>
    </row>
    <row r="37" spans="2:14" ht="12.75" customHeight="1" x14ac:dyDescent="0.25">
      <c r="B37" s="84" t="s">
        <v>8</v>
      </c>
      <c r="C37" s="29">
        <v>436.58135275731689</v>
      </c>
      <c r="D37" s="29">
        <v>36.982824999999998</v>
      </c>
      <c r="E37" s="50">
        <f t="shared" si="5"/>
        <v>0.20712265061793605</v>
      </c>
      <c r="F37" s="50">
        <f t="shared" si="6"/>
        <v>0.1382604760256721</v>
      </c>
      <c r="G37" s="50">
        <f t="shared" si="7"/>
        <v>0.65136000022667062</v>
      </c>
      <c r="H37" s="51">
        <f t="shared" si="8"/>
        <v>0.9592286998578432</v>
      </c>
      <c r="I37" s="50">
        <f t="shared" si="9"/>
        <v>7.5738905560353939E-2</v>
      </c>
    </row>
    <row r="38" spans="2:14" ht="12.75" customHeight="1" thickBot="1" x14ac:dyDescent="0.3">
      <c r="B38" s="88" t="s">
        <v>9</v>
      </c>
      <c r="C38" s="32">
        <v>734.87724433925337</v>
      </c>
      <c r="D38" s="32">
        <v>10.905776556851148</v>
      </c>
      <c r="E38" s="52">
        <f t="shared" si="5"/>
        <v>0.34863999977332938</v>
      </c>
      <c r="F38" s="50">
        <f t="shared" si="6"/>
        <v>4.0771300142156658E-2</v>
      </c>
      <c r="G38" s="52">
        <f t="shared" si="7"/>
        <v>1</v>
      </c>
      <c r="H38" s="53">
        <f t="shared" si="8"/>
        <v>0.99999999999999989</v>
      </c>
      <c r="I38" s="52">
        <f t="shared" si="9"/>
        <v>3.3664047105996762E-2</v>
      </c>
    </row>
    <row r="39" spans="2:14" ht="12.75" customHeight="1" thickBot="1" x14ac:dyDescent="0.3">
      <c r="B39" s="35" t="s">
        <v>13</v>
      </c>
      <c r="C39" s="6">
        <f>SUM(C27:C38)</f>
        <v>2107.8397338717264</v>
      </c>
      <c r="D39" s="6">
        <f>SUM(D27:D38)</f>
        <v>267.48660255685115</v>
      </c>
      <c r="E39" s="52">
        <f>SUM(E28:E38)</f>
        <v>1</v>
      </c>
      <c r="F39" s="60">
        <f>SUM(F28:F38)</f>
        <v>0.99999999999999989</v>
      </c>
      <c r="G39" s="54"/>
      <c r="H39" s="54"/>
      <c r="I39" s="60">
        <f>SUM(I27:I38)</f>
        <v>0.2292737399225018</v>
      </c>
    </row>
    <row r="40" spans="2:14" ht="12.75" customHeight="1" thickBot="1" x14ac:dyDescent="0.3">
      <c r="B40" s="4"/>
      <c r="C40" s="4"/>
      <c r="D40" s="4"/>
      <c r="E40" s="51"/>
      <c r="F40" s="51"/>
      <c r="G40" s="51"/>
      <c r="H40" s="54"/>
      <c r="I40" s="54"/>
    </row>
    <row r="41" spans="2:14" ht="12.75" customHeight="1" thickBot="1" x14ac:dyDescent="0.3">
      <c r="B41" s="4"/>
      <c r="C41" s="4"/>
      <c r="D41" s="4"/>
      <c r="E41" s="51"/>
      <c r="F41" s="51"/>
      <c r="G41" s="56"/>
      <c r="H41" s="57" t="s">
        <v>33</v>
      </c>
      <c r="I41" s="53">
        <f>1-(2*I39)</f>
        <v>0.54145252015499645</v>
      </c>
    </row>
    <row r="42" spans="2:14" ht="12.75" customHeight="1" x14ac:dyDescent="0.25">
      <c r="E42" s="61"/>
      <c r="F42" s="61"/>
      <c r="G42" s="61"/>
      <c r="H42" s="61"/>
      <c r="I42" s="61"/>
    </row>
    <row r="43" spans="2:14" ht="12.75" customHeight="1" x14ac:dyDescent="0.25"/>
    <row r="44" spans="2:14" ht="12.75" customHeight="1" x14ac:dyDescent="0.25"/>
    <row r="45" spans="2:14" ht="12.75" customHeight="1" x14ac:dyDescent="0.25"/>
    <row r="46" spans="2:14" ht="12.75" customHeight="1" x14ac:dyDescent="0.25"/>
    <row r="47" spans="2:14" ht="16.2" thickBot="1" x14ac:dyDescent="0.35">
      <c r="B47" s="212" t="s">
        <v>119</v>
      </c>
      <c r="C47" s="212"/>
      <c r="D47" s="212"/>
      <c r="E47" s="212"/>
      <c r="F47" s="212"/>
      <c r="G47" s="212"/>
      <c r="H47" s="212"/>
      <c r="I47" s="212"/>
      <c r="J47" s="126"/>
    </row>
    <row r="48" spans="2:14" ht="27" thickBot="1" x14ac:dyDescent="0.3">
      <c r="B48" s="30" t="s">
        <v>20</v>
      </c>
      <c r="C48" s="31" t="s">
        <v>43</v>
      </c>
      <c r="D48" s="31" t="s">
        <v>46</v>
      </c>
      <c r="E48" s="31" t="s">
        <v>16</v>
      </c>
      <c r="F48" s="31" t="s">
        <v>17</v>
      </c>
      <c r="G48" s="31" t="s">
        <v>18</v>
      </c>
      <c r="H48" s="31" t="s">
        <v>136</v>
      </c>
      <c r="I48" s="31" t="s">
        <v>21</v>
      </c>
      <c r="J48" s="25"/>
      <c r="K48" s="8"/>
      <c r="L48" s="8"/>
      <c r="M48" s="8"/>
      <c r="N48" s="8"/>
    </row>
    <row r="49" spans="1:10" ht="12.75" customHeight="1" x14ac:dyDescent="0.25">
      <c r="B49" s="4"/>
      <c r="C49" s="26">
        <v>0</v>
      </c>
      <c r="D49" s="26">
        <v>0</v>
      </c>
      <c r="E49" s="50">
        <f t="shared" ref="E49:E60" si="10">C49/$C$61</f>
        <v>0</v>
      </c>
      <c r="F49" s="50">
        <f t="shared" ref="F49:F60" si="11">D49/$D$61</f>
        <v>0</v>
      </c>
      <c r="G49" s="50">
        <v>0</v>
      </c>
      <c r="H49" s="51">
        <f>F49</f>
        <v>0</v>
      </c>
      <c r="I49" s="50">
        <v>0</v>
      </c>
      <c r="J49" s="28"/>
    </row>
    <row r="50" spans="1:10" ht="12.75" customHeight="1" x14ac:dyDescent="0.25">
      <c r="B50" s="84" t="s">
        <v>2</v>
      </c>
      <c r="C50" s="29">
        <v>0</v>
      </c>
      <c r="D50" s="29">
        <v>3.8753060000000001</v>
      </c>
      <c r="E50" s="50">
        <f t="shared" si="10"/>
        <v>0</v>
      </c>
      <c r="F50" s="50">
        <f t="shared" si="11"/>
        <v>1.4487850841712153E-2</v>
      </c>
      <c r="G50" s="50">
        <f t="shared" ref="G50:G60" si="12">G49+E50</f>
        <v>0</v>
      </c>
      <c r="H50" s="51">
        <f t="shared" ref="H50:H60" si="13">F50+H49</f>
        <v>1.4487850841712153E-2</v>
      </c>
      <c r="I50" s="50">
        <f t="shared" ref="I50:I60" si="14">(G49+G50)*0.5*(H50-H49)</f>
        <v>0</v>
      </c>
      <c r="J50" s="28"/>
    </row>
    <row r="51" spans="1:10" ht="12.75" customHeight="1" x14ac:dyDescent="0.25">
      <c r="A51" s="8"/>
      <c r="B51" s="84" t="s">
        <v>3</v>
      </c>
      <c r="C51" s="29">
        <v>0</v>
      </c>
      <c r="D51" s="29">
        <v>83.946549000000005</v>
      </c>
      <c r="E51" s="50">
        <f t="shared" si="10"/>
        <v>0</v>
      </c>
      <c r="F51" s="50">
        <f t="shared" si="11"/>
        <v>0.31383459282660014</v>
      </c>
      <c r="G51" s="50">
        <f t="shared" si="12"/>
        <v>0</v>
      </c>
      <c r="H51" s="51">
        <f t="shared" si="13"/>
        <v>0.32832244366831231</v>
      </c>
      <c r="I51" s="50">
        <f t="shared" si="14"/>
        <v>0</v>
      </c>
      <c r="J51" s="28"/>
    </row>
    <row r="52" spans="1:10" ht="12.75" customHeight="1" x14ac:dyDescent="0.25">
      <c r="B52" s="84" t="s">
        <v>8</v>
      </c>
      <c r="C52" s="29">
        <v>0</v>
      </c>
      <c r="D52" s="29">
        <v>36.982824999999998</v>
      </c>
      <c r="E52" s="50">
        <f t="shared" si="10"/>
        <v>0</v>
      </c>
      <c r="F52" s="50">
        <f t="shared" si="11"/>
        <v>0.1382604760256721</v>
      </c>
      <c r="G52" s="50">
        <f t="shared" si="12"/>
        <v>0</v>
      </c>
      <c r="H52" s="51">
        <f t="shared" si="13"/>
        <v>0.46658291969398441</v>
      </c>
      <c r="I52" s="50">
        <f t="shared" si="14"/>
        <v>0</v>
      </c>
      <c r="J52" s="28"/>
    </row>
    <row r="53" spans="1:10" ht="12.75" customHeight="1" x14ac:dyDescent="0.25">
      <c r="B53" s="84" t="s">
        <v>9</v>
      </c>
      <c r="C53" s="29">
        <v>0</v>
      </c>
      <c r="D53" s="29">
        <v>10.905776556851148</v>
      </c>
      <c r="E53" s="50">
        <f t="shared" si="10"/>
        <v>0</v>
      </c>
      <c r="F53" s="50">
        <f t="shared" si="11"/>
        <v>4.0771300142156658E-2</v>
      </c>
      <c r="G53" s="50">
        <f t="shared" si="12"/>
        <v>0</v>
      </c>
      <c r="H53" s="51">
        <f t="shared" si="13"/>
        <v>0.50735421983614104</v>
      </c>
      <c r="I53" s="50">
        <f t="shared" si="14"/>
        <v>0</v>
      </c>
      <c r="J53" s="28"/>
    </row>
    <row r="54" spans="1:10" ht="12.75" customHeight="1" x14ac:dyDescent="0.25">
      <c r="B54" s="84" t="s">
        <v>7</v>
      </c>
      <c r="C54" s="29">
        <v>1.5386391808328861</v>
      </c>
      <c r="D54" s="29">
        <v>11.426439</v>
      </c>
      <c r="E54" s="50">
        <f t="shared" si="10"/>
        <v>7.5433856413997481E-3</v>
      </c>
      <c r="F54" s="50">
        <f t="shared" si="11"/>
        <v>4.2717799287055672E-2</v>
      </c>
      <c r="G54" s="50">
        <f t="shared" si="12"/>
        <v>7.5433856413997481E-3</v>
      </c>
      <c r="H54" s="51">
        <f t="shared" si="13"/>
        <v>0.5500720191231967</v>
      </c>
      <c r="I54" s="50">
        <f t="shared" si="14"/>
        <v>1.6111841688708602E-4</v>
      </c>
      <c r="J54" s="28"/>
    </row>
    <row r="55" spans="1:10" ht="12.75" customHeight="1" x14ac:dyDescent="0.25">
      <c r="B55" s="84" t="s">
        <v>1</v>
      </c>
      <c r="C55" s="29">
        <v>1.9832072109514134</v>
      </c>
      <c r="D55" s="29">
        <v>6.169632</v>
      </c>
      <c r="E55" s="50">
        <f t="shared" si="10"/>
        <v>9.7229402353534444E-3</v>
      </c>
      <c r="F55" s="50">
        <f t="shared" si="11"/>
        <v>2.3065200054977395E-2</v>
      </c>
      <c r="G55" s="50">
        <f t="shared" si="12"/>
        <v>1.7266325876753193E-2</v>
      </c>
      <c r="H55" s="51">
        <f t="shared" si="13"/>
        <v>0.57313721917817406</v>
      </c>
      <c r="I55" s="50">
        <f t="shared" si="14"/>
        <v>2.8612047973623691E-4</v>
      </c>
      <c r="J55" s="28"/>
    </row>
    <row r="56" spans="1:10" ht="12.75" customHeight="1" x14ac:dyDescent="0.25">
      <c r="B56" s="84" t="s">
        <v>4</v>
      </c>
      <c r="C56" s="29">
        <v>3.2750912718752518</v>
      </c>
      <c r="D56" s="29">
        <v>1.2901100000000001</v>
      </c>
      <c r="E56" s="50">
        <f t="shared" si="10"/>
        <v>1.6056575695130883E-2</v>
      </c>
      <c r="F56" s="50">
        <f t="shared" si="11"/>
        <v>4.8230826802841548E-3</v>
      </c>
      <c r="G56" s="50">
        <f t="shared" si="12"/>
        <v>3.3322901571884077E-2</v>
      </c>
      <c r="H56" s="51">
        <f t="shared" si="13"/>
        <v>0.57796030185845826</v>
      </c>
      <c r="I56" s="50">
        <f t="shared" si="14"/>
        <v>1.2199801335824014E-4</v>
      </c>
      <c r="J56" s="28"/>
    </row>
    <row r="57" spans="1:10" ht="12.75" customHeight="1" x14ac:dyDescent="0.25">
      <c r="B57" s="84" t="s">
        <v>6</v>
      </c>
      <c r="C57" s="29">
        <v>16.052819884560293</v>
      </c>
      <c r="D57" s="29">
        <v>19.742709999999999</v>
      </c>
      <c r="E57" s="50">
        <f t="shared" si="10"/>
        <v>7.8701109740114253E-2</v>
      </c>
      <c r="F57" s="50">
        <f t="shared" si="11"/>
        <v>7.3808219967966118E-2</v>
      </c>
      <c r="G57" s="50">
        <f t="shared" si="12"/>
        <v>0.11202401131199832</v>
      </c>
      <c r="H57" s="51">
        <f t="shared" si="13"/>
        <v>0.65176852182642442</v>
      </c>
      <c r="I57" s="50">
        <f t="shared" si="14"/>
        <v>5.363898458899204E-3</v>
      </c>
      <c r="J57" s="28"/>
    </row>
    <row r="58" spans="1:10" ht="12.75" customHeight="1" x14ac:dyDescent="0.25">
      <c r="B58" s="116" t="s">
        <v>11</v>
      </c>
      <c r="C58" s="29">
        <v>22.251590870161746</v>
      </c>
      <c r="D58" s="29">
        <v>41.918567000000003</v>
      </c>
      <c r="E58" s="50">
        <f t="shared" si="10"/>
        <v>0.1090914186764821</v>
      </c>
      <c r="F58" s="50">
        <f t="shared" si="11"/>
        <v>0.15671277215123589</v>
      </c>
      <c r="G58" s="50">
        <f t="shared" si="12"/>
        <v>0.22111542998848044</v>
      </c>
      <c r="H58" s="51">
        <f t="shared" si="13"/>
        <v>0.80848129397766033</v>
      </c>
      <c r="I58" s="50">
        <f t="shared" si="14"/>
        <v>2.6103602679555981E-2</v>
      </c>
      <c r="J58" s="28"/>
    </row>
    <row r="59" spans="1:10" ht="12.75" customHeight="1" x14ac:dyDescent="0.25">
      <c r="B59" s="84" t="s">
        <v>10</v>
      </c>
      <c r="C59" s="29">
        <v>27.835036451662162</v>
      </c>
      <c r="D59" s="29">
        <v>11.996235</v>
      </c>
      <c r="E59" s="50">
        <f t="shared" si="10"/>
        <v>0.13646501201382844</v>
      </c>
      <c r="F59" s="50">
        <f t="shared" si="11"/>
        <v>4.4847984479709932E-2</v>
      </c>
      <c r="G59" s="50">
        <f t="shared" si="12"/>
        <v>0.35758044200230887</v>
      </c>
      <c r="H59" s="51">
        <f t="shared" si="13"/>
        <v>0.85332927845737028</v>
      </c>
      <c r="I59" s="50">
        <f t="shared" si="14"/>
        <v>1.2976671742757566E-2</v>
      </c>
      <c r="J59" s="28"/>
    </row>
    <row r="60" spans="1:10" ht="12.75" customHeight="1" thickBot="1" x14ac:dyDescent="0.3">
      <c r="B60" s="88" t="s">
        <v>5</v>
      </c>
      <c r="C60" s="32">
        <v>131.03557864571476</v>
      </c>
      <c r="D60" s="32">
        <v>39.232453</v>
      </c>
      <c r="E60" s="50">
        <f t="shared" si="10"/>
        <v>0.64241955799769113</v>
      </c>
      <c r="F60" s="50">
        <f t="shared" si="11"/>
        <v>0.14667072154262978</v>
      </c>
      <c r="G60" s="52">
        <f t="shared" si="12"/>
        <v>1</v>
      </c>
      <c r="H60" s="53">
        <f t="shared" si="13"/>
        <v>1</v>
      </c>
      <c r="I60" s="52">
        <f t="shared" si="14"/>
        <v>9.9558651490320421E-2</v>
      </c>
      <c r="J60" s="28"/>
    </row>
    <row r="61" spans="1:10" ht="12.75" customHeight="1" thickBot="1" x14ac:dyDescent="0.3">
      <c r="B61" s="35" t="s">
        <v>13</v>
      </c>
      <c r="C61" s="6">
        <f t="shared" ref="C61:I61" si="15">SUM(C49:C60)</f>
        <v>203.97196351575852</v>
      </c>
      <c r="D61" s="6">
        <f t="shared" si="15"/>
        <v>267.48660255685115</v>
      </c>
      <c r="E61" s="6">
        <f t="shared" si="15"/>
        <v>1</v>
      </c>
      <c r="F61" s="6">
        <f t="shared" si="15"/>
        <v>1</v>
      </c>
      <c r="G61" s="6">
        <f t="shared" si="15"/>
        <v>1.7488524963928247</v>
      </c>
      <c r="H61" s="6">
        <f t="shared" si="15"/>
        <v>6.3314960684614343</v>
      </c>
      <c r="I61" s="111">
        <f t="shared" si="15"/>
        <v>0.14457206128151473</v>
      </c>
      <c r="J61" s="28"/>
    </row>
    <row r="62" spans="1:10" ht="12.75" customHeight="1" thickBot="1" x14ac:dyDescent="0.3">
      <c r="B62" s="4"/>
      <c r="C62" s="4"/>
      <c r="D62" s="4"/>
      <c r="E62" s="51"/>
      <c r="F62" s="51"/>
      <c r="G62" s="51"/>
      <c r="H62" s="54"/>
      <c r="I62" s="54"/>
      <c r="J62" s="9"/>
    </row>
    <row r="63" spans="1:10" ht="12.75" customHeight="1" thickBot="1" x14ac:dyDescent="0.3">
      <c r="B63" s="4"/>
      <c r="C63" s="4"/>
      <c r="D63" s="4"/>
      <c r="E63" s="51"/>
      <c r="F63" s="51"/>
      <c r="G63" s="56"/>
      <c r="H63" s="57" t="s">
        <v>33</v>
      </c>
      <c r="I63" s="53">
        <f>1-(2*I61)</f>
        <v>0.71085587743697054</v>
      </c>
      <c r="J63" s="9"/>
    </row>
    <row r="64" spans="1:10" ht="12.75" customHeight="1" x14ac:dyDescent="0.25"/>
    <row r="65" spans="2:14" ht="12.75" customHeight="1" x14ac:dyDescent="0.25"/>
    <row r="66" spans="2:14" ht="12.75" customHeight="1" x14ac:dyDescent="0.25"/>
    <row r="67" spans="2:14" ht="12.75" customHeight="1" x14ac:dyDescent="0.25"/>
    <row r="68" spans="2:14" ht="16.2" thickBot="1" x14ac:dyDescent="0.35">
      <c r="B68" s="209" t="s">
        <v>113</v>
      </c>
      <c r="C68" s="209"/>
      <c r="D68" s="209"/>
      <c r="E68" s="209"/>
      <c r="F68" s="209"/>
      <c r="G68" s="209"/>
      <c r="H68" s="209"/>
      <c r="I68" s="209"/>
    </row>
    <row r="69" spans="2:14" ht="27" thickBot="1" x14ac:dyDescent="0.3">
      <c r="B69" s="36" t="s">
        <v>20</v>
      </c>
      <c r="C69" s="37" t="s">
        <v>108</v>
      </c>
      <c r="D69" s="37" t="s">
        <v>46</v>
      </c>
      <c r="E69" s="37" t="s">
        <v>106</v>
      </c>
      <c r="F69" s="37" t="s">
        <v>17</v>
      </c>
      <c r="G69" s="37" t="s">
        <v>107</v>
      </c>
      <c r="H69" s="37" t="s">
        <v>136</v>
      </c>
      <c r="I69" s="37" t="s">
        <v>21</v>
      </c>
      <c r="J69" s="8"/>
      <c r="K69" s="8"/>
      <c r="L69" s="8"/>
      <c r="M69" s="8"/>
      <c r="N69" s="8"/>
    </row>
    <row r="70" spans="2:14" ht="12.75" customHeight="1" x14ac:dyDescent="0.25">
      <c r="B70" s="4"/>
      <c r="C70" s="26">
        <v>0</v>
      </c>
      <c r="D70" s="26">
        <v>0</v>
      </c>
      <c r="E70" s="50">
        <f t="shared" ref="E70:E81" si="16">C70/$C$82</f>
        <v>0</v>
      </c>
      <c r="F70" s="50">
        <v>0</v>
      </c>
      <c r="G70" s="50">
        <v>0</v>
      </c>
      <c r="H70" s="51">
        <f>F70</f>
        <v>0</v>
      </c>
      <c r="I70" s="50">
        <v>0</v>
      </c>
    </row>
    <row r="71" spans="2:14" ht="12.75" customHeight="1" x14ac:dyDescent="0.25">
      <c r="B71" s="84" t="s">
        <v>2</v>
      </c>
      <c r="C71" s="29">
        <v>0</v>
      </c>
      <c r="D71" s="29">
        <v>3.8753060000000001</v>
      </c>
      <c r="E71" s="50">
        <f t="shared" si="16"/>
        <v>0</v>
      </c>
      <c r="F71" s="50">
        <f t="shared" ref="F71:F81" si="17">D71/$D$82</f>
        <v>1.4487850841712153E-2</v>
      </c>
      <c r="G71" s="50">
        <f t="shared" ref="G71:G81" si="18">G70+E71</f>
        <v>0</v>
      </c>
      <c r="H71" s="51">
        <f t="shared" ref="H71:H81" si="19">F71+H70</f>
        <v>1.4487850841712153E-2</v>
      </c>
      <c r="I71" s="50">
        <f t="shared" ref="I71:I81" si="20">(G70+G71)*0.5*(H71-H70)</f>
        <v>0</v>
      </c>
    </row>
    <row r="72" spans="2:14" ht="12.75" customHeight="1" x14ac:dyDescent="0.25">
      <c r="B72" s="84" t="s">
        <v>9</v>
      </c>
      <c r="C72" s="29">
        <v>0</v>
      </c>
      <c r="D72" s="29">
        <v>10.905776556851148</v>
      </c>
      <c r="E72" s="50">
        <f t="shared" si="16"/>
        <v>0</v>
      </c>
      <c r="F72" s="50">
        <f t="shared" si="17"/>
        <v>4.0771300142156658E-2</v>
      </c>
      <c r="G72" s="50">
        <f t="shared" si="18"/>
        <v>0</v>
      </c>
      <c r="H72" s="51">
        <f t="shared" si="19"/>
        <v>5.5259150983868813E-2</v>
      </c>
      <c r="I72" s="50">
        <f t="shared" si="20"/>
        <v>0</v>
      </c>
    </row>
    <row r="73" spans="2:14" ht="12.75" customHeight="1" x14ac:dyDescent="0.25">
      <c r="B73" s="84" t="s">
        <v>1</v>
      </c>
      <c r="C73" s="29">
        <v>1.9832072109514134</v>
      </c>
      <c r="D73" s="29">
        <v>6.169632</v>
      </c>
      <c r="E73" s="50">
        <f t="shared" si="16"/>
        <v>6.9246761283121381E-3</v>
      </c>
      <c r="F73" s="50">
        <f t="shared" si="17"/>
        <v>2.3065200054977395E-2</v>
      </c>
      <c r="G73" s="50">
        <f t="shared" si="18"/>
        <v>6.9246761283121381E-3</v>
      </c>
      <c r="H73" s="51">
        <f t="shared" si="19"/>
        <v>7.8324351038846204E-2</v>
      </c>
      <c r="I73" s="50">
        <f t="shared" si="20"/>
        <v>7.9859520107722877E-5</v>
      </c>
    </row>
    <row r="74" spans="2:14" ht="12.75" customHeight="1" x14ac:dyDescent="0.25">
      <c r="B74" s="84" t="s">
        <v>4</v>
      </c>
      <c r="C74" s="29">
        <v>3.2750912718752518</v>
      </c>
      <c r="D74" s="29">
        <v>1.2901100000000001</v>
      </c>
      <c r="E74" s="50">
        <f t="shared" si="16"/>
        <v>1.1435490060324113E-2</v>
      </c>
      <c r="F74" s="50">
        <f t="shared" si="17"/>
        <v>4.8230826802841548E-3</v>
      </c>
      <c r="G74" s="50">
        <f t="shared" si="18"/>
        <v>1.836016618863625E-2</v>
      </c>
      <c r="H74" s="51">
        <f t="shared" si="19"/>
        <v>8.3147433719130359E-2</v>
      </c>
      <c r="I74" s="50">
        <f t="shared" si="20"/>
        <v>6.0975442526294822E-5</v>
      </c>
    </row>
    <row r="75" spans="2:14" ht="12.75" customHeight="1" x14ac:dyDescent="0.25">
      <c r="B75" s="84" t="s">
        <v>7</v>
      </c>
      <c r="C75" s="29">
        <v>5.3386391808328861</v>
      </c>
      <c r="D75" s="29">
        <v>11.426439</v>
      </c>
      <c r="E75" s="50">
        <f t="shared" si="16"/>
        <v>1.8640688219084458E-2</v>
      </c>
      <c r="F75" s="50">
        <f t="shared" si="17"/>
        <v>4.2717799287055672E-2</v>
      </c>
      <c r="G75" s="50">
        <f t="shared" si="18"/>
        <v>3.7000854407720704E-2</v>
      </c>
      <c r="H75" s="51">
        <f t="shared" si="19"/>
        <v>0.12586523300618602</v>
      </c>
      <c r="I75" s="50">
        <f t="shared" si="20"/>
        <v>1.1824504830808653E-3</v>
      </c>
    </row>
    <row r="76" spans="2:14" ht="12.75" customHeight="1" x14ac:dyDescent="0.25">
      <c r="B76" s="84" t="s">
        <v>6</v>
      </c>
      <c r="C76" s="29">
        <v>16.052819884560293</v>
      </c>
      <c r="D76" s="29">
        <v>19.742709999999999</v>
      </c>
      <c r="E76" s="50">
        <f t="shared" si="16"/>
        <v>5.6050914918457505E-2</v>
      </c>
      <c r="F76" s="50">
        <f t="shared" si="17"/>
        <v>7.3808219967966118E-2</v>
      </c>
      <c r="G76" s="50">
        <f t="shared" si="18"/>
        <v>9.3051769326178202E-2</v>
      </c>
      <c r="H76" s="51">
        <f t="shared" si="19"/>
        <v>0.19967345297415212</v>
      </c>
      <c r="I76" s="50">
        <f t="shared" si="20"/>
        <v>4.7994763299813708E-3</v>
      </c>
    </row>
    <row r="77" spans="2:14" ht="12.75" customHeight="1" x14ac:dyDescent="0.25">
      <c r="B77" s="84" t="s">
        <v>8</v>
      </c>
      <c r="C77" s="29">
        <v>17.853298663279823</v>
      </c>
      <c r="D77" s="29">
        <v>36.982824999999998</v>
      </c>
      <c r="E77" s="50">
        <f t="shared" si="16"/>
        <v>6.2337566333238573E-2</v>
      </c>
      <c r="F77" s="50">
        <f t="shared" si="17"/>
        <v>0.1382604760256721</v>
      </c>
      <c r="G77" s="50">
        <f t="shared" si="18"/>
        <v>0.15538933565941676</v>
      </c>
      <c r="H77" s="51">
        <f t="shared" si="19"/>
        <v>0.33793392899982422</v>
      </c>
      <c r="I77" s="50">
        <f t="shared" si="20"/>
        <v>1.7174792719826169E-2</v>
      </c>
    </row>
    <row r="78" spans="2:14" ht="12.75" customHeight="1" x14ac:dyDescent="0.25">
      <c r="B78" s="84" t="s">
        <v>10</v>
      </c>
      <c r="C78" s="29">
        <v>27.835036451662162</v>
      </c>
      <c r="D78" s="29">
        <v>11.996235</v>
      </c>
      <c r="E78" s="50">
        <f t="shared" si="16"/>
        <v>9.7190354786505131E-2</v>
      </c>
      <c r="F78" s="50">
        <f t="shared" si="17"/>
        <v>4.4847984479709932E-2</v>
      </c>
      <c r="G78" s="50">
        <f t="shared" si="18"/>
        <v>0.25257969044592188</v>
      </c>
      <c r="H78" s="51">
        <f t="shared" si="19"/>
        <v>0.38278191347953416</v>
      </c>
      <c r="I78" s="50">
        <f t="shared" si="20"/>
        <v>9.1482942754873044E-3</v>
      </c>
    </row>
    <row r="79" spans="2:14" ht="12.75" customHeight="1" x14ac:dyDescent="0.25">
      <c r="B79" s="84" t="s">
        <v>3</v>
      </c>
      <c r="C79" s="29">
        <v>39.671844949611199</v>
      </c>
      <c r="D79" s="29">
        <v>83.946549000000005</v>
      </c>
      <c r="E79" s="50">
        <f t="shared" si="16"/>
        <v>0.13852041086361469</v>
      </c>
      <c r="F79" s="50">
        <f t="shared" si="17"/>
        <v>0.31383459282660014</v>
      </c>
      <c r="G79" s="50">
        <f t="shared" si="18"/>
        <v>0.39110010130953654</v>
      </c>
      <c r="H79" s="51">
        <f t="shared" si="19"/>
        <v>0.69661650630613425</v>
      </c>
      <c r="I79" s="50">
        <f t="shared" si="20"/>
        <v>0.10100449267814252</v>
      </c>
    </row>
    <row r="80" spans="2:14" ht="12.75" customHeight="1" x14ac:dyDescent="0.25">
      <c r="B80" s="116" t="s">
        <v>11</v>
      </c>
      <c r="C80" s="29">
        <v>43.351590870161743</v>
      </c>
      <c r="D80" s="29">
        <v>41.918567000000003</v>
      </c>
      <c r="E80" s="50">
        <f t="shared" si="16"/>
        <v>0.15136881550513784</v>
      </c>
      <c r="F80" s="50">
        <f t="shared" si="17"/>
        <v>0.15671277215123589</v>
      </c>
      <c r="G80" s="50">
        <f t="shared" si="18"/>
        <v>0.54246891681467435</v>
      </c>
      <c r="H80" s="51">
        <f t="shared" si="19"/>
        <v>0.85332927845737017</v>
      </c>
      <c r="I80" s="50">
        <f t="shared" si="20"/>
        <v>7.3151094412376244E-2</v>
      </c>
    </row>
    <row r="81" spans="1:14" ht="12.75" customHeight="1" thickBot="1" x14ac:dyDescent="0.3">
      <c r="B81" s="88" t="s">
        <v>5</v>
      </c>
      <c r="C81" s="32">
        <v>131.03557864571476</v>
      </c>
      <c r="D81" s="32">
        <v>39.232453</v>
      </c>
      <c r="E81" s="52">
        <f t="shared" si="16"/>
        <v>0.45753108318532565</v>
      </c>
      <c r="F81" s="52">
        <f t="shared" si="17"/>
        <v>0.14667072154262978</v>
      </c>
      <c r="G81" s="52">
        <f t="shared" si="18"/>
        <v>1</v>
      </c>
      <c r="H81" s="53">
        <f t="shared" si="19"/>
        <v>1</v>
      </c>
      <c r="I81" s="52">
        <f t="shared" si="20"/>
        <v>0.11311751449314349</v>
      </c>
    </row>
    <row r="82" spans="1:14" ht="12.75" customHeight="1" thickBot="1" x14ac:dyDescent="0.3">
      <c r="B82" s="38" t="s">
        <v>13</v>
      </c>
      <c r="C82" s="32">
        <f>SUM(C70:C81)</f>
        <v>286.39710712864951</v>
      </c>
      <c r="D82" s="32">
        <f>SUM(D70:D81)</f>
        <v>267.48660255685115</v>
      </c>
      <c r="E82" s="52">
        <f>SUM(E71:E81)</f>
        <v>1</v>
      </c>
      <c r="F82" s="52">
        <f>SUM(F71:F81)</f>
        <v>1</v>
      </c>
      <c r="G82" s="53"/>
      <c r="H82" s="53"/>
      <c r="I82" s="52">
        <f>SUM(I70:I81)</f>
        <v>0.31971895035467196</v>
      </c>
    </row>
    <row r="83" spans="1:14" ht="12.75" customHeight="1" thickBot="1" x14ac:dyDescent="0.3">
      <c r="B83" s="48"/>
      <c r="C83" s="29"/>
      <c r="D83" s="29"/>
      <c r="E83" s="26"/>
      <c r="F83" s="27"/>
      <c r="G83" s="4"/>
      <c r="H83" s="40"/>
      <c r="I83" s="34"/>
    </row>
    <row r="84" spans="1:14" ht="12.75" customHeight="1" thickBot="1" x14ac:dyDescent="0.3">
      <c r="B84" s="4"/>
      <c r="C84" s="4"/>
      <c r="D84" s="4"/>
      <c r="E84" s="4"/>
      <c r="F84" s="4"/>
      <c r="G84" s="5"/>
      <c r="H84" s="49" t="s">
        <v>42</v>
      </c>
      <c r="I84" s="62">
        <f>1-(2*I82)</f>
        <v>0.36056209929065608</v>
      </c>
    </row>
    <row r="85" spans="1:14" ht="12.75" customHeight="1" x14ac:dyDescent="0.25">
      <c r="B85" s="4"/>
      <c r="C85" s="4"/>
      <c r="D85" s="4"/>
      <c r="E85" s="4"/>
      <c r="F85" s="4"/>
      <c r="G85" s="5"/>
      <c r="H85" s="112"/>
      <c r="I85" s="113"/>
    </row>
    <row r="86" spans="1:14" ht="12.75" customHeight="1" x14ac:dyDescent="0.25">
      <c r="B86" s="4"/>
      <c r="C86" s="4"/>
      <c r="D86" s="4"/>
      <c r="E86" s="4"/>
      <c r="F86" s="4"/>
      <c r="G86" s="5"/>
      <c r="H86" s="112"/>
      <c r="I86" s="113"/>
    </row>
    <row r="87" spans="1:14" ht="12.75" customHeight="1" x14ac:dyDescent="0.25"/>
    <row r="88" spans="1:14" ht="12.75" customHeight="1" x14ac:dyDescent="0.25"/>
    <row r="89" spans="1:14" ht="23.55" customHeight="1" x14ac:dyDescent="0.25">
      <c r="A89" s="211" t="s">
        <v>133</v>
      </c>
      <c r="B89" s="211"/>
      <c r="C89" s="211"/>
      <c r="D89" s="211"/>
      <c r="E89" s="211"/>
      <c r="F89" s="211"/>
    </row>
    <row r="90" spans="1:14" ht="12.75" customHeight="1" x14ac:dyDescent="0.25">
      <c r="D90" s="1"/>
    </row>
    <row r="91" spans="1:14" ht="12.75" customHeight="1" x14ac:dyDescent="0.25"/>
    <row r="92" spans="1:14" ht="16.2" thickBot="1" x14ac:dyDescent="0.35">
      <c r="B92" s="209" t="s">
        <v>114</v>
      </c>
      <c r="C92" s="209"/>
      <c r="D92" s="209"/>
      <c r="E92" s="209"/>
      <c r="F92" s="209"/>
      <c r="G92" s="209"/>
      <c r="H92" s="209"/>
      <c r="I92" s="209"/>
    </row>
    <row r="93" spans="1:14" ht="27" thickBot="1" x14ac:dyDescent="0.3">
      <c r="A93" s="8"/>
      <c r="B93" s="36" t="s">
        <v>20</v>
      </c>
      <c r="C93" s="37" t="s">
        <v>47</v>
      </c>
      <c r="D93" s="37" t="s">
        <v>49</v>
      </c>
      <c r="E93" s="37" t="s">
        <v>30</v>
      </c>
      <c r="F93" s="37" t="s">
        <v>22</v>
      </c>
      <c r="G93" s="37" t="s">
        <v>31</v>
      </c>
      <c r="H93" s="37" t="s">
        <v>137</v>
      </c>
      <c r="I93" s="37" t="s">
        <v>21</v>
      </c>
      <c r="J93" s="8"/>
      <c r="K93" s="8"/>
      <c r="L93" s="8"/>
      <c r="M93" s="8"/>
      <c r="N93" s="8"/>
    </row>
    <row r="94" spans="1:14" ht="12.75" customHeight="1" x14ac:dyDescent="0.25">
      <c r="B94" s="4"/>
      <c r="C94" s="26">
        <v>0</v>
      </c>
      <c r="D94" s="26">
        <v>0</v>
      </c>
      <c r="E94" s="50">
        <v>0</v>
      </c>
      <c r="F94" s="50">
        <v>0</v>
      </c>
      <c r="G94" s="50">
        <v>0</v>
      </c>
      <c r="H94" s="51">
        <f>F94</f>
        <v>0</v>
      </c>
      <c r="I94" s="50">
        <v>0</v>
      </c>
    </row>
    <row r="95" spans="1:14" ht="12.75" customHeight="1" x14ac:dyDescent="0.25">
      <c r="B95" s="84" t="s">
        <v>3</v>
      </c>
      <c r="C95" s="29">
        <v>3.3803673657372775</v>
      </c>
      <c r="D95" s="29">
        <v>7498.2226388555227</v>
      </c>
      <c r="E95" s="50">
        <f t="shared" ref="E95:E105" si="21">C95/$C$106</f>
        <v>1.6224065801728926E-3</v>
      </c>
      <c r="F95" s="50">
        <f t="shared" ref="F95:F105" si="22">D95/$D$106</f>
        <v>1.3686107021111144E-2</v>
      </c>
      <c r="G95" s="50">
        <f t="shared" ref="G95:G105" si="23">G94+E95</f>
        <v>1.6224065801728926E-3</v>
      </c>
      <c r="H95" s="51">
        <f t="shared" ref="H95:H105" si="24">F95+H94</f>
        <v>1.3686107021111144E-2</v>
      </c>
      <c r="I95" s="50">
        <f t="shared" ref="I95:I105" si="25">(G94+G95)*0.5*(H95-H94)</f>
        <v>1.1102215044000573E-5</v>
      </c>
    </row>
    <row r="96" spans="1:14" ht="12.75" customHeight="1" x14ac:dyDescent="0.25">
      <c r="B96" s="84" t="s">
        <v>4</v>
      </c>
      <c r="C96" s="29">
        <v>14.400136359321918</v>
      </c>
      <c r="D96" s="29">
        <v>4549.0211045835586</v>
      </c>
      <c r="E96" s="50">
        <f t="shared" si="21"/>
        <v>6.9113423060322386E-3</v>
      </c>
      <c r="F96" s="50">
        <f t="shared" si="22"/>
        <v>8.3030863015460567E-3</v>
      </c>
      <c r="G96" s="50">
        <f t="shared" si="23"/>
        <v>8.5337488862051308E-3</v>
      </c>
      <c r="H96" s="51">
        <f t="shared" si="24"/>
        <v>2.19891933226572E-2</v>
      </c>
      <c r="I96" s="50">
        <f t="shared" si="25"/>
        <v>4.2163717664627733E-5</v>
      </c>
    </row>
    <row r="97" spans="2:9" ht="12.75" customHeight="1" x14ac:dyDescent="0.25">
      <c r="B97" s="84" t="s">
        <v>1</v>
      </c>
      <c r="C97" s="29">
        <v>15.589621527401139</v>
      </c>
      <c r="D97" s="29">
        <v>33738.127951375733</v>
      </c>
      <c r="E97" s="50">
        <f t="shared" si="21"/>
        <v>7.4822354531115009E-3</v>
      </c>
      <c r="F97" s="50">
        <f t="shared" si="22"/>
        <v>6.1580410728501248E-2</v>
      </c>
      <c r="G97" s="50">
        <f t="shared" si="23"/>
        <v>1.6015984339316631E-2</v>
      </c>
      <c r="H97" s="51">
        <f t="shared" si="24"/>
        <v>8.3569604051158444E-2</v>
      </c>
      <c r="I97" s="50">
        <f t="shared" si="25"/>
        <v>7.558913276513819E-4</v>
      </c>
    </row>
    <row r="98" spans="2:9" ht="12.75" customHeight="1" x14ac:dyDescent="0.25">
      <c r="B98" s="84" t="s">
        <v>7</v>
      </c>
      <c r="C98" s="29">
        <v>21.331893349594765</v>
      </c>
      <c r="D98" s="29">
        <v>43226.930239887697</v>
      </c>
      <c r="E98" s="50">
        <f t="shared" si="21"/>
        <v>1.0238237562200726E-2</v>
      </c>
      <c r="F98" s="50">
        <f t="shared" si="22"/>
        <v>7.8899816923481969E-2</v>
      </c>
      <c r="G98" s="50">
        <f t="shared" si="23"/>
        <v>2.6254221901517355E-2</v>
      </c>
      <c r="H98" s="51">
        <f t="shared" si="24"/>
        <v>0.1624694209746404</v>
      </c>
      <c r="I98" s="50">
        <f t="shared" si="25"/>
        <v>1.6675557668598129E-3</v>
      </c>
    </row>
    <row r="99" spans="2:9" ht="12.75" customHeight="1" x14ac:dyDescent="0.25">
      <c r="B99" s="84" t="s">
        <v>2</v>
      </c>
      <c r="C99" s="29">
        <v>23.724017140818511</v>
      </c>
      <c r="D99" s="29">
        <v>4739.5256339269945</v>
      </c>
      <c r="E99" s="50">
        <f t="shared" si="21"/>
        <v>1.1386336854250027E-2</v>
      </c>
      <c r="F99" s="50">
        <f t="shared" si="22"/>
        <v>8.6508040877704764E-3</v>
      </c>
      <c r="G99" s="50">
        <f t="shared" si="23"/>
        <v>3.7640558755767384E-2</v>
      </c>
      <c r="H99" s="51">
        <f t="shared" si="24"/>
        <v>0.17112022506241087</v>
      </c>
      <c r="I99" s="50">
        <f t="shared" si="25"/>
        <v>2.7637061484861816E-4</v>
      </c>
    </row>
    <row r="100" spans="2:9" ht="12.75" customHeight="1" x14ac:dyDescent="0.25">
      <c r="B100" s="84" t="s">
        <v>6</v>
      </c>
      <c r="C100" s="29">
        <v>72.980329509151488</v>
      </c>
      <c r="D100" s="29">
        <v>34543.134541376516</v>
      </c>
      <c r="E100" s="50">
        <f t="shared" si="21"/>
        <v>3.5026893236205635E-2</v>
      </c>
      <c r="F100" s="50">
        <f t="shared" si="22"/>
        <v>6.3049746446323052E-2</v>
      </c>
      <c r="G100" s="50">
        <f t="shared" si="23"/>
        <v>7.2667451991973026E-2</v>
      </c>
      <c r="H100" s="51">
        <f t="shared" si="24"/>
        <v>0.23416997150873392</v>
      </c>
      <c r="I100" s="50">
        <f t="shared" si="25"/>
        <v>3.4774460543216556E-3</v>
      </c>
    </row>
    <row r="101" spans="2:9" ht="12.75" customHeight="1" x14ac:dyDescent="0.25">
      <c r="B101" s="84" t="s">
        <v>10</v>
      </c>
      <c r="C101" s="29">
        <v>130.37580876063711</v>
      </c>
      <c r="D101" s="29">
        <v>149774.72401466093</v>
      </c>
      <c r="E101" s="50">
        <f t="shared" si="21"/>
        <v>6.2573840989168947E-2</v>
      </c>
      <c r="F101" s="50">
        <f t="shared" si="22"/>
        <v>0.273375838602054</v>
      </c>
      <c r="G101" s="50">
        <f t="shared" si="23"/>
        <v>0.13524129298114196</v>
      </c>
      <c r="H101" s="51">
        <f t="shared" si="24"/>
        <v>0.50754581011078792</v>
      </c>
      <c r="I101" s="50">
        <f t="shared" si="25"/>
        <v>2.8418613754862945E-2</v>
      </c>
    </row>
    <row r="102" spans="2:9" ht="12.75" customHeight="1" x14ac:dyDescent="0.25">
      <c r="B102" s="116" t="s">
        <v>11</v>
      </c>
      <c r="C102" s="29">
        <v>292.66694540931792</v>
      </c>
      <c r="D102" s="29">
        <v>8412.6065227973904</v>
      </c>
      <c r="E102" s="50">
        <f t="shared" si="21"/>
        <v>0.14046543663978844</v>
      </c>
      <c r="F102" s="50">
        <f t="shared" si="22"/>
        <v>1.5355083296789959E-2</v>
      </c>
      <c r="G102" s="50">
        <f t="shared" si="23"/>
        <v>0.2757067296209304</v>
      </c>
      <c r="H102" s="51">
        <f t="shared" si="24"/>
        <v>0.52290089340757784</v>
      </c>
      <c r="I102" s="50">
        <f t="shared" si="25"/>
        <v>3.1550705588529633E-3</v>
      </c>
    </row>
    <row r="103" spans="2:9" ht="12.75" customHeight="1" x14ac:dyDescent="0.25">
      <c r="B103" s="84" t="s">
        <v>8</v>
      </c>
      <c r="C103" s="29">
        <v>404.09091338939459</v>
      </c>
      <c r="D103" s="29">
        <v>69411.089457609574</v>
      </c>
      <c r="E103" s="50">
        <f t="shared" si="21"/>
        <v>0.19394334577834801</v>
      </c>
      <c r="F103" s="50">
        <f t="shared" si="22"/>
        <v>0.12669237024865945</v>
      </c>
      <c r="G103" s="50">
        <f t="shared" si="23"/>
        <v>0.46965007539927839</v>
      </c>
      <c r="H103" s="51">
        <f t="shared" si="24"/>
        <v>0.64959326365623726</v>
      </c>
      <c r="I103" s="50">
        <f t="shared" si="25"/>
        <v>4.7215510154489077E-2</v>
      </c>
    </row>
    <row r="104" spans="2:9" ht="12.75" customHeight="1" x14ac:dyDescent="0.25">
      <c r="B104" s="84" t="s">
        <v>5</v>
      </c>
      <c r="C104" s="29">
        <v>484.06868290093661</v>
      </c>
      <c r="D104" s="29">
        <v>12709.055149886017</v>
      </c>
      <c r="E104" s="50">
        <f t="shared" si="21"/>
        <v>0.2323286588180673</v>
      </c>
      <c r="F104" s="50">
        <f t="shared" si="22"/>
        <v>2.3197162487174745E-2</v>
      </c>
      <c r="G104" s="50">
        <f t="shared" si="23"/>
        <v>0.70197873421734569</v>
      </c>
      <c r="H104" s="51">
        <f t="shared" si="24"/>
        <v>0.672790426143412</v>
      </c>
      <c r="I104" s="50">
        <f t="shared" si="25"/>
        <v>1.3589231935665972E-2</v>
      </c>
    </row>
    <row r="105" spans="2:9" ht="12.75" customHeight="1" thickBot="1" x14ac:dyDescent="0.3">
      <c r="B105" s="88" t="s">
        <v>9</v>
      </c>
      <c r="C105" s="32">
        <v>620.94260061497255</v>
      </c>
      <c r="D105" s="32">
        <v>179268.67227891536</v>
      </c>
      <c r="E105" s="52">
        <f t="shared" si="21"/>
        <v>0.2980212657826542</v>
      </c>
      <c r="F105" s="52">
        <f t="shared" si="22"/>
        <v>0.327209573856588</v>
      </c>
      <c r="G105" s="52">
        <f t="shared" si="23"/>
        <v>0.99999999999999989</v>
      </c>
      <c r="H105" s="53">
        <f t="shared" si="24"/>
        <v>1</v>
      </c>
      <c r="I105" s="52">
        <f t="shared" si="25"/>
        <v>0.27845186816811635</v>
      </c>
    </row>
    <row r="106" spans="2:9" ht="12.75" customHeight="1" thickBot="1" x14ac:dyDescent="0.3">
      <c r="B106" s="38" t="s">
        <v>13</v>
      </c>
      <c r="C106" s="32">
        <f>SUM(C94:C105)</f>
        <v>2083.551316327284</v>
      </c>
      <c r="D106" s="32">
        <f>SUM(D94:D105)</f>
        <v>547871.10953387525</v>
      </c>
      <c r="E106" s="39">
        <f>SUM(E95:E105)</f>
        <v>0.99999999999999989</v>
      </c>
      <c r="F106" s="33">
        <f>SUM(F95:F105)</f>
        <v>1</v>
      </c>
      <c r="G106" s="40"/>
      <c r="H106" s="40"/>
      <c r="I106" s="52">
        <f>SUM(I94:I105)</f>
        <v>0.37706082426837739</v>
      </c>
    </row>
    <row r="107" spans="2:9" ht="12.75" customHeight="1" thickBot="1" x14ac:dyDescent="0.3">
      <c r="B107" s="4"/>
      <c r="C107" s="4"/>
      <c r="D107" s="4"/>
      <c r="E107" s="4"/>
      <c r="F107" s="4"/>
      <c r="G107" s="4"/>
      <c r="H107" s="7"/>
      <c r="I107" s="54"/>
    </row>
    <row r="108" spans="2:9" ht="12.75" customHeight="1" thickBot="1" x14ac:dyDescent="0.3">
      <c r="B108" s="4"/>
      <c r="C108" s="4"/>
      <c r="D108" s="4"/>
      <c r="E108" s="4"/>
      <c r="F108" s="4"/>
      <c r="G108" s="5"/>
      <c r="H108" s="24" t="s">
        <v>33</v>
      </c>
      <c r="I108" s="53">
        <f>1-(2*I106)</f>
        <v>0.24587835146324521</v>
      </c>
    </row>
    <row r="109" spans="2:9" ht="12.75" customHeight="1" x14ac:dyDescent="0.25"/>
    <row r="110" spans="2:9" ht="12.75" customHeight="1" x14ac:dyDescent="0.25"/>
    <row r="111" spans="2:9" ht="12.75" customHeight="1" x14ac:dyDescent="0.25"/>
    <row r="112" spans="2:9" ht="12.75" customHeight="1" x14ac:dyDescent="0.25"/>
    <row r="113" spans="1:14" ht="16.2" thickBot="1" x14ac:dyDescent="0.35">
      <c r="B113" s="209" t="s">
        <v>115</v>
      </c>
      <c r="C113" s="209"/>
      <c r="D113" s="209"/>
      <c r="E113" s="209"/>
      <c r="F113" s="209"/>
      <c r="G113" s="209"/>
      <c r="H113" s="209"/>
      <c r="I113" s="209"/>
    </row>
    <row r="114" spans="1:14" ht="27" thickBot="1" x14ac:dyDescent="0.3">
      <c r="A114" s="8"/>
      <c r="B114" s="30" t="s">
        <v>20</v>
      </c>
      <c r="C114" s="31" t="s">
        <v>48</v>
      </c>
      <c r="D114" s="31" t="s">
        <v>49</v>
      </c>
      <c r="E114" s="31" t="s">
        <v>35</v>
      </c>
      <c r="F114" s="31" t="s">
        <v>22</v>
      </c>
      <c r="G114" s="31" t="s">
        <v>36</v>
      </c>
      <c r="H114" s="31" t="s">
        <v>137</v>
      </c>
      <c r="I114" s="31" t="s">
        <v>21</v>
      </c>
      <c r="J114" s="8"/>
      <c r="K114" s="8"/>
      <c r="L114" s="8"/>
      <c r="M114" s="8"/>
      <c r="N114" s="8"/>
    </row>
    <row r="115" spans="1:14" ht="12.75" customHeight="1" x14ac:dyDescent="0.25">
      <c r="B115" s="4"/>
      <c r="C115" s="26">
        <v>0</v>
      </c>
      <c r="D115" s="26">
        <v>0</v>
      </c>
      <c r="E115" s="50">
        <f t="shared" ref="E115:E126" si="26">C115/$C$127</f>
        <v>0</v>
      </c>
      <c r="F115" s="50">
        <v>0</v>
      </c>
      <c r="G115" s="50">
        <v>0</v>
      </c>
      <c r="H115" s="51">
        <f>F115</f>
        <v>0</v>
      </c>
      <c r="I115" s="50">
        <v>0</v>
      </c>
    </row>
    <row r="116" spans="1:14" ht="12.75" customHeight="1" x14ac:dyDescent="0.25">
      <c r="B116" s="84" t="s">
        <v>4</v>
      </c>
      <c r="C116" s="29">
        <v>11.171359418917772</v>
      </c>
      <c r="D116" s="29">
        <v>4549.0211045835586</v>
      </c>
      <c r="E116" s="50">
        <f t="shared" si="26"/>
        <v>5.2999093049631314E-3</v>
      </c>
      <c r="F116" s="50">
        <f t="shared" ref="F116:F126" si="27">D116/$D$127</f>
        <v>8.3030863015460567E-3</v>
      </c>
      <c r="G116" s="50">
        <f t="shared" ref="G116:G126" si="28">G115+E116</f>
        <v>5.2999093049631314E-3</v>
      </c>
      <c r="H116" s="51">
        <f t="shared" ref="H116:H126" si="29">F116+H115</f>
        <v>8.3030863015460567E-3</v>
      </c>
      <c r="I116" s="50">
        <f t="shared" ref="I116:I126" si="30">(G115+G116)*0.5*(H116-H115)</f>
        <v>2.2002802174737928E-5</v>
      </c>
    </row>
    <row r="117" spans="1:14" ht="12.75" customHeight="1" x14ac:dyDescent="0.25">
      <c r="B117" s="84" t="s">
        <v>1</v>
      </c>
      <c r="C117" s="29">
        <v>13.62551145548483</v>
      </c>
      <c r="D117" s="29">
        <v>4739.5256339269945</v>
      </c>
      <c r="E117" s="50">
        <f t="shared" si="26"/>
        <v>6.4642065696603936E-3</v>
      </c>
      <c r="F117" s="50">
        <f t="shared" si="27"/>
        <v>8.6508040877704764E-3</v>
      </c>
      <c r="G117" s="50">
        <f t="shared" si="28"/>
        <v>1.1764115874623525E-2</v>
      </c>
      <c r="H117" s="51">
        <f t="shared" si="29"/>
        <v>1.6953890389316533E-2</v>
      </c>
      <c r="I117" s="50">
        <f t="shared" si="30"/>
        <v>7.3808769388693281E-5</v>
      </c>
    </row>
    <row r="118" spans="1:14" ht="12.75" customHeight="1" x14ac:dyDescent="0.25">
      <c r="B118" s="84" t="s">
        <v>7</v>
      </c>
      <c r="C118" s="29">
        <v>19.890651093947945</v>
      </c>
      <c r="D118" s="29">
        <v>43226.930239887697</v>
      </c>
      <c r="E118" s="50">
        <f t="shared" si="26"/>
        <v>9.4365101740502624E-3</v>
      </c>
      <c r="F118" s="50">
        <f t="shared" si="27"/>
        <v>7.8899816923481969E-2</v>
      </c>
      <c r="G118" s="50">
        <f t="shared" si="28"/>
        <v>2.1200626048673787E-2</v>
      </c>
      <c r="H118" s="51">
        <f t="shared" si="29"/>
        <v>9.5853707312798506E-2</v>
      </c>
      <c r="I118" s="50">
        <f t="shared" si="30"/>
        <v>1.3004560513389944E-3</v>
      </c>
    </row>
    <row r="119" spans="1:14" ht="12.75" customHeight="1" x14ac:dyDescent="0.25">
      <c r="B119" s="84" t="s">
        <v>2</v>
      </c>
      <c r="C119" s="29">
        <v>26.053635154547475</v>
      </c>
      <c r="D119" s="29">
        <v>7498.2226388555227</v>
      </c>
      <c r="E119" s="50">
        <f t="shared" si="26"/>
        <v>1.2360349193480467E-2</v>
      </c>
      <c r="F119" s="50">
        <f t="shared" si="27"/>
        <v>1.3686107021111144E-2</v>
      </c>
      <c r="G119" s="50">
        <f t="shared" si="28"/>
        <v>3.3560975242154255E-2</v>
      </c>
      <c r="H119" s="51">
        <f t="shared" si="29"/>
        <v>0.10953981433390965</v>
      </c>
      <c r="I119" s="50">
        <f t="shared" si="30"/>
        <v>3.7473656795684537E-4</v>
      </c>
    </row>
    <row r="120" spans="1:14" ht="12.75" customHeight="1" x14ac:dyDescent="0.25">
      <c r="B120" s="84" t="s">
        <v>6</v>
      </c>
      <c r="C120" s="29">
        <v>58.065831028798335</v>
      </c>
      <c r="D120" s="29">
        <v>33738.127951375733</v>
      </c>
      <c r="E120" s="50">
        <f t="shared" si="26"/>
        <v>2.7547555013654544E-2</v>
      </c>
      <c r="F120" s="50">
        <f t="shared" si="27"/>
        <v>6.1580410728501248E-2</v>
      </c>
      <c r="G120" s="50">
        <f t="shared" si="28"/>
        <v>6.1108530255808799E-2</v>
      </c>
      <c r="H120" s="51">
        <f t="shared" si="29"/>
        <v>0.1711202250624109</v>
      </c>
      <c r="I120" s="50">
        <f t="shared" si="30"/>
        <v>2.9148935160143359E-3</v>
      </c>
    </row>
    <row r="121" spans="1:14" ht="12.75" customHeight="1" x14ac:dyDescent="0.25">
      <c r="B121" s="84" t="s">
        <v>3</v>
      </c>
      <c r="C121" s="29">
        <v>63.208496046190042</v>
      </c>
      <c r="D121" s="29">
        <v>12709.055149886017</v>
      </c>
      <c r="E121" s="50">
        <f t="shared" si="26"/>
        <v>2.9987334914731531E-2</v>
      </c>
      <c r="F121" s="50">
        <f t="shared" si="27"/>
        <v>2.3197162487174745E-2</v>
      </c>
      <c r="G121" s="50">
        <f t="shared" si="28"/>
        <v>9.109586517054033E-2</v>
      </c>
      <c r="H121" s="51">
        <f t="shared" si="29"/>
        <v>0.19431738754958564</v>
      </c>
      <c r="I121" s="50">
        <f t="shared" si="30"/>
        <v>1.7653550459836079E-3</v>
      </c>
    </row>
    <row r="122" spans="1:14" ht="12.75" customHeight="1" x14ac:dyDescent="0.25">
      <c r="B122" s="84" t="s">
        <v>10</v>
      </c>
      <c r="C122" s="29">
        <v>113.8115207203455</v>
      </c>
      <c r="D122" s="29">
        <v>179268.67227891536</v>
      </c>
      <c r="E122" s="50">
        <f t="shared" si="26"/>
        <v>5.3994390034243257E-2</v>
      </c>
      <c r="F122" s="50">
        <f t="shared" si="27"/>
        <v>0.327209573856588</v>
      </c>
      <c r="G122" s="50">
        <f t="shared" si="28"/>
        <v>0.14509025520478358</v>
      </c>
      <c r="H122" s="51">
        <f t="shared" si="29"/>
        <v>0.52152696140617361</v>
      </c>
      <c r="I122" s="50">
        <f t="shared" si="30"/>
        <v>3.8641179899425268E-2</v>
      </c>
    </row>
    <row r="123" spans="1:14" ht="12.75" customHeight="1" x14ac:dyDescent="0.25">
      <c r="B123" s="116" t="s">
        <v>11</v>
      </c>
      <c r="C123" s="29">
        <v>276.95149598433915</v>
      </c>
      <c r="D123" s="29">
        <v>8412.6065227973904</v>
      </c>
      <c r="E123" s="50">
        <f t="shared" si="26"/>
        <v>0.13139115442881824</v>
      </c>
      <c r="F123" s="50">
        <f t="shared" si="27"/>
        <v>1.5355083296789959E-2</v>
      </c>
      <c r="G123" s="50">
        <f t="shared" si="28"/>
        <v>0.27648140963360179</v>
      </c>
      <c r="H123" s="51">
        <f t="shared" si="29"/>
        <v>0.53688204470296352</v>
      </c>
      <c r="I123" s="50">
        <f t="shared" si="30"/>
        <v>3.2366340145799045E-3</v>
      </c>
    </row>
    <row r="124" spans="1:14" ht="12.75" customHeight="1" x14ac:dyDescent="0.25">
      <c r="B124" s="84" t="s">
        <v>5</v>
      </c>
      <c r="C124" s="29">
        <v>353.6026358725851</v>
      </c>
      <c r="D124" s="29">
        <v>34543.134541376516</v>
      </c>
      <c r="E124" s="50">
        <f t="shared" si="26"/>
        <v>0.16775593997513275</v>
      </c>
      <c r="F124" s="50">
        <f t="shared" si="27"/>
        <v>6.3049746446323052E-2</v>
      </c>
      <c r="G124" s="50">
        <f t="shared" si="28"/>
        <v>0.44423734960873451</v>
      </c>
      <c r="H124" s="51">
        <f t="shared" si="29"/>
        <v>0.59993179114928652</v>
      </c>
      <c r="I124" s="50">
        <f t="shared" si="30"/>
        <v>2.2720567514668905E-2</v>
      </c>
    </row>
    <row r="125" spans="1:14" ht="12.75" customHeight="1" x14ac:dyDescent="0.25">
      <c r="B125" s="84" t="s">
        <v>8</v>
      </c>
      <c r="C125" s="29">
        <v>436.58135275731689</v>
      </c>
      <c r="D125" s="29">
        <v>69411.089457609574</v>
      </c>
      <c r="E125" s="50">
        <f t="shared" si="26"/>
        <v>0.20712265061793605</v>
      </c>
      <c r="F125" s="50">
        <f t="shared" si="27"/>
        <v>0.12669237024865945</v>
      </c>
      <c r="G125" s="50">
        <f t="shared" si="28"/>
        <v>0.65136000022667062</v>
      </c>
      <c r="H125" s="51">
        <f t="shared" si="29"/>
        <v>0.72662416139794594</v>
      </c>
      <c r="I125" s="50">
        <f t="shared" si="30"/>
        <v>6.9401912544398606E-2</v>
      </c>
    </row>
    <row r="126" spans="1:14" ht="12.75" customHeight="1" thickBot="1" x14ac:dyDescent="0.3">
      <c r="B126" s="88" t="s">
        <v>9</v>
      </c>
      <c r="C126" s="32">
        <v>734.87724433925337</v>
      </c>
      <c r="D126" s="32">
        <v>149774.72401466093</v>
      </c>
      <c r="E126" s="52">
        <f t="shared" si="26"/>
        <v>0.34863999977332938</v>
      </c>
      <c r="F126" s="52">
        <f t="shared" si="27"/>
        <v>0.273375838602054</v>
      </c>
      <c r="G126" s="52">
        <f t="shared" si="28"/>
        <v>1</v>
      </c>
      <c r="H126" s="53">
        <f t="shared" si="29"/>
        <v>1</v>
      </c>
      <c r="I126" s="52">
        <f t="shared" si="30"/>
        <v>0.22572096244792714</v>
      </c>
    </row>
    <row r="127" spans="1:14" ht="12.75" customHeight="1" thickBot="1" x14ac:dyDescent="0.3">
      <c r="B127" s="38" t="s">
        <v>13</v>
      </c>
      <c r="C127" s="32">
        <f>SUM(C115:C126)</f>
        <v>2107.8397338717264</v>
      </c>
      <c r="D127" s="32">
        <f>SUM(D115:D126)</f>
        <v>547871.10953387525</v>
      </c>
      <c r="E127" s="52">
        <f>SUM(E116:E126)</f>
        <v>1</v>
      </c>
      <c r="F127" s="52">
        <f>SUM(F116:F126)</f>
        <v>1</v>
      </c>
      <c r="G127" s="53"/>
      <c r="H127" s="53"/>
      <c r="I127" s="52">
        <f>SUM(I115:I126)</f>
        <v>0.36617250917385702</v>
      </c>
    </row>
    <row r="128" spans="1:14" ht="12.75" customHeight="1" thickBot="1" x14ac:dyDescent="0.3">
      <c r="B128" s="4"/>
      <c r="C128" s="4"/>
      <c r="D128" s="4"/>
      <c r="E128" s="51"/>
      <c r="F128" s="51"/>
      <c r="G128" s="51"/>
      <c r="H128" s="54"/>
      <c r="I128" s="54"/>
    </row>
    <row r="129" spans="1:14" ht="12.75" customHeight="1" thickBot="1" x14ac:dyDescent="0.3">
      <c r="B129" s="4"/>
      <c r="C129" s="4"/>
      <c r="D129" s="4"/>
      <c r="E129" s="51"/>
      <c r="F129" s="51"/>
      <c r="G129" s="56"/>
      <c r="H129" s="57" t="s">
        <v>33</v>
      </c>
      <c r="I129" s="53">
        <f>1-(2*I127)</f>
        <v>0.26765498165228596</v>
      </c>
    </row>
    <row r="130" spans="1:14" ht="12.75" customHeight="1" x14ac:dyDescent="0.25"/>
    <row r="131" spans="1:14" ht="12.75" customHeight="1" x14ac:dyDescent="0.25"/>
    <row r="132" spans="1:14" ht="12.75" customHeight="1" x14ac:dyDescent="0.25"/>
    <row r="133" spans="1:14" ht="12.75" customHeight="1" x14ac:dyDescent="0.25"/>
    <row r="134" spans="1:14" ht="16.2" thickBot="1" x14ac:dyDescent="0.35">
      <c r="B134" s="209" t="s">
        <v>120</v>
      </c>
      <c r="C134" s="209"/>
      <c r="D134" s="209"/>
      <c r="E134" s="209"/>
      <c r="F134" s="209"/>
      <c r="G134" s="209"/>
      <c r="H134" s="209"/>
      <c r="I134" s="209"/>
    </row>
    <row r="135" spans="1:14" ht="27" thickBot="1" x14ac:dyDescent="0.3">
      <c r="A135" s="8"/>
      <c r="B135" s="30" t="s">
        <v>20</v>
      </c>
      <c r="C135" s="31" t="s">
        <v>43</v>
      </c>
      <c r="D135" s="31" t="s">
        <v>39</v>
      </c>
      <c r="E135" s="31" t="s">
        <v>16</v>
      </c>
      <c r="F135" s="31" t="s">
        <v>22</v>
      </c>
      <c r="G135" s="31" t="s">
        <v>18</v>
      </c>
      <c r="H135" s="31" t="s">
        <v>137</v>
      </c>
      <c r="I135" s="31" t="s">
        <v>21</v>
      </c>
      <c r="J135" s="8"/>
      <c r="K135" s="8"/>
      <c r="L135" s="8"/>
      <c r="M135" s="8"/>
      <c r="N135" s="8"/>
    </row>
    <row r="136" spans="1:14" ht="12.75" customHeight="1" x14ac:dyDescent="0.25">
      <c r="B136" s="4"/>
      <c r="C136" s="26">
        <v>0</v>
      </c>
      <c r="D136" s="26">
        <v>0</v>
      </c>
      <c r="E136" s="50">
        <v>0</v>
      </c>
      <c r="F136" s="50">
        <v>0</v>
      </c>
      <c r="G136" s="50">
        <v>0</v>
      </c>
      <c r="H136" s="51">
        <f>F136</f>
        <v>0</v>
      </c>
      <c r="I136" s="50">
        <v>0</v>
      </c>
    </row>
    <row r="137" spans="1:14" ht="12.75" customHeight="1" x14ac:dyDescent="0.25">
      <c r="B137" s="84" t="s">
        <v>2</v>
      </c>
      <c r="C137" s="29">
        <v>0</v>
      </c>
      <c r="D137" s="29">
        <v>179268.67227891536</v>
      </c>
      <c r="E137" s="50">
        <f t="shared" ref="E137:E147" si="31">C137/$C$148</f>
        <v>0</v>
      </c>
      <c r="F137" s="50">
        <f t="shared" ref="F137:F147" si="32">D137/$D$148</f>
        <v>0.327209573856588</v>
      </c>
      <c r="G137" s="50">
        <f t="shared" ref="G137:G147" si="33">G136+E137</f>
        <v>0</v>
      </c>
      <c r="H137" s="51">
        <f t="shared" ref="H137:H147" si="34">F137+H136</f>
        <v>0.327209573856588</v>
      </c>
      <c r="I137" s="50">
        <f t="shared" ref="I137:I147" si="35">(G136+G137)*0.5*(H137-H136)</f>
        <v>0</v>
      </c>
    </row>
    <row r="138" spans="1:14" ht="12.75" customHeight="1" x14ac:dyDescent="0.25">
      <c r="B138" s="84" t="s">
        <v>3</v>
      </c>
      <c r="C138" s="29">
        <v>0</v>
      </c>
      <c r="D138" s="29">
        <v>8412.6065227973904</v>
      </c>
      <c r="E138" s="50">
        <f t="shared" si="31"/>
        <v>0</v>
      </c>
      <c r="F138" s="50">
        <f t="shared" si="32"/>
        <v>1.5355083296789959E-2</v>
      </c>
      <c r="G138" s="50">
        <f t="shared" si="33"/>
        <v>0</v>
      </c>
      <c r="H138" s="51">
        <f t="shared" si="34"/>
        <v>0.34256465715337797</v>
      </c>
      <c r="I138" s="50">
        <f t="shared" si="35"/>
        <v>0</v>
      </c>
    </row>
    <row r="139" spans="1:14" ht="12.75" customHeight="1" x14ac:dyDescent="0.25">
      <c r="B139" s="84" t="s">
        <v>8</v>
      </c>
      <c r="C139" s="29">
        <v>0</v>
      </c>
      <c r="D139" s="29">
        <v>34543.134541376516</v>
      </c>
      <c r="E139" s="50">
        <f t="shared" si="31"/>
        <v>0</v>
      </c>
      <c r="F139" s="50">
        <f t="shared" si="32"/>
        <v>6.3049746446323052E-2</v>
      </c>
      <c r="G139" s="50">
        <f t="shared" si="33"/>
        <v>0</v>
      </c>
      <c r="H139" s="51">
        <f t="shared" si="34"/>
        <v>0.40561440359970102</v>
      </c>
      <c r="I139" s="50">
        <f t="shared" si="35"/>
        <v>0</v>
      </c>
    </row>
    <row r="140" spans="1:14" ht="12.75" customHeight="1" x14ac:dyDescent="0.25">
      <c r="B140" s="84" t="s">
        <v>9</v>
      </c>
      <c r="C140" s="29">
        <v>0</v>
      </c>
      <c r="D140" s="29">
        <v>43226.930239887697</v>
      </c>
      <c r="E140" s="50">
        <f t="shared" si="31"/>
        <v>0</v>
      </c>
      <c r="F140" s="50">
        <f t="shared" si="32"/>
        <v>7.8899816923481969E-2</v>
      </c>
      <c r="G140" s="50">
        <f t="shared" si="33"/>
        <v>0</v>
      </c>
      <c r="H140" s="51">
        <f t="shared" si="34"/>
        <v>0.48451422052318299</v>
      </c>
      <c r="I140" s="50">
        <f t="shared" si="35"/>
        <v>0</v>
      </c>
    </row>
    <row r="141" spans="1:14" ht="12.75" customHeight="1" x14ac:dyDescent="0.25">
      <c r="B141" s="84" t="s">
        <v>7</v>
      </c>
      <c r="C141" s="29">
        <v>1.5386391808328861</v>
      </c>
      <c r="D141" s="29">
        <v>12709.055149886017</v>
      </c>
      <c r="E141" s="50">
        <f t="shared" si="31"/>
        <v>7.5433856413997481E-3</v>
      </c>
      <c r="F141" s="50">
        <f t="shared" si="32"/>
        <v>2.3197162487174745E-2</v>
      </c>
      <c r="G141" s="50">
        <f t="shared" si="33"/>
        <v>7.5433856413997481E-3</v>
      </c>
      <c r="H141" s="51">
        <f t="shared" si="34"/>
        <v>0.50771138301035779</v>
      </c>
      <c r="I141" s="50">
        <f t="shared" si="35"/>
        <v>8.7492571213485605E-5</v>
      </c>
    </row>
    <row r="142" spans="1:14" ht="12.75" customHeight="1" x14ac:dyDescent="0.25">
      <c r="B142" s="84" t="s">
        <v>1</v>
      </c>
      <c r="C142" s="29">
        <v>1.9832072109514134</v>
      </c>
      <c r="D142" s="29">
        <v>33738.127951375733</v>
      </c>
      <c r="E142" s="50">
        <f t="shared" si="31"/>
        <v>9.7229402353534444E-3</v>
      </c>
      <c r="F142" s="50">
        <f t="shared" si="32"/>
        <v>6.1580410728501248E-2</v>
      </c>
      <c r="G142" s="50">
        <f t="shared" si="33"/>
        <v>1.7266325876753193E-2</v>
      </c>
      <c r="H142" s="51">
        <f t="shared" si="34"/>
        <v>0.56929179373885908</v>
      </c>
      <c r="I142" s="50">
        <f t="shared" si="35"/>
        <v>7.638961126717437E-4</v>
      </c>
    </row>
    <row r="143" spans="1:14" ht="12.75" customHeight="1" x14ac:dyDescent="0.25">
      <c r="B143" s="84" t="s">
        <v>4</v>
      </c>
      <c r="C143" s="29">
        <v>3.2750912718752518</v>
      </c>
      <c r="D143" s="29">
        <v>4549.0211045835586</v>
      </c>
      <c r="E143" s="50">
        <f t="shared" si="31"/>
        <v>1.6056575695130883E-2</v>
      </c>
      <c r="F143" s="50">
        <f t="shared" si="32"/>
        <v>8.3030863015460567E-3</v>
      </c>
      <c r="G143" s="50">
        <f t="shared" si="33"/>
        <v>3.3322901571884077E-2</v>
      </c>
      <c r="H143" s="51">
        <f t="shared" si="34"/>
        <v>0.57759488004040516</v>
      </c>
      <c r="I143" s="50">
        <f t="shared" si="35"/>
        <v>2.1002336071728955E-4</v>
      </c>
    </row>
    <row r="144" spans="1:14" ht="12.75" customHeight="1" x14ac:dyDescent="0.25">
      <c r="B144" s="84" t="s">
        <v>6</v>
      </c>
      <c r="C144" s="29">
        <v>16.052819884560293</v>
      </c>
      <c r="D144" s="29">
        <v>7498.2226388555227</v>
      </c>
      <c r="E144" s="50">
        <f t="shared" si="31"/>
        <v>7.8701109740114253E-2</v>
      </c>
      <c r="F144" s="50">
        <f t="shared" si="32"/>
        <v>1.3686107021111144E-2</v>
      </c>
      <c r="G144" s="50">
        <f t="shared" si="33"/>
        <v>0.11202401131199832</v>
      </c>
      <c r="H144" s="51">
        <f t="shared" si="34"/>
        <v>0.59128098706151633</v>
      </c>
      <c r="I144" s="50">
        <f t="shared" si="35"/>
        <v>9.9461670245846838E-4</v>
      </c>
    </row>
    <row r="145" spans="1:14" ht="12.75" customHeight="1" x14ac:dyDescent="0.25">
      <c r="B145" s="116" t="s">
        <v>11</v>
      </c>
      <c r="C145" s="29">
        <v>22.251590870161746</v>
      </c>
      <c r="D145" s="29">
        <v>149774.72401466093</v>
      </c>
      <c r="E145" s="50">
        <f t="shared" si="31"/>
        <v>0.1090914186764821</v>
      </c>
      <c r="F145" s="50">
        <f t="shared" si="32"/>
        <v>0.273375838602054</v>
      </c>
      <c r="G145" s="50">
        <f t="shared" si="33"/>
        <v>0.22111542998848044</v>
      </c>
      <c r="H145" s="51">
        <f t="shared" si="34"/>
        <v>0.86465682566357027</v>
      </c>
      <c r="I145" s="50">
        <f t="shared" si="35"/>
        <v>4.5536137068469054E-2</v>
      </c>
    </row>
    <row r="146" spans="1:14" ht="12.75" customHeight="1" x14ac:dyDescent="0.25">
      <c r="B146" s="84" t="s">
        <v>10</v>
      </c>
      <c r="C146" s="29">
        <v>27.835036451662162</v>
      </c>
      <c r="D146" s="29">
        <v>69411.089457609574</v>
      </c>
      <c r="E146" s="50">
        <f t="shared" si="31"/>
        <v>0.13646501201382844</v>
      </c>
      <c r="F146" s="50">
        <f t="shared" si="32"/>
        <v>0.12669237024865945</v>
      </c>
      <c r="G146" s="50">
        <f t="shared" si="33"/>
        <v>0.35758044200230887</v>
      </c>
      <c r="H146" s="51">
        <f t="shared" si="34"/>
        <v>0.9913491959122297</v>
      </c>
      <c r="I146" s="50">
        <f t="shared" si="35"/>
        <v>3.6658175837813951E-2</v>
      </c>
    </row>
    <row r="147" spans="1:14" ht="12.75" customHeight="1" thickBot="1" x14ac:dyDescent="0.3">
      <c r="B147" s="88" t="s">
        <v>5</v>
      </c>
      <c r="C147" s="32">
        <v>131.03557864571476</v>
      </c>
      <c r="D147" s="32">
        <v>4739.5256339269945</v>
      </c>
      <c r="E147" s="52">
        <f t="shared" si="31"/>
        <v>0.64241955799769113</v>
      </c>
      <c r="F147" s="52">
        <f t="shared" si="32"/>
        <v>8.6508040877704764E-3</v>
      </c>
      <c r="G147" s="52">
        <f t="shared" si="33"/>
        <v>1</v>
      </c>
      <c r="H147" s="53">
        <f t="shared" si="34"/>
        <v>1.0000000000000002</v>
      </c>
      <c r="I147" s="52">
        <f t="shared" si="35"/>
        <v>5.8720812185754454E-3</v>
      </c>
    </row>
    <row r="148" spans="1:14" ht="12.75" customHeight="1" thickBot="1" x14ac:dyDescent="0.3">
      <c r="B148" s="38" t="s">
        <v>13</v>
      </c>
      <c r="C148" s="32">
        <f>SUM(C136:C147)</f>
        <v>203.97196351575852</v>
      </c>
      <c r="D148" s="32">
        <f>SUM(D136:D147)</f>
        <v>547871.10953387525</v>
      </c>
      <c r="E148" s="52">
        <f>SUM(E137:E147)</f>
        <v>1</v>
      </c>
      <c r="F148" s="52">
        <f>SUM(F137:F147)</f>
        <v>1.0000000000000002</v>
      </c>
      <c r="G148" s="53"/>
      <c r="H148" s="53"/>
      <c r="I148" s="52">
        <f>SUM(I136:I147)</f>
        <v>9.0122422871919447E-2</v>
      </c>
    </row>
    <row r="149" spans="1:14" ht="12.75" customHeight="1" thickBot="1" x14ac:dyDescent="0.3">
      <c r="B149" s="4"/>
      <c r="C149" s="4"/>
      <c r="D149" s="4"/>
      <c r="E149" s="51"/>
      <c r="F149" s="51"/>
      <c r="G149" s="51"/>
      <c r="H149" s="54"/>
      <c r="I149" s="54"/>
    </row>
    <row r="150" spans="1:14" ht="12.75" customHeight="1" thickBot="1" x14ac:dyDescent="0.3">
      <c r="B150" s="4"/>
      <c r="C150" s="4"/>
      <c r="D150" s="4"/>
      <c r="E150" s="51"/>
      <c r="F150" s="51"/>
      <c r="G150" s="56"/>
      <c r="H150" s="57" t="s">
        <v>37</v>
      </c>
      <c r="I150" s="53">
        <f>1-(2*I148)</f>
        <v>0.81975515425616108</v>
      </c>
    </row>
    <row r="151" spans="1:14" ht="12.75" customHeight="1" x14ac:dyDescent="0.25"/>
    <row r="152" spans="1:14" ht="12.75" customHeight="1" x14ac:dyDescent="0.25"/>
    <row r="153" spans="1:14" ht="12.75" customHeight="1" x14ac:dyDescent="0.25"/>
    <row r="154" spans="1:14" ht="12.75" customHeight="1" x14ac:dyDescent="0.25"/>
    <row r="155" spans="1:14" ht="16.2" thickBot="1" x14ac:dyDescent="0.35">
      <c r="B155" s="209" t="s">
        <v>116</v>
      </c>
      <c r="C155" s="209"/>
      <c r="D155" s="209"/>
      <c r="E155" s="209"/>
      <c r="F155" s="209"/>
      <c r="G155" s="209"/>
      <c r="H155" s="209"/>
      <c r="I155" s="209"/>
    </row>
    <row r="156" spans="1:14" ht="27" thickBot="1" x14ac:dyDescent="0.3">
      <c r="A156" s="8"/>
      <c r="B156" s="30" t="s">
        <v>20</v>
      </c>
      <c r="C156" s="31" t="s">
        <v>44</v>
      </c>
      <c r="D156" s="31" t="s">
        <v>45</v>
      </c>
      <c r="E156" s="31" t="s">
        <v>16</v>
      </c>
      <c r="F156" s="31" t="s">
        <v>22</v>
      </c>
      <c r="G156" s="31" t="s">
        <v>18</v>
      </c>
      <c r="H156" s="31" t="s">
        <v>137</v>
      </c>
      <c r="I156" s="31" t="s">
        <v>21</v>
      </c>
      <c r="J156" s="8"/>
      <c r="K156" s="8"/>
      <c r="L156" s="8"/>
      <c r="M156" s="8"/>
      <c r="N156" s="8"/>
    </row>
    <row r="157" spans="1:14" ht="12.75" customHeight="1" x14ac:dyDescent="0.25">
      <c r="B157" s="4"/>
      <c r="C157" s="26">
        <v>0</v>
      </c>
      <c r="D157" s="26">
        <v>0</v>
      </c>
      <c r="E157" s="50">
        <v>0</v>
      </c>
      <c r="F157" s="50">
        <v>0</v>
      </c>
      <c r="G157" s="50">
        <v>0</v>
      </c>
      <c r="H157" s="51">
        <f>F157</f>
        <v>0</v>
      </c>
      <c r="I157" s="50">
        <v>0</v>
      </c>
    </row>
    <row r="158" spans="1:14" ht="12.75" customHeight="1" x14ac:dyDescent="0.25">
      <c r="B158" s="84" t="s">
        <v>2</v>
      </c>
      <c r="C158" s="29">
        <v>0</v>
      </c>
      <c r="D158" s="29">
        <v>4739.5256339269945</v>
      </c>
      <c r="E158" s="50">
        <f t="shared" ref="E158:E168" si="36">C158/$C$169</f>
        <v>0</v>
      </c>
      <c r="F158" s="50">
        <f t="shared" ref="F158:F168" si="37">D158/$D$169</f>
        <v>8.6508040877704764E-3</v>
      </c>
      <c r="G158" s="50">
        <f t="shared" ref="G158:G168" si="38">G157+E158</f>
        <v>0</v>
      </c>
      <c r="H158" s="51">
        <f t="shared" ref="H158:H168" si="39">F158+H157</f>
        <v>8.6508040877704764E-3</v>
      </c>
      <c r="I158" s="50">
        <f t="shared" ref="I158:I168" si="40">(G157+G158)*0.5*(H158-H157)</f>
        <v>0</v>
      </c>
    </row>
    <row r="159" spans="1:14" ht="12.75" customHeight="1" x14ac:dyDescent="0.25">
      <c r="B159" s="84" t="s">
        <v>9</v>
      </c>
      <c r="C159" s="29">
        <v>0</v>
      </c>
      <c r="D159" s="29">
        <v>43226.930239887697</v>
      </c>
      <c r="E159" s="50">
        <f t="shared" si="36"/>
        <v>0</v>
      </c>
      <c r="F159" s="50">
        <f t="shared" si="37"/>
        <v>7.8899816923481969E-2</v>
      </c>
      <c r="G159" s="50">
        <f t="shared" si="38"/>
        <v>0</v>
      </c>
      <c r="H159" s="51">
        <f t="shared" si="39"/>
        <v>8.7550621011252439E-2</v>
      </c>
      <c r="I159" s="50">
        <f t="shared" si="40"/>
        <v>0</v>
      </c>
    </row>
    <row r="160" spans="1:14" ht="12.75" customHeight="1" x14ac:dyDescent="0.25">
      <c r="B160" s="84" t="s">
        <v>1</v>
      </c>
      <c r="C160" s="29">
        <v>1.9832072109514134</v>
      </c>
      <c r="D160" s="29">
        <v>4549.0211045835586</v>
      </c>
      <c r="E160" s="50">
        <f t="shared" si="36"/>
        <v>6.9246761283121381E-3</v>
      </c>
      <c r="F160" s="50">
        <f t="shared" si="37"/>
        <v>8.3030863015460567E-3</v>
      </c>
      <c r="G160" s="50">
        <f t="shared" si="38"/>
        <v>6.9246761283121381E-3</v>
      </c>
      <c r="H160" s="51">
        <f t="shared" si="39"/>
        <v>9.5853707312798492E-2</v>
      </c>
      <c r="I160" s="50">
        <f t="shared" si="40"/>
        <v>2.8748091751815736E-5</v>
      </c>
    </row>
    <row r="161" spans="1:9" ht="12.75" customHeight="1" x14ac:dyDescent="0.25">
      <c r="B161" s="84" t="s">
        <v>4</v>
      </c>
      <c r="C161" s="29">
        <v>3.2750912718752518</v>
      </c>
      <c r="D161" s="29">
        <v>12709.055149886017</v>
      </c>
      <c r="E161" s="50">
        <f t="shared" si="36"/>
        <v>1.1435490060324113E-2</v>
      </c>
      <c r="F161" s="50">
        <f t="shared" si="37"/>
        <v>2.3197162487174745E-2</v>
      </c>
      <c r="G161" s="50">
        <f t="shared" si="38"/>
        <v>1.836016618863625E-2</v>
      </c>
      <c r="H161" s="51">
        <f t="shared" si="39"/>
        <v>0.11905086979997323</v>
      </c>
      <c r="I161" s="50">
        <f t="shared" si="40"/>
        <v>2.9326829784442177E-4</v>
      </c>
    </row>
    <row r="162" spans="1:9" ht="12.75" customHeight="1" x14ac:dyDescent="0.25">
      <c r="B162" s="84" t="s">
        <v>7</v>
      </c>
      <c r="C162" s="29">
        <v>5.3386391808328861</v>
      </c>
      <c r="D162" s="29">
        <v>179268.67227891536</v>
      </c>
      <c r="E162" s="50">
        <f t="shared" si="36"/>
        <v>1.8640688219084458E-2</v>
      </c>
      <c r="F162" s="50">
        <f t="shared" si="37"/>
        <v>0.327209573856588</v>
      </c>
      <c r="G162" s="50">
        <f t="shared" si="38"/>
        <v>3.7000854407720704E-2</v>
      </c>
      <c r="H162" s="51">
        <f t="shared" si="39"/>
        <v>0.44626044365656126</v>
      </c>
      <c r="I162" s="50">
        <f t="shared" si="40"/>
        <v>9.0573279787998749E-3</v>
      </c>
    </row>
    <row r="163" spans="1:9" ht="12.75" customHeight="1" x14ac:dyDescent="0.25">
      <c r="B163" s="84" t="s">
        <v>6</v>
      </c>
      <c r="C163" s="29">
        <v>16.052819884560293</v>
      </c>
      <c r="D163" s="29">
        <v>34543.134541376516</v>
      </c>
      <c r="E163" s="50">
        <f t="shared" si="36"/>
        <v>5.6050914918457505E-2</v>
      </c>
      <c r="F163" s="50">
        <f t="shared" si="37"/>
        <v>6.3049746446323052E-2</v>
      </c>
      <c r="G163" s="50">
        <f t="shared" si="38"/>
        <v>9.3051769326178202E-2</v>
      </c>
      <c r="H163" s="51">
        <f t="shared" si="39"/>
        <v>0.50931019010288425</v>
      </c>
      <c r="I163" s="50">
        <f t="shared" si="40"/>
        <v>4.0998924755506873E-3</v>
      </c>
    </row>
    <row r="164" spans="1:9" ht="12.75" customHeight="1" x14ac:dyDescent="0.25">
      <c r="B164" s="84" t="s">
        <v>8</v>
      </c>
      <c r="C164" s="29">
        <v>17.853298663279823</v>
      </c>
      <c r="D164" s="29">
        <v>33738.127951375733</v>
      </c>
      <c r="E164" s="50">
        <f t="shared" si="36"/>
        <v>6.2337566333238573E-2</v>
      </c>
      <c r="F164" s="50">
        <f t="shared" si="37"/>
        <v>6.1580410728501248E-2</v>
      </c>
      <c r="G164" s="50">
        <f t="shared" si="38"/>
        <v>0.15538933565941676</v>
      </c>
      <c r="H164" s="51">
        <f t="shared" si="39"/>
        <v>0.57089060083138554</v>
      </c>
      <c r="I164" s="50">
        <f t="shared" si="40"/>
        <v>7.6495526434278236E-3</v>
      </c>
    </row>
    <row r="165" spans="1:9" ht="12.75" customHeight="1" x14ac:dyDescent="0.25">
      <c r="B165" s="84" t="s">
        <v>10</v>
      </c>
      <c r="C165" s="29">
        <v>27.835036451662162</v>
      </c>
      <c r="D165" s="29">
        <v>149774.72401466093</v>
      </c>
      <c r="E165" s="50">
        <f t="shared" si="36"/>
        <v>9.7190354786505131E-2</v>
      </c>
      <c r="F165" s="50">
        <f t="shared" si="37"/>
        <v>0.273375838602054</v>
      </c>
      <c r="G165" s="50">
        <f t="shared" si="38"/>
        <v>0.25257969044592188</v>
      </c>
      <c r="H165" s="51">
        <f t="shared" si="39"/>
        <v>0.8442664394334396</v>
      </c>
      <c r="I165" s="50">
        <f t="shared" si="40"/>
        <v>5.5764437317605116E-2</v>
      </c>
    </row>
    <row r="166" spans="1:9" ht="12.75" customHeight="1" x14ac:dyDescent="0.25">
      <c r="B166" s="84" t="s">
        <v>3</v>
      </c>
      <c r="C166" s="29">
        <v>39.671844949611199</v>
      </c>
      <c r="D166" s="29">
        <v>7498.2226388555227</v>
      </c>
      <c r="E166" s="50">
        <f t="shared" si="36"/>
        <v>0.13852041086361469</v>
      </c>
      <c r="F166" s="50">
        <f t="shared" si="37"/>
        <v>1.3686107021111144E-2</v>
      </c>
      <c r="G166" s="50">
        <f t="shared" si="38"/>
        <v>0.39110010130953654</v>
      </c>
      <c r="H166" s="51">
        <f t="shared" si="39"/>
        <v>0.85795254645455077</v>
      </c>
      <c r="I166" s="50">
        <f t="shared" si="40"/>
        <v>4.4047352586458781E-3</v>
      </c>
    </row>
    <row r="167" spans="1:9" ht="12.75" customHeight="1" x14ac:dyDescent="0.25">
      <c r="B167" s="116" t="s">
        <v>11</v>
      </c>
      <c r="C167" s="29">
        <v>43.351590870161743</v>
      </c>
      <c r="D167" s="29">
        <v>69411.089457609574</v>
      </c>
      <c r="E167" s="50">
        <f t="shared" si="36"/>
        <v>0.15136881550513784</v>
      </c>
      <c r="F167" s="50">
        <f t="shared" si="37"/>
        <v>0.12669237024865945</v>
      </c>
      <c r="G167" s="50">
        <f t="shared" si="38"/>
        <v>0.54246891681467435</v>
      </c>
      <c r="H167" s="51">
        <f t="shared" si="39"/>
        <v>0.98464491670321019</v>
      </c>
      <c r="I167" s="50">
        <f t="shared" si="40"/>
        <v>5.9138035848434981E-2</v>
      </c>
    </row>
    <row r="168" spans="1:9" ht="12.75" customHeight="1" thickBot="1" x14ac:dyDescent="0.3">
      <c r="B168" s="88" t="s">
        <v>5</v>
      </c>
      <c r="C168" s="32">
        <v>131.03557864571476</v>
      </c>
      <c r="D168" s="32">
        <v>8412.6065227973904</v>
      </c>
      <c r="E168" s="52">
        <f t="shared" si="36"/>
        <v>0.45753108318532565</v>
      </c>
      <c r="F168" s="52">
        <f t="shared" si="37"/>
        <v>1.5355083296789959E-2</v>
      </c>
      <c r="G168" s="52">
        <f t="shared" si="38"/>
        <v>1</v>
      </c>
      <c r="H168" s="53">
        <f t="shared" si="39"/>
        <v>1.0000000000000002</v>
      </c>
      <c r="I168" s="52">
        <f t="shared" si="40"/>
        <v>1.1842369350199408E-2</v>
      </c>
    </row>
    <row r="169" spans="1:9" ht="12.75" customHeight="1" thickBot="1" x14ac:dyDescent="0.3">
      <c r="B169" s="38" t="s">
        <v>13</v>
      </c>
      <c r="C169" s="32">
        <f>SUM(C157:C168)</f>
        <v>286.39710712864951</v>
      </c>
      <c r="D169" s="32">
        <f>SUM(D157:D168)</f>
        <v>547871.10953387525</v>
      </c>
      <c r="E169" s="52">
        <f>SUM(E158:E168)</f>
        <v>1</v>
      </c>
      <c r="F169" s="52">
        <f>SUM(F158:F168)</f>
        <v>1.0000000000000002</v>
      </c>
      <c r="G169" s="53"/>
      <c r="H169" s="53"/>
      <c r="I169" s="52">
        <f>SUM(I157:I168)</f>
        <v>0.15227836726225999</v>
      </c>
    </row>
    <row r="170" spans="1:9" ht="12.75" customHeight="1" thickBot="1" x14ac:dyDescent="0.3">
      <c r="B170" s="4"/>
      <c r="C170" s="4"/>
      <c r="D170" s="4"/>
      <c r="E170" s="51"/>
      <c r="F170" s="51"/>
      <c r="G170" s="51"/>
      <c r="H170" s="54"/>
      <c r="I170" s="54"/>
    </row>
    <row r="171" spans="1:9" ht="12.75" customHeight="1" thickBot="1" x14ac:dyDescent="0.3">
      <c r="B171" s="4"/>
      <c r="C171" s="4"/>
      <c r="D171" s="4"/>
      <c r="E171" s="51"/>
      <c r="F171" s="51"/>
      <c r="G171" s="56"/>
      <c r="H171" s="58" t="s">
        <v>33</v>
      </c>
      <c r="I171" s="59">
        <f>1-(2*I169)</f>
        <v>0.69544326547548008</v>
      </c>
    </row>
    <row r="172" spans="1:9" ht="12.75" customHeight="1" x14ac:dyDescent="0.25">
      <c r="B172" s="4"/>
      <c r="C172" s="4"/>
      <c r="D172" s="4"/>
      <c r="E172" s="51"/>
      <c r="F172" s="51"/>
      <c r="G172" s="56"/>
      <c r="H172" s="127"/>
      <c r="I172" s="113"/>
    </row>
    <row r="173" spans="1:9" ht="12.75" customHeight="1" x14ac:dyDescent="0.25">
      <c r="B173" s="4"/>
      <c r="C173" s="4"/>
      <c r="D173" s="4"/>
      <c r="E173" s="51"/>
      <c r="F173" s="51"/>
      <c r="G173" s="56"/>
      <c r="H173" s="127"/>
      <c r="I173" s="113"/>
    </row>
    <row r="174" spans="1:9" ht="28.2" customHeight="1" x14ac:dyDescent="0.25">
      <c r="A174" s="211" t="s">
        <v>109</v>
      </c>
      <c r="B174" s="211"/>
      <c r="C174" s="211"/>
      <c r="D174" s="211"/>
      <c r="E174" s="211"/>
      <c r="F174" s="211"/>
      <c r="G174" s="56"/>
      <c r="H174" s="127"/>
      <c r="I174" s="113"/>
    </row>
    <row r="175" spans="1:9" ht="12.75" customHeight="1" x14ac:dyDescent="0.25"/>
    <row r="176" spans="1:9" ht="16.2" thickBot="1" x14ac:dyDescent="0.35">
      <c r="B176" s="209" t="s">
        <v>134</v>
      </c>
      <c r="C176" s="209"/>
      <c r="D176" s="209"/>
      <c r="E176" s="209"/>
      <c r="F176" s="209"/>
      <c r="G176" s="209"/>
      <c r="H176" s="209"/>
      <c r="I176" s="209"/>
    </row>
    <row r="177" spans="1:14" ht="42.6" customHeight="1" thickBot="1" x14ac:dyDescent="0.3">
      <c r="A177" s="8"/>
      <c r="B177" s="36" t="s">
        <v>20</v>
      </c>
      <c r="C177" s="37" t="s">
        <v>47</v>
      </c>
      <c r="D177" s="37" t="s">
        <v>135</v>
      </c>
      <c r="E177" s="37" t="s">
        <v>30</v>
      </c>
      <c r="F177" s="37" t="s">
        <v>22</v>
      </c>
      <c r="G177" s="37" t="s">
        <v>31</v>
      </c>
      <c r="H177" s="37" t="s">
        <v>137</v>
      </c>
      <c r="I177" s="37" t="s">
        <v>21</v>
      </c>
      <c r="J177" s="8"/>
      <c r="K177" s="8"/>
      <c r="L177" s="8"/>
      <c r="M177" s="8"/>
      <c r="N177" s="8"/>
    </row>
    <row r="178" spans="1:14" ht="12.75" customHeight="1" x14ac:dyDescent="0.25">
      <c r="B178" s="4"/>
      <c r="C178" s="26">
        <v>0</v>
      </c>
      <c r="D178" s="26">
        <v>0</v>
      </c>
      <c r="E178" s="50">
        <v>0</v>
      </c>
      <c r="F178" s="50">
        <v>0</v>
      </c>
      <c r="G178" s="50">
        <v>0</v>
      </c>
      <c r="H178" s="51">
        <f>F178</f>
        <v>0</v>
      </c>
      <c r="I178" s="50">
        <v>0</v>
      </c>
    </row>
    <row r="179" spans="1:14" ht="12.75" customHeight="1" x14ac:dyDescent="0.25">
      <c r="B179" s="84" t="s">
        <v>3</v>
      </c>
      <c r="C179" s="86">
        <v>3.3803673657372775</v>
      </c>
      <c r="D179" s="29">
        <v>13199.085501550475</v>
      </c>
      <c r="E179" s="50">
        <f t="shared" ref="E179:E189" si="41">C179/$C$190</f>
        <v>1.6224065801728922E-3</v>
      </c>
      <c r="F179" s="50">
        <f t="shared" ref="F179:F189" si="42">D179/$D$190</f>
        <v>4.3177805010323955E-3</v>
      </c>
      <c r="G179" s="50">
        <f t="shared" ref="G179:G189" si="43">G178+E179</f>
        <v>1.6224065801728922E-3</v>
      </c>
      <c r="H179" s="51">
        <f t="shared" ref="H179:H189" si="44">F179+H178</f>
        <v>4.3177805010323955E-3</v>
      </c>
      <c r="I179" s="50">
        <f t="shared" ref="I179:I189" si="45">(G178+G179)*0.5*(H179-H178)</f>
        <v>3.502597748308583E-6</v>
      </c>
    </row>
    <row r="180" spans="1:14" ht="12.75" customHeight="1" x14ac:dyDescent="0.25">
      <c r="B180" s="84" t="s">
        <v>4</v>
      </c>
      <c r="C180" s="86">
        <v>14.4001363593219</v>
      </c>
      <c r="D180" s="29">
        <v>20450.034940117202</v>
      </c>
      <c r="E180" s="50">
        <f t="shared" si="41"/>
        <v>6.9113423060322291E-3</v>
      </c>
      <c r="F180" s="50">
        <f t="shared" si="42"/>
        <v>6.6897636279041406E-3</v>
      </c>
      <c r="G180" s="50">
        <f t="shared" si="43"/>
        <v>8.5337488862051204E-3</v>
      </c>
      <c r="H180" s="51">
        <f t="shared" si="44"/>
        <v>1.1007544128936536E-2</v>
      </c>
      <c r="I180" s="50">
        <f t="shared" si="45"/>
        <v>3.3971139719157722E-5</v>
      </c>
    </row>
    <row r="181" spans="1:14" ht="12.75" customHeight="1" x14ac:dyDescent="0.25">
      <c r="B181" s="84" t="s">
        <v>1</v>
      </c>
      <c r="C181" s="86">
        <v>15.5896215274011</v>
      </c>
      <c r="D181" s="29">
        <v>251430.37783690859</v>
      </c>
      <c r="E181" s="50">
        <f t="shared" si="41"/>
        <v>7.48223545311148E-3</v>
      </c>
      <c r="F181" s="50">
        <f t="shared" si="42"/>
        <v>8.2249727275718124E-2</v>
      </c>
      <c r="G181" s="50">
        <f t="shared" si="43"/>
        <v>1.60159843393166E-2</v>
      </c>
      <c r="H181" s="51">
        <f t="shared" si="44"/>
        <v>9.325727140465466E-2</v>
      </c>
      <c r="I181" s="50">
        <f t="shared" si="45"/>
        <v>1.0096044312453986E-3</v>
      </c>
    </row>
    <row r="182" spans="1:14" ht="12.75" customHeight="1" x14ac:dyDescent="0.25">
      <c r="B182" s="84" t="s">
        <v>7</v>
      </c>
      <c r="C182" s="86">
        <v>21.331893349594765</v>
      </c>
      <c r="D182" s="29">
        <v>119784.51078433092</v>
      </c>
      <c r="E182" s="50">
        <f t="shared" si="41"/>
        <v>1.0238237562200722E-2</v>
      </c>
      <c r="F182" s="50">
        <f t="shared" si="42"/>
        <v>3.9184777227902166E-2</v>
      </c>
      <c r="G182" s="50">
        <f t="shared" si="43"/>
        <v>2.625422190151732E-2</v>
      </c>
      <c r="H182" s="51">
        <f t="shared" si="44"/>
        <v>0.13244204863255682</v>
      </c>
      <c r="I182" s="50">
        <f t="shared" si="45"/>
        <v>8.2817430746227839E-4</v>
      </c>
    </row>
    <row r="183" spans="1:14" ht="12.75" customHeight="1" x14ac:dyDescent="0.25">
      <c r="B183" s="84" t="s">
        <v>2</v>
      </c>
      <c r="C183" s="86">
        <v>23.7240171408185</v>
      </c>
      <c r="D183" s="29">
        <v>24496.645034227455</v>
      </c>
      <c r="E183" s="50">
        <f t="shared" si="41"/>
        <v>1.138633685425002E-2</v>
      </c>
      <c r="F183" s="50">
        <f t="shared" si="42"/>
        <v>8.0135200470573958E-3</v>
      </c>
      <c r="G183" s="50">
        <f t="shared" si="43"/>
        <v>3.7640558755767342E-2</v>
      </c>
      <c r="H183" s="51">
        <f t="shared" si="44"/>
        <v>0.14045556867961423</v>
      </c>
      <c r="I183" s="50">
        <f t="shared" si="45"/>
        <v>2.560110528497433E-4</v>
      </c>
    </row>
    <row r="184" spans="1:14" ht="12.75" customHeight="1" x14ac:dyDescent="0.25">
      <c r="B184" s="84" t="s">
        <v>6</v>
      </c>
      <c r="C184" s="86">
        <v>72.980329509151503</v>
      </c>
      <c r="D184" s="29">
        <v>49475.746319971244</v>
      </c>
      <c r="E184" s="50">
        <f t="shared" si="41"/>
        <v>3.5026893236205635E-2</v>
      </c>
      <c r="F184" s="50">
        <f t="shared" si="42"/>
        <v>1.6184864679397896E-2</v>
      </c>
      <c r="G184" s="50">
        <f t="shared" si="43"/>
        <v>7.266745199197297E-2</v>
      </c>
      <c r="H184" s="51">
        <f t="shared" si="44"/>
        <v>0.15664043335901212</v>
      </c>
      <c r="I184" s="50">
        <f t="shared" si="45"/>
        <v>8.9266011350287266E-4</v>
      </c>
    </row>
    <row r="185" spans="1:14" ht="12.75" customHeight="1" x14ac:dyDescent="0.25">
      <c r="B185" s="84" t="s">
        <v>10</v>
      </c>
      <c r="C185" s="86">
        <v>130.37580876063711</v>
      </c>
      <c r="D185" s="29">
        <v>363314.38569269452</v>
      </c>
      <c r="E185" s="50">
        <f t="shared" si="41"/>
        <v>6.2573840989168933E-2</v>
      </c>
      <c r="F185" s="50">
        <f t="shared" si="42"/>
        <v>0.1188500347318915</v>
      </c>
      <c r="G185" s="50">
        <f t="shared" si="43"/>
        <v>0.1352412929811419</v>
      </c>
      <c r="H185" s="51">
        <f t="shared" si="44"/>
        <v>0.27549046809090361</v>
      </c>
      <c r="I185" s="50">
        <f t="shared" si="45"/>
        <v>1.2354980780559336E-2</v>
      </c>
    </row>
    <row r="186" spans="1:14" ht="12.75" customHeight="1" x14ac:dyDescent="0.25">
      <c r="B186" s="116" t="s">
        <v>11</v>
      </c>
      <c r="C186" s="86">
        <v>292.66694540931792</v>
      </c>
      <c r="D186" s="29">
        <v>617141.72101696266</v>
      </c>
      <c r="E186" s="50">
        <f t="shared" si="41"/>
        <v>0.14046543663978842</v>
      </c>
      <c r="F186" s="50">
        <f t="shared" si="42"/>
        <v>0.20188387211126102</v>
      </c>
      <c r="G186" s="50">
        <f t="shared" si="43"/>
        <v>0.27570672962093035</v>
      </c>
      <c r="H186" s="51">
        <f t="shared" si="44"/>
        <v>0.47737434020216463</v>
      </c>
      <c r="I186" s="50">
        <f t="shared" si="45"/>
        <v>4.1481889019686177E-2</v>
      </c>
    </row>
    <row r="187" spans="1:14" ht="12.75" customHeight="1" x14ac:dyDescent="0.25">
      <c r="B187" s="84" t="s">
        <v>8</v>
      </c>
      <c r="C187" s="86">
        <v>404.09091338939498</v>
      </c>
      <c r="D187" s="29">
        <v>237021.44592026682</v>
      </c>
      <c r="E187" s="50">
        <f t="shared" si="41"/>
        <v>0.19394334577834815</v>
      </c>
      <c r="F187" s="50">
        <f t="shared" si="42"/>
        <v>7.7536173047808091E-2</v>
      </c>
      <c r="G187" s="50">
        <f t="shared" si="43"/>
        <v>0.4696500753992785</v>
      </c>
      <c r="H187" s="51">
        <f t="shared" si="44"/>
        <v>0.55491051324997276</v>
      </c>
      <c r="I187" s="50">
        <f t="shared" si="45"/>
        <v>2.889605710820415E-2</v>
      </c>
    </row>
    <row r="188" spans="1:14" ht="12.75" customHeight="1" x14ac:dyDescent="0.25">
      <c r="B188" s="84" t="s">
        <v>5</v>
      </c>
      <c r="C188" s="86">
        <v>484.06868290093661</v>
      </c>
      <c r="D188" s="29">
        <v>20836.189535136225</v>
      </c>
      <c r="E188" s="50">
        <f t="shared" si="41"/>
        <v>0.23232865881806727</v>
      </c>
      <c r="F188" s="50">
        <f t="shared" si="42"/>
        <v>6.8160853174303836E-3</v>
      </c>
      <c r="G188" s="50">
        <f t="shared" si="43"/>
        <v>0.7019787342173458</v>
      </c>
      <c r="H188" s="51">
        <f t="shared" si="44"/>
        <v>0.56172659856740315</v>
      </c>
      <c r="I188" s="50">
        <f t="shared" si="45"/>
        <v>3.9929609633531579E-3</v>
      </c>
    </row>
    <row r="189" spans="1:14" ht="12.75" customHeight="1" thickBot="1" x14ac:dyDescent="0.3">
      <c r="B189" s="88" t="s">
        <v>9</v>
      </c>
      <c r="C189" s="89">
        <v>620.94260061497255</v>
      </c>
      <c r="D189" s="32">
        <v>1339764.2833351614</v>
      </c>
      <c r="E189" s="52">
        <f t="shared" si="41"/>
        <v>0.29802126578265414</v>
      </c>
      <c r="F189" s="52">
        <f t="shared" si="42"/>
        <v>0.43827340143259691</v>
      </c>
      <c r="G189" s="52">
        <f t="shared" si="43"/>
        <v>1</v>
      </c>
      <c r="H189" s="53">
        <f t="shared" si="44"/>
        <v>1</v>
      </c>
      <c r="I189" s="52">
        <f t="shared" si="45"/>
        <v>0.37296600450569095</v>
      </c>
    </row>
    <row r="190" spans="1:14" ht="12.75" customHeight="1" thickBot="1" x14ac:dyDescent="0.3">
      <c r="B190" s="38" t="s">
        <v>13</v>
      </c>
      <c r="C190" s="32">
        <f>SUM(C178:C189)</f>
        <v>2083.5513163272844</v>
      </c>
      <c r="D190" s="32">
        <f>SUM(D178:D189)</f>
        <v>3056914.4259173274</v>
      </c>
      <c r="E190" s="39">
        <f>SUM(E179:E189)</f>
        <v>1</v>
      </c>
      <c r="F190" s="33">
        <f>SUM(F179:F189)</f>
        <v>1</v>
      </c>
      <c r="G190" s="40"/>
      <c r="H190" s="40"/>
      <c r="I190" s="52">
        <f>SUM(I178:I189)</f>
        <v>0.46271581602002154</v>
      </c>
    </row>
    <row r="191" spans="1:14" ht="12.75" customHeight="1" thickBot="1" x14ac:dyDescent="0.3">
      <c r="B191" s="4"/>
      <c r="C191" s="4"/>
      <c r="D191" s="4"/>
      <c r="E191" s="4"/>
      <c r="F191" s="4"/>
      <c r="G191" s="4"/>
      <c r="H191" s="7"/>
      <c r="I191" s="54"/>
    </row>
    <row r="192" spans="1:14" ht="12.75" customHeight="1" thickBot="1" x14ac:dyDescent="0.3">
      <c r="B192" s="4"/>
      <c r="C192" s="4"/>
      <c r="D192" s="4"/>
      <c r="E192" s="4"/>
      <c r="F192" s="4"/>
      <c r="G192" s="5"/>
      <c r="H192" s="24" t="s">
        <v>33</v>
      </c>
      <c r="I192" s="53">
        <f>1-(2*I190)</f>
        <v>7.4568367959956916E-2</v>
      </c>
    </row>
    <row r="193" spans="1:14" ht="12.75" customHeight="1" x14ac:dyDescent="0.25"/>
    <row r="194" spans="1:14" ht="12.75" customHeight="1" x14ac:dyDescent="0.25"/>
    <row r="195" spans="1:14" ht="12.75" customHeight="1" x14ac:dyDescent="0.25"/>
    <row r="196" spans="1:14" ht="12.75" customHeight="1" x14ac:dyDescent="0.25"/>
    <row r="197" spans="1:14" ht="16.2" thickBot="1" x14ac:dyDescent="0.35">
      <c r="B197" s="209" t="s">
        <v>140</v>
      </c>
      <c r="C197" s="209"/>
      <c r="D197" s="209"/>
      <c r="E197" s="209"/>
      <c r="F197" s="209"/>
      <c r="G197" s="209"/>
      <c r="H197" s="209"/>
      <c r="I197" s="209"/>
    </row>
    <row r="198" spans="1:14" ht="27" thickBot="1" x14ac:dyDescent="0.3">
      <c r="A198" s="8"/>
      <c r="B198" s="30" t="s">
        <v>20</v>
      </c>
      <c r="C198" s="31" t="s">
        <v>48</v>
      </c>
      <c r="D198" s="37" t="s">
        <v>135</v>
      </c>
      <c r="E198" s="31" t="s">
        <v>35</v>
      </c>
      <c r="F198" s="31" t="s">
        <v>22</v>
      </c>
      <c r="G198" s="31" t="s">
        <v>36</v>
      </c>
      <c r="H198" s="31" t="s">
        <v>137</v>
      </c>
      <c r="I198" s="31" t="s">
        <v>21</v>
      </c>
      <c r="J198" s="8"/>
      <c r="K198" s="8"/>
      <c r="L198" s="8"/>
      <c r="M198" s="8"/>
      <c r="N198" s="8"/>
    </row>
    <row r="199" spans="1:14" ht="12.75" customHeight="1" x14ac:dyDescent="0.25">
      <c r="B199" s="4"/>
      <c r="C199" s="26">
        <v>0</v>
      </c>
      <c r="D199" s="26">
        <v>0</v>
      </c>
      <c r="E199" s="50">
        <f>C199/$C$127</f>
        <v>0</v>
      </c>
      <c r="F199" s="50">
        <v>0</v>
      </c>
      <c r="G199" s="50">
        <v>0</v>
      </c>
      <c r="H199" s="51">
        <f>F199</f>
        <v>0</v>
      </c>
      <c r="I199" s="50">
        <v>0</v>
      </c>
    </row>
    <row r="200" spans="1:14" ht="12.75" customHeight="1" x14ac:dyDescent="0.25">
      <c r="B200" s="84" t="s">
        <v>4</v>
      </c>
      <c r="C200" s="86">
        <v>11.171359418917772</v>
      </c>
      <c r="D200" s="29">
        <v>20450.034940117202</v>
      </c>
      <c r="E200" s="50">
        <f t="shared" ref="E200:E210" si="46">C200/$C$211</f>
        <v>5.2999093049631314E-3</v>
      </c>
      <c r="F200" s="50">
        <f t="shared" ref="F200:F210" si="47">D200/$D$211</f>
        <v>6.6897636279041406E-3</v>
      </c>
      <c r="G200" s="50">
        <f t="shared" ref="G200:G210" si="48">G199+E200</f>
        <v>5.2999093049631314E-3</v>
      </c>
      <c r="H200" s="51">
        <f t="shared" ref="H200:H210" si="49">F200+H199</f>
        <v>6.6897636279041406E-3</v>
      </c>
      <c r="I200" s="50">
        <f t="shared" ref="I200:I210" si="50">(G199+G200)*0.5*(H200-H199)</f>
        <v>1.7727570249766534E-5</v>
      </c>
    </row>
    <row r="201" spans="1:14" ht="12.75" customHeight="1" x14ac:dyDescent="0.25">
      <c r="B201" s="84" t="s">
        <v>1</v>
      </c>
      <c r="C201" s="86">
        <v>13.62551145548483</v>
      </c>
      <c r="D201" s="29">
        <v>24496.645034227455</v>
      </c>
      <c r="E201" s="50">
        <f t="shared" si="46"/>
        <v>6.4642065696603936E-3</v>
      </c>
      <c r="F201" s="50">
        <f t="shared" si="47"/>
        <v>8.0135200470573958E-3</v>
      </c>
      <c r="G201" s="50">
        <f t="shared" si="48"/>
        <v>1.1764115874623525E-2</v>
      </c>
      <c r="H201" s="51">
        <f t="shared" si="49"/>
        <v>1.4703283674961536E-2</v>
      </c>
      <c r="I201" s="50">
        <f t="shared" si="50"/>
        <v>6.8371453930054921E-5</v>
      </c>
    </row>
    <row r="202" spans="1:14" ht="12.75" customHeight="1" x14ac:dyDescent="0.25">
      <c r="B202" s="84" t="s">
        <v>7</v>
      </c>
      <c r="C202" s="86">
        <v>19.890651093947945</v>
      </c>
      <c r="D202" s="29">
        <v>119784.51078433092</v>
      </c>
      <c r="E202" s="50">
        <f t="shared" si="46"/>
        <v>9.4365101740502624E-3</v>
      </c>
      <c r="F202" s="50">
        <f t="shared" si="47"/>
        <v>3.9184777227902166E-2</v>
      </c>
      <c r="G202" s="50">
        <f t="shared" si="48"/>
        <v>2.1200626048673787E-2</v>
      </c>
      <c r="H202" s="51">
        <f t="shared" si="49"/>
        <v>5.3888060902863702E-2</v>
      </c>
      <c r="I202" s="50">
        <f t="shared" si="50"/>
        <v>6.4585803431984614E-4</v>
      </c>
    </row>
    <row r="203" spans="1:14" ht="12.75" customHeight="1" x14ac:dyDescent="0.25">
      <c r="B203" s="84" t="s">
        <v>2</v>
      </c>
      <c r="C203" s="86">
        <v>26.053635154547475</v>
      </c>
      <c r="D203" s="29">
        <v>13199.085501550475</v>
      </c>
      <c r="E203" s="50">
        <f t="shared" si="46"/>
        <v>1.2360349193480467E-2</v>
      </c>
      <c r="F203" s="50">
        <f t="shared" si="47"/>
        <v>4.3177805010323955E-3</v>
      </c>
      <c r="G203" s="50">
        <f t="shared" si="48"/>
        <v>3.3560975242154255E-2</v>
      </c>
      <c r="H203" s="51">
        <f t="shared" si="49"/>
        <v>5.8205841403896098E-2</v>
      </c>
      <c r="I203" s="50">
        <f t="shared" si="50"/>
        <v>1.1822428712942391E-4</v>
      </c>
    </row>
    <row r="204" spans="1:14" ht="12.75" customHeight="1" x14ac:dyDescent="0.25">
      <c r="B204" s="84" t="s">
        <v>6</v>
      </c>
      <c r="C204" s="86">
        <v>58.065831028798335</v>
      </c>
      <c r="D204" s="29">
        <v>251430.37783690859</v>
      </c>
      <c r="E204" s="50">
        <f t="shared" si="46"/>
        <v>2.7547555013654544E-2</v>
      </c>
      <c r="F204" s="50">
        <f t="shared" si="47"/>
        <v>8.2249727275718124E-2</v>
      </c>
      <c r="G204" s="50">
        <f t="shared" si="48"/>
        <v>6.1108530255808799E-2</v>
      </c>
      <c r="H204" s="51">
        <f t="shared" si="49"/>
        <v>0.14045556867961423</v>
      </c>
      <c r="I204" s="50">
        <f t="shared" si="50"/>
        <v>3.8932705042672797E-3</v>
      </c>
    </row>
    <row r="205" spans="1:14" ht="12.75" customHeight="1" x14ac:dyDescent="0.25">
      <c r="B205" s="84" t="s">
        <v>3</v>
      </c>
      <c r="C205" s="86">
        <v>63.208496046190042</v>
      </c>
      <c r="D205" s="29">
        <v>20836.189535136225</v>
      </c>
      <c r="E205" s="50">
        <f t="shared" si="46"/>
        <v>2.9987334914731531E-2</v>
      </c>
      <c r="F205" s="50">
        <f t="shared" si="47"/>
        <v>6.8160853174303836E-3</v>
      </c>
      <c r="G205" s="50">
        <f t="shared" si="48"/>
        <v>9.109586517054033E-2</v>
      </c>
      <c r="H205" s="51">
        <f t="shared" si="49"/>
        <v>0.14727165399704462</v>
      </c>
      <c r="I205" s="50">
        <f t="shared" si="50"/>
        <v>5.1871907245695347E-4</v>
      </c>
    </row>
    <row r="206" spans="1:14" ht="12.75" customHeight="1" x14ac:dyDescent="0.25">
      <c r="B206" s="84" t="s">
        <v>10</v>
      </c>
      <c r="C206" s="86">
        <v>113.8115207203455</v>
      </c>
      <c r="D206" s="29">
        <v>1339764.2833351614</v>
      </c>
      <c r="E206" s="50">
        <f t="shared" si="46"/>
        <v>5.3994390034243257E-2</v>
      </c>
      <c r="F206" s="50">
        <f t="shared" si="47"/>
        <v>0.43827340143259691</v>
      </c>
      <c r="G206" s="50">
        <f t="shared" si="48"/>
        <v>0.14509025520478358</v>
      </c>
      <c r="H206" s="51">
        <f t="shared" si="49"/>
        <v>0.58554505542964153</v>
      </c>
      <c r="I206" s="50">
        <f t="shared" si="50"/>
        <v>5.1757047174030998E-2</v>
      </c>
    </row>
    <row r="207" spans="1:14" ht="12.75" customHeight="1" x14ac:dyDescent="0.25">
      <c r="B207" s="116" t="s">
        <v>11</v>
      </c>
      <c r="C207" s="86">
        <v>276.95149598433915</v>
      </c>
      <c r="D207" s="29">
        <v>617141.72101696266</v>
      </c>
      <c r="E207" s="50">
        <f t="shared" si="46"/>
        <v>0.13139115442881824</v>
      </c>
      <c r="F207" s="50">
        <f t="shared" si="47"/>
        <v>0.20188387211126102</v>
      </c>
      <c r="G207" s="50">
        <f t="shared" si="48"/>
        <v>0.27648140963360179</v>
      </c>
      <c r="H207" s="51">
        <f t="shared" si="49"/>
        <v>0.78742892754090255</v>
      </c>
      <c r="I207" s="50">
        <f t="shared" si="50"/>
        <v>4.2554260034981993E-2</v>
      </c>
    </row>
    <row r="208" spans="1:14" ht="12.75" customHeight="1" x14ac:dyDescent="0.25">
      <c r="B208" s="84" t="s">
        <v>5</v>
      </c>
      <c r="C208" s="86">
        <v>353.6026358725851</v>
      </c>
      <c r="D208" s="29">
        <v>49475.746319971244</v>
      </c>
      <c r="E208" s="50">
        <f t="shared" si="46"/>
        <v>0.16775593997513275</v>
      </c>
      <c r="F208" s="50">
        <f t="shared" si="47"/>
        <v>1.6184864679397896E-2</v>
      </c>
      <c r="G208" s="50">
        <f t="shared" si="48"/>
        <v>0.44423734960873451</v>
      </c>
      <c r="H208" s="51">
        <f t="shared" si="49"/>
        <v>0.80361379222030049</v>
      </c>
      <c r="I208" s="50">
        <f t="shared" si="50"/>
        <v>5.8323677951204007E-3</v>
      </c>
    </row>
    <row r="209" spans="1:14" ht="12.75" customHeight="1" x14ac:dyDescent="0.25">
      <c r="B209" s="84" t="s">
        <v>8</v>
      </c>
      <c r="C209" s="86">
        <v>436.58135275731689</v>
      </c>
      <c r="D209" s="29">
        <v>237021.44592026682</v>
      </c>
      <c r="E209" s="50">
        <f t="shared" si="46"/>
        <v>0.20712265061793605</v>
      </c>
      <c r="F209" s="50">
        <f t="shared" si="47"/>
        <v>7.7536173047808091E-2</v>
      </c>
      <c r="G209" s="50">
        <f t="shared" si="48"/>
        <v>0.65136000022667062</v>
      </c>
      <c r="H209" s="51">
        <f t="shared" si="49"/>
        <v>0.88114996526810863</v>
      </c>
      <c r="I209" s="50">
        <f t="shared" si="50"/>
        <v>4.2474212853778982E-2</v>
      </c>
    </row>
    <row r="210" spans="1:14" ht="12.75" customHeight="1" thickBot="1" x14ac:dyDescent="0.3">
      <c r="B210" s="88" t="s">
        <v>9</v>
      </c>
      <c r="C210" s="89">
        <v>734.87724433925337</v>
      </c>
      <c r="D210" s="32">
        <v>363314.38569269452</v>
      </c>
      <c r="E210" s="52">
        <f t="shared" si="46"/>
        <v>0.34863999977332938</v>
      </c>
      <c r="F210" s="52">
        <f t="shared" si="47"/>
        <v>0.1188500347318915</v>
      </c>
      <c r="G210" s="52">
        <f t="shared" si="48"/>
        <v>1</v>
      </c>
      <c r="H210" s="53">
        <f t="shared" si="49"/>
        <v>1.0000000000000002</v>
      </c>
      <c r="I210" s="52">
        <f t="shared" si="50"/>
        <v>9.813209669089816E-2</v>
      </c>
    </row>
    <row r="211" spans="1:14" ht="12.75" customHeight="1" thickBot="1" x14ac:dyDescent="0.3">
      <c r="B211" s="38" t="s">
        <v>13</v>
      </c>
      <c r="C211" s="32">
        <f>SUM(C199:C210)</f>
        <v>2107.8397338717264</v>
      </c>
      <c r="D211" s="32">
        <f>SUM(D199:D210)</f>
        <v>3056914.4259173274</v>
      </c>
      <c r="E211" s="52">
        <f>SUM(E200:E210)</f>
        <v>1</v>
      </c>
      <c r="F211" s="52">
        <f>SUM(F200:F210)</f>
        <v>1.0000000000000002</v>
      </c>
      <c r="G211" s="53"/>
      <c r="H211" s="53"/>
      <c r="I211" s="52">
        <f>SUM(I199:I210)</f>
        <v>0.24601215547116384</v>
      </c>
    </row>
    <row r="212" spans="1:14" ht="12.75" customHeight="1" thickBot="1" x14ac:dyDescent="0.3">
      <c r="B212" s="4"/>
      <c r="C212" s="4"/>
      <c r="D212" s="4"/>
      <c r="E212" s="51"/>
      <c r="F212" s="51"/>
      <c r="G212" s="51"/>
      <c r="H212" s="54"/>
      <c r="I212" s="54"/>
    </row>
    <row r="213" spans="1:14" ht="12.75" customHeight="1" thickBot="1" x14ac:dyDescent="0.3">
      <c r="B213" s="4"/>
      <c r="C213" s="4"/>
      <c r="D213" s="4"/>
      <c r="E213" s="51"/>
      <c r="F213" s="51"/>
      <c r="G213" s="56"/>
      <c r="H213" s="57" t="s">
        <v>33</v>
      </c>
      <c r="I213" s="53">
        <f>1-(2*I211)</f>
        <v>0.50797568905767232</v>
      </c>
    </row>
    <row r="214" spans="1:14" ht="12.75" customHeight="1" x14ac:dyDescent="0.25"/>
    <row r="215" spans="1:14" ht="12.75" customHeight="1" x14ac:dyDescent="0.25"/>
    <row r="216" spans="1:14" ht="12.75" customHeight="1" x14ac:dyDescent="0.25"/>
    <row r="217" spans="1:14" ht="12.75" customHeight="1" x14ac:dyDescent="0.25"/>
    <row r="218" spans="1:14" ht="16.2" thickBot="1" x14ac:dyDescent="0.35">
      <c r="B218" s="209" t="s">
        <v>139</v>
      </c>
      <c r="C218" s="209"/>
      <c r="D218" s="209"/>
      <c r="E218" s="209"/>
      <c r="F218" s="209"/>
      <c r="G218" s="209"/>
      <c r="H218" s="209"/>
      <c r="I218" s="209"/>
    </row>
    <row r="219" spans="1:14" ht="27" thickBot="1" x14ac:dyDescent="0.3">
      <c r="A219" s="8"/>
      <c r="B219" s="30" t="s">
        <v>20</v>
      </c>
      <c r="C219" s="31" t="s">
        <v>43</v>
      </c>
      <c r="D219" s="37" t="s">
        <v>135</v>
      </c>
      <c r="E219" s="31" t="s">
        <v>16</v>
      </c>
      <c r="F219" s="31" t="s">
        <v>22</v>
      </c>
      <c r="G219" s="31" t="s">
        <v>18</v>
      </c>
      <c r="H219" s="31" t="s">
        <v>137</v>
      </c>
      <c r="I219" s="31" t="s">
        <v>21</v>
      </c>
      <c r="J219" s="8"/>
      <c r="K219" s="8"/>
      <c r="L219" s="8"/>
      <c r="M219" s="8"/>
      <c r="N219" s="8"/>
    </row>
    <row r="220" spans="1:14" ht="12.75" customHeight="1" x14ac:dyDescent="0.25">
      <c r="B220" s="4"/>
      <c r="C220" s="26">
        <v>0</v>
      </c>
      <c r="D220" s="26">
        <v>0</v>
      </c>
      <c r="E220" s="50">
        <v>0</v>
      </c>
      <c r="F220" s="50">
        <v>0</v>
      </c>
      <c r="G220" s="50">
        <v>0</v>
      </c>
      <c r="H220" s="51">
        <f>F220</f>
        <v>0</v>
      </c>
      <c r="I220" s="50">
        <v>0</v>
      </c>
    </row>
    <row r="221" spans="1:14" ht="12.75" customHeight="1" x14ac:dyDescent="0.25">
      <c r="B221" s="84" t="s">
        <v>2</v>
      </c>
      <c r="C221" s="86">
        <v>0</v>
      </c>
      <c r="D221" s="29">
        <v>1339764.2833351614</v>
      </c>
      <c r="E221" s="50">
        <f t="shared" ref="E221:E231" si="51">C221/$C$232</f>
        <v>0</v>
      </c>
      <c r="F221" s="50">
        <f t="shared" ref="F221:F231" si="52">D221/$D$232</f>
        <v>0.43827340143259685</v>
      </c>
      <c r="G221" s="50">
        <f t="shared" ref="G221:G231" si="53">G220+E221</f>
        <v>0</v>
      </c>
      <c r="H221" s="51">
        <f t="shared" ref="H221:H231" si="54">F221+H220</f>
        <v>0.43827340143259685</v>
      </c>
      <c r="I221" s="50">
        <f t="shared" ref="I221:I231" si="55">(G220+G221)*0.5*(H221-H220)</f>
        <v>0</v>
      </c>
    </row>
    <row r="222" spans="1:14" ht="12.75" customHeight="1" x14ac:dyDescent="0.25">
      <c r="B222" s="84" t="s">
        <v>3</v>
      </c>
      <c r="C222" s="86">
        <v>0</v>
      </c>
      <c r="D222" s="29">
        <v>617141.72101696266</v>
      </c>
      <c r="E222" s="50">
        <f t="shared" si="51"/>
        <v>0</v>
      </c>
      <c r="F222" s="50">
        <f t="shared" si="52"/>
        <v>0.20188387211126099</v>
      </c>
      <c r="G222" s="50">
        <f t="shared" si="53"/>
        <v>0</v>
      </c>
      <c r="H222" s="51">
        <f t="shared" si="54"/>
        <v>0.64015727354385787</v>
      </c>
      <c r="I222" s="50">
        <f t="shared" si="55"/>
        <v>0</v>
      </c>
    </row>
    <row r="223" spans="1:14" ht="12.75" customHeight="1" x14ac:dyDescent="0.25">
      <c r="B223" s="84" t="s">
        <v>8</v>
      </c>
      <c r="C223" s="86">
        <v>0</v>
      </c>
      <c r="D223" s="29">
        <v>49475.746319971244</v>
      </c>
      <c r="E223" s="50">
        <f t="shared" si="51"/>
        <v>0</v>
      </c>
      <c r="F223" s="50">
        <f t="shared" si="52"/>
        <v>1.6184864679397892E-2</v>
      </c>
      <c r="G223" s="50">
        <f t="shared" si="53"/>
        <v>0</v>
      </c>
      <c r="H223" s="51">
        <f t="shared" si="54"/>
        <v>0.65634213822325571</v>
      </c>
      <c r="I223" s="50">
        <f t="shared" si="55"/>
        <v>0</v>
      </c>
    </row>
    <row r="224" spans="1:14" ht="12.75" customHeight="1" x14ac:dyDescent="0.25">
      <c r="B224" s="84" t="s">
        <v>9</v>
      </c>
      <c r="C224" s="86">
        <v>0</v>
      </c>
      <c r="D224" s="29">
        <v>119784.51078433092</v>
      </c>
      <c r="E224" s="50">
        <f t="shared" si="51"/>
        <v>0</v>
      </c>
      <c r="F224" s="50">
        <f t="shared" si="52"/>
        <v>3.9184777227902166E-2</v>
      </c>
      <c r="G224" s="50">
        <f t="shared" si="53"/>
        <v>0</v>
      </c>
      <c r="H224" s="51">
        <f t="shared" si="54"/>
        <v>0.69552691545115786</v>
      </c>
      <c r="I224" s="50">
        <f t="shared" si="55"/>
        <v>0</v>
      </c>
    </row>
    <row r="225" spans="1:14" ht="12.75" customHeight="1" x14ac:dyDescent="0.25">
      <c r="B225" s="84" t="s">
        <v>7</v>
      </c>
      <c r="C225" s="86">
        <v>1.5386391808328861</v>
      </c>
      <c r="D225" s="29">
        <v>20836.189535136225</v>
      </c>
      <c r="E225" s="50">
        <f t="shared" si="51"/>
        <v>7.5433856413997481E-3</v>
      </c>
      <c r="F225" s="50">
        <f t="shared" si="52"/>
        <v>6.8160853174303827E-3</v>
      </c>
      <c r="G225" s="50">
        <f t="shared" si="53"/>
        <v>7.5433856413997481E-3</v>
      </c>
      <c r="H225" s="51">
        <f t="shared" si="54"/>
        <v>0.70234300076858824</v>
      </c>
      <c r="I225" s="50">
        <f t="shared" si="55"/>
        <v>2.5708180057030014E-5</v>
      </c>
    </row>
    <row r="226" spans="1:14" ht="12.75" customHeight="1" x14ac:dyDescent="0.25">
      <c r="B226" s="84" t="s">
        <v>1</v>
      </c>
      <c r="C226" s="86">
        <v>1.9832072109514134</v>
      </c>
      <c r="D226" s="29">
        <v>251430.37783690859</v>
      </c>
      <c r="E226" s="50">
        <f t="shared" si="51"/>
        <v>9.7229402353534444E-3</v>
      </c>
      <c r="F226" s="50">
        <f t="shared" si="52"/>
        <v>8.224972727571811E-2</v>
      </c>
      <c r="G226" s="50">
        <f t="shared" si="53"/>
        <v>1.7266325876753193E-2</v>
      </c>
      <c r="H226" s="51">
        <f t="shared" si="54"/>
        <v>0.78459272804430635</v>
      </c>
      <c r="I226" s="50">
        <f t="shared" si="55"/>
        <v>1.020296003078661E-3</v>
      </c>
    </row>
    <row r="227" spans="1:14" ht="12.75" customHeight="1" x14ac:dyDescent="0.25">
      <c r="B227" s="84" t="s">
        <v>4</v>
      </c>
      <c r="C227" s="86">
        <v>3.2750912718752518</v>
      </c>
      <c r="D227" s="29">
        <v>20450.034940117202</v>
      </c>
      <c r="E227" s="50">
        <f t="shared" si="51"/>
        <v>1.6056575695130883E-2</v>
      </c>
      <c r="F227" s="50">
        <f t="shared" si="52"/>
        <v>6.6897636279041389E-3</v>
      </c>
      <c r="G227" s="50">
        <f t="shared" si="53"/>
        <v>3.3322901571884077E-2</v>
      </c>
      <c r="H227" s="51">
        <f t="shared" si="54"/>
        <v>0.79128249167221054</v>
      </c>
      <c r="I227" s="50">
        <f t="shared" si="55"/>
        <v>1.6921498687483288E-4</v>
      </c>
    </row>
    <row r="228" spans="1:14" ht="12.75" customHeight="1" x14ac:dyDescent="0.25">
      <c r="B228" s="84" t="s">
        <v>6</v>
      </c>
      <c r="C228" s="86">
        <v>16.052819884560293</v>
      </c>
      <c r="D228" s="29">
        <v>13199.085501550475</v>
      </c>
      <c r="E228" s="50">
        <f t="shared" si="51"/>
        <v>7.8701109740114253E-2</v>
      </c>
      <c r="F228" s="50">
        <f t="shared" si="52"/>
        <v>4.3177805010323946E-3</v>
      </c>
      <c r="G228" s="50">
        <f t="shared" si="53"/>
        <v>0.11202401131199832</v>
      </c>
      <c r="H228" s="51">
        <f t="shared" si="54"/>
        <v>0.79560027217324292</v>
      </c>
      <c r="I228" s="50">
        <f t="shared" si="55"/>
        <v>3.1378803316763938E-4</v>
      </c>
    </row>
    <row r="229" spans="1:14" ht="12.75" customHeight="1" x14ac:dyDescent="0.25">
      <c r="B229" s="116" t="s">
        <v>11</v>
      </c>
      <c r="C229" s="86">
        <v>22.251590870161746</v>
      </c>
      <c r="D229" s="29">
        <v>363314.38569269452</v>
      </c>
      <c r="E229" s="50">
        <f t="shared" si="51"/>
        <v>0.1090914186764821</v>
      </c>
      <c r="F229" s="50">
        <f t="shared" si="52"/>
        <v>0.11885003473189147</v>
      </c>
      <c r="G229" s="50">
        <f t="shared" si="53"/>
        <v>0.22111542998848044</v>
      </c>
      <c r="H229" s="51">
        <f t="shared" si="54"/>
        <v>0.9144503069051344</v>
      </c>
      <c r="I229" s="50">
        <f t="shared" si="55"/>
        <v>1.9796817084562414E-2</v>
      </c>
    </row>
    <row r="230" spans="1:14" ht="12.75" customHeight="1" x14ac:dyDescent="0.25">
      <c r="B230" s="84" t="s">
        <v>10</v>
      </c>
      <c r="C230" s="86">
        <v>27.835036451662162</v>
      </c>
      <c r="D230" s="29">
        <v>237021.44592026682</v>
      </c>
      <c r="E230" s="50">
        <f t="shared" si="51"/>
        <v>0.13646501201382844</v>
      </c>
      <c r="F230" s="50">
        <f t="shared" si="52"/>
        <v>7.7536173047808077E-2</v>
      </c>
      <c r="G230" s="50">
        <f t="shared" si="53"/>
        <v>0.35758044200230887</v>
      </c>
      <c r="H230" s="51">
        <f t="shared" si="54"/>
        <v>0.99198647995294253</v>
      </c>
      <c r="I230" s="50">
        <f t="shared" si="55"/>
        <v>2.2434931636365032E-2</v>
      </c>
    </row>
    <row r="231" spans="1:14" ht="12.75" customHeight="1" thickBot="1" x14ac:dyDescent="0.3">
      <c r="B231" s="88" t="s">
        <v>5</v>
      </c>
      <c r="C231" s="89">
        <v>131.03557864571476</v>
      </c>
      <c r="D231" s="32">
        <v>24496.645034227455</v>
      </c>
      <c r="E231" s="52">
        <f t="shared" si="51"/>
        <v>0.64241955799769113</v>
      </c>
      <c r="F231" s="52">
        <f t="shared" si="52"/>
        <v>8.0135200470573941E-3</v>
      </c>
      <c r="G231" s="52">
        <f t="shared" si="53"/>
        <v>1</v>
      </c>
      <c r="H231" s="53">
        <f t="shared" si="54"/>
        <v>0.99999999999999989</v>
      </c>
      <c r="I231" s="52">
        <f t="shared" si="55"/>
        <v>5.4394990437392435E-3</v>
      </c>
    </row>
    <row r="232" spans="1:14" ht="12.75" customHeight="1" thickBot="1" x14ac:dyDescent="0.3">
      <c r="B232" s="38" t="s">
        <v>13</v>
      </c>
      <c r="C232" s="32">
        <f>SUM(C220:C231)</f>
        <v>203.97196351575852</v>
      </c>
      <c r="D232" s="32">
        <f>SUM(D220:D231)</f>
        <v>3056914.4259173279</v>
      </c>
      <c r="E232" s="52">
        <f>SUM(E221:E231)</f>
        <v>1</v>
      </c>
      <c r="F232" s="52">
        <f>SUM(F221:F231)</f>
        <v>0.99999999999999989</v>
      </c>
      <c r="G232" s="53"/>
      <c r="H232" s="53"/>
      <c r="I232" s="52">
        <f>SUM(I220:I231)</f>
        <v>4.9200254967844852E-2</v>
      </c>
    </row>
    <row r="233" spans="1:14" ht="12.75" customHeight="1" thickBot="1" x14ac:dyDescent="0.3">
      <c r="B233" s="4"/>
      <c r="C233" s="4"/>
      <c r="D233" s="4"/>
      <c r="E233" s="51"/>
      <c r="F233" s="51"/>
      <c r="G233" s="51"/>
      <c r="H233" s="54"/>
      <c r="I233" s="54"/>
    </row>
    <row r="234" spans="1:14" ht="12.75" customHeight="1" thickBot="1" x14ac:dyDescent="0.3">
      <c r="B234" s="4"/>
      <c r="C234" s="4"/>
      <c r="D234" s="4"/>
      <c r="E234" s="51"/>
      <c r="F234" s="51"/>
      <c r="G234" s="56"/>
      <c r="H234" s="57" t="s">
        <v>37</v>
      </c>
      <c r="I234" s="53">
        <f>1-(2*I232)</f>
        <v>0.90159949006431028</v>
      </c>
    </row>
    <row r="235" spans="1:14" ht="12.75" customHeight="1" x14ac:dyDescent="0.25"/>
    <row r="236" spans="1:14" ht="12.75" customHeight="1" x14ac:dyDescent="0.25"/>
    <row r="237" spans="1:14" ht="12.75" customHeight="1" x14ac:dyDescent="0.25"/>
    <row r="238" spans="1:14" ht="12.75" customHeight="1" x14ac:dyDescent="0.25"/>
    <row r="239" spans="1:14" ht="16.2" thickBot="1" x14ac:dyDescent="0.35">
      <c r="B239" s="209" t="s">
        <v>138</v>
      </c>
      <c r="C239" s="209"/>
      <c r="D239" s="209"/>
      <c r="E239" s="209"/>
      <c r="F239" s="209"/>
      <c r="G239" s="209"/>
      <c r="H239" s="209"/>
      <c r="I239" s="209"/>
    </row>
    <row r="240" spans="1:14" ht="27" thickBot="1" x14ac:dyDescent="0.3">
      <c r="A240" s="8"/>
      <c r="B240" s="30" t="s">
        <v>20</v>
      </c>
      <c r="C240" s="31" t="s">
        <v>44</v>
      </c>
      <c r="D240" s="37" t="s">
        <v>135</v>
      </c>
      <c r="E240" s="31" t="s">
        <v>16</v>
      </c>
      <c r="F240" s="31" t="s">
        <v>22</v>
      </c>
      <c r="G240" s="31" t="s">
        <v>18</v>
      </c>
      <c r="H240" s="31" t="s">
        <v>137</v>
      </c>
      <c r="I240" s="31" t="s">
        <v>21</v>
      </c>
      <c r="J240" s="8"/>
      <c r="K240" s="8"/>
      <c r="L240" s="8"/>
      <c r="M240" s="8"/>
      <c r="N240" s="8"/>
    </row>
    <row r="241" spans="2:9" ht="12.75" customHeight="1" x14ac:dyDescent="0.25">
      <c r="B241" s="4"/>
      <c r="C241" s="26">
        <v>0</v>
      </c>
      <c r="D241" s="26">
        <v>0</v>
      </c>
      <c r="E241" s="50">
        <v>0</v>
      </c>
      <c r="F241" s="50">
        <v>0</v>
      </c>
      <c r="G241" s="50">
        <v>0</v>
      </c>
      <c r="H241" s="51">
        <f>F241</f>
        <v>0</v>
      </c>
      <c r="I241" s="50">
        <v>0</v>
      </c>
    </row>
    <row r="242" spans="2:9" ht="12.75" customHeight="1" x14ac:dyDescent="0.25">
      <c r="B242" s="84" t="s">
        <v>2</v>
      </c>
      <c r="C242" s="29">
        <v>0</v>
      </c>
      <c r="D242" s="29">
        <v>24496.645034227455</v>
      </c>
      <c r="E242" s="50">
        <f t="shared" ref="E242:E252" si="56">C242/$C$253</f>
        <v>0</v>
      </c>
      <c r="F242" s="50">
        <f t="shared" ref="F242:F252" si="57">D242/$D$253</f>
        <v>8.0135200470573941E-3</v>
      </c>
      <c r="G242" s="50">
        <f t="shared" ref="G242:G252" si="58">G241+E242</f>
        <v>0</v>
      </c>
      <c r="H242" s="51">
        <f t="shared" ref="H242:H252" si="59">F242+H241</f>
        <v>8.0135200470573941E-3</v>
      </c>
      <c r="I242" s="50">
        <f t="shared" ref="I242:I252" si="60">(G241+G242)*0.5*(H242-H241)</f>
        <v>0</v>
      </c>
    </row>
    <row r="243" spans="2:9" ht="12.75" customHeight="1" x14ac:dyDescent="0.25">
      <c r="B243" s="84" t="s">
        <v>9</v>
      </c>
      <c r="C243" s="29">
        <v>0</v>
      </c>
      <c r="D243" s="29">
        <v>119784.51078433092</v>
      </c>
      <c r="E243" s="50">
        <f t="shared" si="56"/>
        <v>0</v>
      </c>
      <c r="F243" s="50">
        <f t="shared" si="57"/>
        <v>3.9184777227902166E-2</v>
      </c>
      <c r="G243" s="50">
        <f t="shared" si="58"/>
        <v>0</v>
      </c>
      <c r="H243" s="51">
        <f t="shared" si="59"/>
        <v>4.7198297274959562E-2</v>
      </c>
      <c r="I243" s="50">
        <f t="shared" si="60"/>
        <v>0</v>
      </c>
    </row>
    <row r="244" spans="2:9" ht="12.75" customHeight="1" x14ac:dyDescent="0.25">
      <c r="B244" s="84" t="s">
        <v>1</v>
      </c>
      <c r="C244" s="29">
        <v>1.9832072109514134</v>
      </c>
      <c r="D244" s="29">
        <v>20450.034940117202</v>
      </c>
      <c r="E244" s="50">
        <f t="shared" si="56"/>
        <v>6.9246761283121381E-3</v>
      </c>
      <c r="F244" s="50">
        <f t="shared" si="57"/>
        <v>6.6897636279041389E-3</v>
      </c>
      <c r="G244" s="50">
        <f t="shared" si="58"/>
        <v>6.9246761283121381E-3</v>
      </c>
      <c r="H244" s="51">
        <f t="shared" si="59"/>
        <v>5.3888060902863702E-2</v>
      </c>
      <c r="I244" s="50">
        <f t="shared" si="60"/>
        <v>2.3162223249099301E-5</v>
      </c>
    </row>
    <row r="245" spans="2:9" ht="12.75" customHeight="1" x14ac:dyDescent="0.25">
      <c r="B245" s="84" t="s">
        <v>4</v>
      </c>
      <c r="C245" s="29">
        <v>3.2750912718752518</v>
      </c>
      <c r="D245" s="29">
        <v>20836.189535136225</v>
      </c>
      <c r="E245" s="50">
        <f t="shared" si="56"/>
        <v>1.1435490060324113E-2</v>
      </c>
      <c r="F245" s="50">
        <f t="shared" si="57"/>
        <v>6.8160853174303827E-3</v>
      </c>
      <c r="G245" s="50">
        <f t="shared" si="58"/>
        <v>1.836016618863625E-2</v>
      </c>
      <c r="H245" s="51">
        <f t="shared" si="59"/>
        <v>6.0704146220294082E-2</v>
      </c>
      <c r="I245" s="50">
        <f t="shared" si="60"/>
        <v>8.6171821235047128E-5</v>
      </c>
    </row>
    <row r="246" spans="2:9" ht="12.75" customHeight="1" x14ac:dyDescent="0.25">
      <c r="B246" s="84" t="s">
        <v>7</v>
      </c>
      <c r="C246" s="29">
        <v>5.3386391808328861</v>
      </c>
      <c r="D246" s="29">
        <v>1339764.2833351614</v>
      </c>
      <c r="E246" s="50">
        <f t="shared" si="56"/>
        <v>1.8640688219084458E-2</v>
      </c>
      <c r="F246" s="50">
        <f t="shared" si="57"/>
        <v>0.43827340143259685</v>
      </c>
      <c r="G246" s="50">
        <f t="shared" si="58"/>
        <v>3.7000854407720704E-2</v>
      </c>
      <c r="H246" s="51">
        <f t="shared" si="59"/>
        <v>0.49897754765289093</v>
      </c>
      <c r="I246" s="50">
        <f t="shared" si="60"/>
        <v>1.2131631401772707E-2</v>
      </c>
    </row>
    <row r="247" spans="2:9" ht="12.75" customHeight="1" x14ac:dyDescent="0.25">
      <c r="B247" s="84" t="s">
        <v>6</v>
      </c>
      <c r="C247" s="29">
        <v>16.052819884560293</v>
      </c>
      <c r="D247" s="29">
        <v>49475.746319971244</v>
      </c>
      <c r="E247" s="50">
        <f t="shared" si="56"/>
        <v>5.6050914918457505E-2</v>
      </c>
      <c r="F247" s="50">
        <f t="shared" si="57"/>
        <v>1.6184864679397892E-2</v>
      </c>
      <c r="G247" s="50">
        <f t="shared" si="58"/>
        <v>9.3051769326178202E-2</v>
      </c>
      <c r="H247" s="51">
        <f t="shared" si="59"/>
        <v>0.51516241233228888</v>
      </c>
      <c r="I247" s="50">
        <f t="shared" si="60"/>
        <v>1.052442058166906E-3</v>
      </c>
    </row>
    <row r="248" spans="2:9" ht="12.75" customHeight="1" x14ac:dyDescent="0.25">
      <c r="B248" s="84" t="s">
        <v>8</v>
      </c>
      <c r="C248" s="29">
        <v>17.853298663279823</v>
      </c>
      <c r="D248" s="29">
        <v>251430.37783690859</v>
      </c>
      <c r="E248" s="50">
        <f t="shared" si="56"/>
        <v>6.2337566333238573E-2</v>
      </c>
      <c r="F248" s="50">
        <f t="shared" si="57"/>
        <v>8.224972727571811E-2</v>
      </c>
      <c r="G248" s="50">
        <f t="shared" si="58"/>
        <v>0.15538933565941676</v>
      </c>
      <c r="H248" s="51">
        <f t="shared" si="59"/>
        <v>0.59741213960800699</v>
      </c>
      <c r="I248" s="50">
        <f t="shared" si="60"/>
        <v>1.0217106564571619E-2</v>
      </c>
    </row>
    <row r="249" spans="2:9" ht="12.75" customHeight="1" x14ac:dyDescent="0.25">
      <c r="B249" s="84" t="s">
        <v>10</v>
      </c>
      <c r="C249" s="29">
        <v>27.835036451662162</v>
      </c>
      <c r="D249" s="29">
        <v>363314.38569269452</v>
      </c>
      <c r="E249" s="50">
        <f t="shared" si="56"/>
        <v>9.7190354786505131E-2</v>
      </c>
      <c r="F249" s="50">
        <f t="shared" si="57"/>
        <v>0.11885003473189147</v>
      </c>
      <c r="G249" s="50">
        <f t="shared" si="58"/>
        <v>0.25257969044592188</v>
      </c>
      <c r="H249" s="51">
        <f t="shared" si="59"/>
        <v>0.71626217433989847</v>
      </c>
      <c r="I249" s="50">
        <f t="shared" si="60"/>
        <v>2.4243566461077722E-2</v>
      </c>
    </row>
    <row r="250" spans="2:9" ht="12.75" customHeight="1" x14ac:dyDescent="0.25">
      <c r="B250" s="84" t="s">
        <v>3</v>
      </c>
      <c r="C250" s="29">
        <v>39.671844949611199</v>
      </c>
      <c r="D250" s="29">
        <v>13199.085501550475</v>
      </c>
      <c r="E250" s="50">
        <f t="shared" si="56"/>
        <v>0.13852041086361469</v>
      </c>
      <c r="F250" s="50">
        <f t="shared" si="57"/>
        <v>4.3177805010323946E-3</v>
      </c>
      <c r="G250" s="50">
        <f t="shared" si="58"/>
        <v>0.39110010130953654</v>
      </c>
      <c r="H250" s="51">
        <f t="shared" si="59"/>
        <v>0.72057995484093085</v>
      </c>
      <c r="I250" s="50">
        <f t="shared" si="60"/>
        <v>1.3896340268751493E-3</v>
      </c>
    </row>
    <row r="251" spans="2:9" ht="12.75" customHeight="1" x14ac:dyDescent="0.25">
      <c r="B251" s="116" t="s">
        <v>11</v>
      </c>
      <c r="C251" s="29">
        <v>43.351590870161743</v>
      </c>
      <c r="D251" s="29">
        <v>237021.44592026682</v>
      </c>
      <c r="E251" s="50">
        <f t="shared" si="56"/>
        <v>0.15136881550513784</v>
      </c>
      <c r="F251" s="50">
        <f t="shared" si="57"/>
        <v>7.7536173047808077E-2</v>
      </c>
      <c r="G251" s="50">
        <f t="shared" si="58"/>
        <v>0.54246891681467435</v>
      </c>
      <c r="H251" s="51">
        <f t="shared" si="59"/>
        <v>0.79811612788873898</v>
      </c>
      <c r="I251" s="50">
        <f t="shared" si="60"/>
        <v>3.6192684470675571E-2</v>
      </c>
    </row>
    <row r="252" spans="2:9" ht="12.75" customHeight="1" thickBot="1" x14ac:dyDescent="0.3">
      <c r="B252" s="88" t="s">
        <v>5</v>
      </c>
      <c r="C252" s="32">
        <v>131.03557864571476</v>
      </c>
      <c r="D252" s="32">
        <v>617141.72101696266</v>
      </c>
      <c r="E252" s="52">
        <f t="shared" si="56"/>
        <v>0.45753108318532565</v>
      </c>
      <c r="F252" s="52">
        <f t="shared" si="57"/>
        <v>0.20188387211126099</v>
      </c>
      <c r="G252" s="52">
        <f t="shared" si="58"/>
        <v>1</v>
      </c>
      <c r="H252" s="53">
        <f t="shared" si="59"/>
        <v>1</v>
      </c>
      <c r="I252" s="52">
        <f t="shared" si="60"/>
        <v>0.15569979876890452</v>
      </c>
    </row>
    <row r="253" spans="2:9" ht="12.75" customHeight="1" thickBot="1" x14ac:dyDescent="0.3">
      <c r="B253" s="38" t="s">
        <v>13</v>
      </c>
      <c r="C253" s="32">
        <f>SUM(C241:C252)</f>
        <v>286.39710712864951</v>
      </c>
      <c r="D253" s="32">
        <f>SUM(D241:D252)</f>
        <v>3056914.4259173279</v>
      </c>
      <c r="E253" s="52">
        <f>SUM(E242:E252)</f>
        <v>1</v>
      </c>
      <c r="F253" s="52">
        <f>SUM(F242:F252)</f>
        <v>1</v>
      </c>
      <c r="G253" s="53"/>
      <c r="H253" s="53"/>
      <c r="I253" s="52">
        <f>SUM(I241:I252)</f>
        <v>0.24103619779652835</v>
      </c>
    </row>
    <row r="254" spans="2:9" ht="12.75" customHeight="1" thickBot="1" x14ac:dyDescent="0.3">
      <c r="B254" s="4"/>
      <c r="C254" s="4"/>
      <c r="D254" s="4"/>
      <c r="E254" s="51"/>
      <c r="F254" s="51"/>
      <c r="G254" s="51"/>
      <c r="H254" s="54"/>
      <c r="I254" s="54"/>
    </row>
    <row r="255" spans="2:9" ht="12.75" customHeight="1" thickBot="1" x14ac:dyDescent="0.3">
      <c r="B255" s="4"/>
      <c r="C255" s="4"/>
      <c r="D255" s="4"/>
      <c r="E255" s="51"/>
      <c r="F255" s="51"/>
      <c r="G255" s="56"/>
      <c r="H255" s="58" t="s">
        <v>33</v>
      </c>
      <c r="I255" s="59">
        <f>1-(2*I253)</f>
        <v>0.5179276044069433</v>
      </c>
    </row>
    <row r="256" spans="2:9" ht="12.6" customHeight="1" x14ac:dyDescent="0.25"/>
    <row r="257" spans="1:14" ht="12.6" customHeight="1" x14ac:dyDescent="0.25">
      <c r="A257" s="117" t="s">
        <v>131</v>
      </c>
      <c r="B257" s="117"/>
      <c r="C257" s="117"/>
      <c r="D257" s="117"/>
      <c r="E257" s="117"/>
      <c r="F257" s="117"/>
      <c r="G257" s="118"/>
      <c r="H257" s="118"/>
      <c r="I257" s="118"/>
    </row>
    <row r="258" spans="1:14" ht="12.75" customHeight="1" x14ac:dyDescent="0.25"/>
    <row r="259" spans="1:14" ht="16.2" thickBot="1" x14ac:dyDescent="0.35">
      <c r="B259" s="209" t="s">
        <v>128</v>
      </c>
      <c r="C259" s="209"/>
      <c r="D259" s="209"/>
      <c r="E259" s="209"/>
      <c r="F259" s="209"/>
      <c r="G259" s="209"/>
      <c r="H259" s="209"/>
      <c r="I259" s="209"/>
    </row>
    <row r="260" spans="1:14" ht="27" thickBot="1" x14ac:dyDescent="0.3">
      <c r="B260" s="36" t="s">
        <v>20</v>
      </c>
      <c r="C260" s="37" t="s">
        <v>108</v>
      </c>
      <c r="D260" s="37" t="s">
        <v>46</v>
      </c>
      <c r="E260" s="37" t="s">
        <v>106</v>
      </c>
      <c r="F260" s="37" t="s">
        <v>17</v>
      </c>
      <c r="G260" s="37" t="s">
        <v>107</v>
      </c>
      <c r="H260" s="37" t="s">
        <v>136</v>
      </c>
      <c r="I260" s="37" t="s">
        <v>21</v>
      </c>
      <c r="J260" s="8"/>
      <c r="K260" s="8"/>
      <c r="L260" s="8"/>
      <c r="M260" s="8"/>
      <c r="N260" s="8"/>
    </row>
    <row r="261" spans="1:14" ht="12.75" customHeight="1" x14ac:dyDescent="0.25">
      <c r="B261" s="4"/>
      <c r="C261" s="26">
        <v>0</v>
      </c>
      <c r="D261" s="26">
        <v>0</v>
      </c>
      <c r="E261" s="50">
        <f>C261/$C$82</f>
        <v>0</v>
      </c>
      <c r="F261" s="50">
        <v>0</v>
      </c>
      <c r="G261" s="50">
        <v>0</v>
      </c>
      <c r="H261" s="51">
        <f>F261</f>
        <v>0</v>
      </c>
      <c r="I261" s="50">
        <v>0</v>
      </c>
    </row>
    <row r="262" spans="1:14" ht="12.75" customHeight="1" x14ac:dyDescent="0.25">
      <c r="B262" s="84" t="s">
        <v>1</v>
      </c>
      <c r="C262" s="29">
        <v>4.4888805282797799</v>
      </c>
      <c r="D262" s="29">
        <v>3.8753060000000001</v>
      </c>
      <c r="E262" s="50">
        <f t="shared" ref="E262:E272" si="61">C262/$C$273</f>
        <v>2.3065200054977399E-2</v>
      </c>
      <c r="F262" s="50">
        <f t="shared" ref="F262:F272" si="62">D262/$D$273</f>
        <v>1.448785084171215E-2</v>
      </c>
      <c r="G262" s="50">
        <f t="shared" ref="G262:G272" si="63">G261+E262</f>
        <v>2.3065200054977399E-2</v>
      </c>
      <c r="H262" s="51">
        <f t="shared" ref="H262:H272" si="64">F262+H261</f>
        <v>1.448785084171215E-2</v>
      </c>
      <c r="I262" s="50">
        <f t="shared" ref="I262:I272" si="65">(G261+G262)*0.5*(H262-H261)</f>
        <v>1.670825890153817E-4</v>
      </c>
    </row>
    <row r="263" spans="1:14" ht="12.75" customHeight="1" x14ac:dyDescent="0.25">
      <c r="B263" s="84" t="s">
        <v>2</v>
      </c>
      <c r="C263" s="29">
        <v>2.8195823745283026</v>
      </c>
      <c r="D263" s="29">
        <v>39.232453</v>
      </c>
      <c r="E263" s="50">
        <f t="shared" si="61"/>
        <v>1.4487850841712153E-2</v>
      </c>
      <c r="F263" s="50">
        <f t="shared" si="62"/>
        <v>0.14667072154262975</v>
      </c>
      <c r="G263" s="50">
        <f t="shared" si="63"/>
        <v>3.7553050896689553E-2</v>
      </c>
      <c r="H263" s="51">
        <f t="shared" si="64"/>
        <v>0.16115857238434189</v>
      </c>
      <c r="I263" s="50">
        <f t="shared" si="65"/>
        <v>4.4454613028665976E-3</v>
      </c>
    </row>
    <row r="264" spans="1:14" ht="12.75" customHeight="1" x14ac:dyDescent="0.25">
      <c r="B264" s="84" t="s">
        <v>3</v>
      </c>
      <c r="C264" s="29">
        <v>61.07755360812191</v>
      </c>
      <c r="D264" s="29">
        <v>1.2901100000000001</v>
      </c>
      <c r="E264" s="50">
        <f t="shared" si="61"/>
        <v>0.31383459282660014</v>
      </c>
      <c r="F264" s="50">
        <f t="shared" si="62"/>
        <v>4.8230826802841539E-3</v>
      </c>
      <c r="G264" s="50">
        <f t="shared" si="63"/>
        <v>0.35138764372328968</v>
      </c>
      <c r="H264" s="51">
        <f t="shared" si="64"/>
        <v>0.16598165506462603</v>
      </c>
      <c r="I264" s="50">
        <f t="shared" si="65"/>
        <v>9.379465639396524E-4</v>
      </c>
    </row>
    <row r="265" spans="1:14" ht="12.75" customHeight="1" x14ac:dyDescent="0.25">
      <c r="B265" s="84" t="s">
        <v>4</v>
      </c>
      <c r="C265" s="29">
        <v>0.93865398427961777</v>
      </c>
      <c r="D265" s="29">
        <v>10.905776556851148</v>
      </c>
      <c r="E265" s="50">
        <f t="shared" si="61"/>
        <v>4.8230826802841548E-3</v>
      </c>
      <c r="F265" s="50">
        <f t="shared" si="62"/>
        <v>4.0771300142156651E-2</v>
      </c>
      <c r="G265" s="50">
        <f t="shared" si="63"/>
        <v>0.35621072640357382</v>
      </c>
      <c r="H265" s="51">
        <f t="shared" si="64"/>
        <v>0.20675295520678269</v>
      </c>
      <c r="I265" s="50">
        <f t="shared" si="65"/>
        <v>1.4424852764271606E-2</v>
      </c>
    </row>
    <row r="266" spans="1:14" ht="12.75" customHeight="1" x14ac:dyDescent="0.25">
      <c r="B266" s="84" t="s">
        <v>5</v>
      </c>
      <c r="C266" s="29">
        <v>28.544618925140369</v>
      </c>
      <c r="D266" s="29">
        <v>19.742709999999999</v>
      </c>
      <c r="E266" s="50">
        <f t="shared" si="61"/>
        <v>0.14667072154262978</v>
      </c>
      <c r="F266" s="50">
        <f t="shared" si="62"/>
        <v>7.3808219967966104E-2</v>
      </c>
      <c r="G266" s="50">
        <f t="shared" si="63"/>
        <v>0.5028814479462036</v>
      </c>
      <c r="H266" s="51">
        <f t="shared" si="64"/>
        <v>0.28056117517474877</v>
      </c>
      <c r="I266" s="50">
        <f t="shared" si="65"/>
        <v>3.1704032088583321E-2</v>
      </c>
    </row>
    <row r="267" spans="1:14" ht="12.75" customHeight="1" x14ac:dyDescent="0.25">
      <c r="B267" s="84" t="s">
        <v>6</v>
      </c>
      <c r="C267" s="29">
        <v>14.36433591087353</v>
      </c>
      <c r="D267" s="29">
        <v>11.996235</v>
      </c>
      <c r="E267" s="50">
        <f t="shared" si="61"/>
        <v>7.3808219967966118E-2</v>
      </c>
      <c r="F267" s="50">
        <f t="shared" si="62"/>
        <v>4.4847984479709925E-2</v>
      </c>
      <c r="G267" s="50">
        <f t="shared" si="63"/>
        <v>0.57668966791416976</v>
      </c>
      <c r="H267" s="51">
        <f t="shared" si="64"/>
        <v>0.32540915965445871</v>
      </c>
      <c r="I267" s="50">
        <f t="shared" si="65"/>
        <v>2.4208294324424586E-2</v>
      </c>
    </row>
    <row r="268" spans="1:14" ht="12.75" customHeight="1" x14ac:dyDescent="0.25">
      <c r="B268" s="84" t="s">
        <v>7</v>
      </c>
      <c r="C268" s="29">
        <v>8.3136108498329691</v>
      </c>
      <c r="D268" s="29">
        <v>36.982824999999998</v>
      </c>
      <c r="E268" s="50">
        <f t="shared" si="61"/>
        <v>4.2717799287055672E-2</v>
      </c>
      <c r="F268" s="50">
        <f t="shared" si="62"/>
        <v>0.13826047602567207</v>
      </c>
      <c r="G268" s="50">
        <f t="shared" si="63"/>
        <v>0.61940746720122541</v>
      </c>
      <c r="H268" s="51">
        <f t="shared" si="64"/>
        <v>0.46366963568013075</v>
      </c>
      <c r="I268" s="50">
        <f t="shared" si="65"/>
        <v>8.2686479636998558E-2</v>
      </c>
    </row>
    <row r="269" spans="1:14" ht="12.75" customHeight="1" x14ac:dyDescent="0.25">
      <c r="B269" s="84" t="s">
        <v>8</v>
      </c>
      <c r="C269" s="29">
        <v>26.907841994997209</v>
      </c>
      <c r="D269" s="29">
        <v>41.918567000000003</v>
      </c>
      <c r="E269" s="50">
        <f t="shared" si="61"/>
        <v>0.1382604760256721</v>
      </c>
      <c r="F269" s="50">
        <f t="shared" si="62"/>
        <v>0.15671277215123586</v>
      </c>
      <c r="G269" s="50">
        <f t="shared" si="63"/>
        <v>0.75766794322689757</v>
      </c>
      <c r="H269" s="51">
        <f t="shared" si="64"/>
        <v>0.62038240783136667</v>
      </c>
      <c r="I269" s="50">
        <f t="shared" si="65"/>
        <v>0.10790265251474607</v>
      </c>
    </row>
    <row r="270" spans="1:14" ht="12.75" customHeight="1" x14ac:dyDescent="0.25">
      <c r="B270" s="84" t="s">
        <v>9</v>
      </c>
      <c r="C270" s="29">
        <v>7.9347889844676658</v>
      </c>
      <c r="D270" s="29">
        <v>6.169632</v>
      </c>
      <c r="E270" s="50">
        <f t="shared" si="61"/>
        <v>4.0771300142156658E-2</v>
      </c>
      <c r="F270" s="50">
        <f t="shared" si="62"/>
        <v>2.3065200054977392E-2</v>
      </c>
      <c r="G270" s="50">
        <f t="shared" si="63"/>
        <v>0.79843924336905425</v>
      </c>
      <c r="H270" s="51">
        <f t="shared" si="64"/>
        <v>0.64344760788634403</v>
      </c>
      <c r="I270" s="50">
        <f t="shared" si="65"/>
        <v>1.7945961782911812E-2</v>
      </c>
    </row>
    <row r="271" spans="1:14" ht="12.75" customHeight="1" x14ac:dyDescent="0.25">
      <c r="B271" s="84" t="s">
        <v>10</v>
      </c>
      <c r="C271" s="29">
        <v>8.728181146649975</v>
      </c>
      <c r="D271" s="29">
        <v>83.946549000000005</v>
      </c>
      <c r="E271" s="50">
        <f t="shared" si="61"/>
        <v>4.4847984479709932E-2</v>
      </c>
      <c r="F271" s="50">
        <f t="shared" si="62"/>
        <v>0.31383459282660009</v>
      </c>
      <c r="G271" s="50">
        <f t="shared" si="63"/>
        <v>0.8432872278487642</v>
      </c>
      <c r="H271" s="51">
        <f t="shared" si="64"/>
        <v>0.95728220071294412</v>
      </c>
      <c r="I271" s="50">
        <f t="shared" si="65"/>
        <v>0.25761527931364753</v>
      </c>
    </row>
    <row r="272" spans="1:14" ht="12.75" customHeight="1" thickBot="1" x14ac:dyDescent="0.3">
      <c r="B272" s="88" t="s">
        <v>11</v>
      </c>
      <c r="C272" s="32">
        <v>30.49897290141314</v>
      </c>
      <c r="D272" s="32">
        <v>11.426439</v>
      </c>
      <c r="E272" s="52">
        <f t="shared" si="61"/>
        <v>0.15671277215123589</v>
      </c>
      <c r="F272" s="52">
        <f t="shared" si="62"/>
        <v>4.2717799287055665E-2</v>
      </c>
      <c r="G272" s="52">
        <f t="shared" si="63"/>
        <v>1</v>
      </c>
      <c r="H272" s="53">
        <f t="shared" si="64"/>
        <v>0.99999999999999978</v>
      </c>
      <c r="I272" s="52">
        <f t="shared" si="65"/>
        <v>3.9370586913818367E-2</v>
      </c>
    </row>
    <row r="273" spans="2:14" ht="12.75" customHeight="1" thickBot="1" x14ac:dyDescent="0.3">
      <c r="B273" s="38" t="s">
        <v>13</v>
      </c>
      <c r="C273" s="32">
        <f>SUM(C261:C272)</f>
        <v>194.61702120858448</v>
      </c>
      <c r="D273" s="32">
        <f>SUM(D261:D272)</f>
        <v>267.48660255685121</v>
      </c>
      <c r="E273" s="52">
        <f>SUM(E262:E272)</f>
        <v>1</v>
      </c>
      <c r="F273" s="52">
        <f>SUM(F262:F272)</f>
        <v>0.99999999999999978</v>
      </c>
      <c r="G273" s="53"/>
      <c r="H273" s="53"/>
      <c r="I273" s="52">
        <f>SUM(I261:I272)</f>
        <v>0.58140862979522345</v>
      </c>
    </row>
    <row r="274" spans="2:14" ht="12.75" customHeight="1" thickBot="1" x14ac:dyDescent="0.3">
      <c r="B274" s="48"/>
      <c r="C274" s="29"/>
      <c r="D274" s="29"/>
      <c r="E274" s="26"/>
      <c r="F274" s="27"/>
      <c r="G274" s="4"/>
      <c r="H274" s="40"/>
      <c r="I274" s="34"/>
    </row>
    <row r="275" spans="2:14" ht="12.75" customHeight="1" thickBot="1" x14ac:dyDescent="0.3">
      <c r="B275" s="4"/>
      <c r="C275" s="4"/>
      <c r="D275" s="4"/>
      <c r="E275" s="4"/>
      <c r="F275" s="4"/>
      <c r="G275" s="5"/>
      <c r="H275" s="49" t="s">
        <v>42</v>
      </c>
      <c r="I275" s="62">
        <f>1-(2*I273)</f>
        <v>-0.16281725959044691</v>
      </c>
    </row>
    <row r="276" spans="2:14" ht="12.75" customHeight="1" x14ac:dyDescent="0.25">
      <c r="B276" s="4"/>
      <c r="C276" s="4"/>
      <c r="D276" s="4"/>
      <c r="E276" s="4"/>
      <c r="F276" s="4"/>
      <c r="G276" s="5"/>
      <c r="H276" s="112"/>
      <c r="I276" s="113"/>
    </row>
    <row r="277" spans="2:14" ht="12.75" customHeight="1" x14ac:dyDescent="0.25"/>
    <row r="278" spans="2:14" ht="12.75" customHeight="1" x14ac:dyDescent="0.25"/>
    <row r="279" spans="2:14" ht="16.2" thickBot="1" x14ac:dyDescent="0.35">
      <c r="B279" s="209" t="s">
        <v>127</v>
      </c>
      <c r="C279" s="209"/>
      <c r="D279" s="209"/>
      <c r="E279" s="209"/>
      <c r="F279" s="209"/>
      <c r="G279" s="209"/>
      <c r="H279" s="209"/>
      <c r="I279" s="209"/>
    </row>
    <row r="280" spans="2:14" ht="27" thickBot="1" x14ac:dyDescent="0.3">
      <c r="B280" s="30" t="s">
        <v>20</v>
      </c>
      <c r="C280" s="31" t="s">
        <v>44</v>
      </c>
      <c r="D280" s="31" t="s">
        <v>45</v>
      </c>
      <c r="E280" s="31" t="s">
        <v>16</v>
      </c>
      <c r="F280" s="31" t="s">
        <v>22</v>
      </c>
      <c r="G280" s="31" t="s">
        <v>18</v>
      </c>
      <c r="H280" s="31" t="s">
        <v>137</v>
      </c>
      <c r="I280" s="31" t="s">
        <v>21</v>
      </c>
      <c r="J280" s="8"/>
      <c r="K280" s="8"/>
      <c r="L280" s="8"/>
      <c r="M280" s="8"/>
      <c r="N280" s="8"/>
    </row>
    <row r="281" spans="2:14" ht="12.75" customHeight="1" x14ac:dyDescent="0.25">
      <c r="B281" s="4"/>
      <c r="C281" s="26">
        <v>0</v>
      </c>
      <c r="D281" s="26">
        <v>0</v>
      </c>
      <c r="E281" s="50">
        <v>0</v>
      </c>
      <c r="F281" s="50">
        <v>0</v>
      </c>
      <c r="G281" s="50">
        <v>0</v>
      </c>
      <c r="H281" s="51">
        <f>F281</f>
        <v>0</v>
      </c>
      <c r="I281" s="50">
        <v>0</v>
      </c>
    </row>
    <row r="282" spans="2:14" ht="12.75" customHeight="1" x14ac:dyDescent="0.25">
      <c r="B282" s="84" t="s">
        <v>1</v>
      </c>
      <c r="C282" s="29">
        <v>2.6635493803905446</v>
      </c>
      <c r="D282" s="29">
        <v>4739.5256339269945</v>
      </c>
      <c r="E282" s="50">
        <f t="shared" ref="E282:E292" si="66">C282/$C$293</f>
        <v>1.3686107021111144E-2</v>
      </c>
      <c r="F282" s="50">
        <f t="shared" ref="F282:F292" si="67">D282/$D$293</f>
        <v>8.6508040877704747E-3</v>
      </c>
      <c r="G282" s="50">
        <f t="shared" ref="G282:G292" si="68">G281+E282</f>
        <v>1.3686107021111144E-2</v>
      </c>
      <c r="H282" s="51">
        <f t="shared" ref="H282:H292" si="69">F282+H281</f>
        <v>8.6508040877704747E-3</v>
      </c>
      <c r="I282" s="50">
        <f t="shared" ref="I282:I292" si="70">(G281+G282)*0.5*(H282-H281)</f>
        <v>5.9197915281946238E-5</v>
      </c>
    </row>
    <row r="283" spans="2:14" ht="12.75" customHeight="1" x14ac:dyDescent="0.25">
      <c r="B283" s="84" t="s">
        <v>2</v>
      </c>
      <c r="C283" s="29">
        <v>1.6159219228446957</v>
      </c>
      <c r="D283" s="29">
        <v>69411.089457609574</v>
      </c>
      <c r="E283" s="50">
        <f t="shared" si="66"/>
        <v>8.3030863015460532E-3</v>
      </c>
      <c r="F283" s="50">
        <f t="shared" si="67"/>
        <v>0.12669237024865942</v>
      </c>
      <c r="G283" s="50">
        <f t="shared" si="68"/>
        <v>2.1989193322657197E-2</v>
      </c>
      <c r="H283" s="51">
        <f t="shared" si="69"/>
        <v>0.13534317433642989</v>
      </c>
      <c r="I283" s="50">
        <f t="shared" si="70"/>
        <v>2.2598941799424127E-3</v>
      </c>
    </row>
    <row r="284" spans="2:14" ht="12.75" customHeight="1" x14ac:dyDescent="0.25">
      <c r="B284" s="84" t="s">
        <v>3</v>
      </c>
      <c r="C284" s="29">
        <v>11.98459610078207</v>
      </c>
      <c r="D284" s="29">
        <v>4549.0211045835576</v>
      </c>
      <c r="E284" s="50">
        <f t="shared" si="66"/>
        <v>6.1580410728501241E-2</v>
      </c>
      <c r="F284" s="50">
        <f t="shared" si="67"/>
        <v>8.3030863015460532E-3</v>
      </c>
      <c r="G284" s="50">
        <f t="shared" si="68"/>
        <v>8.356960405115843E-2</v>
      </c>
      <c r="H284" s="51">
        <f t="shared" si="69"/>
        <v>0.14364626063797595</v>
      </c>
      <c r="I284" s="50">
        <f t="shared" si="70"/>
        <v>4.3823190224110201E-4</v>
      </c>
    </row>
    <row r="285" spans="2:14" ht="12.75" customHeight="1" x14ac:dyDescent="0.25">
      <c r="B285" s="84" t="s">
        <v>4</v>
      </c>
      <c r="C285" s="29">
        <v>1.6835937226209361</v>
      </c>
      <c r="D285" s="29">
        <v>8412.6065227973904</v>
      </c>
      <c r="E285" s="50">
        <f t="shared" si="66"/>
        <v>8.6508040877704747E-3</v>
      </c>
      <c r="F285" s="50">
        <f t="shared" si="67"/>
        <v>1.5355083296789957E-2</v>
      </c>
      <c r="G285" s="50">
        <f t="shared" si="68"/>
        <v>9.22204081389289E-2</v>
      </c>
      <c r="H285" s="51">
        <f t="shared" si="69"/>
        <v>0.15900134393476589</v>
      </c>
      <c r="I285" s="50">
        <f t="shared" si="70"/>
        <v>1.3496351399612553E-3</v>
      </c>
    </row>
    <row r="286" spans="2:14" ht="12.75" customHeight="1" x14ac:dyDescent="0.25">
      <c r="B286" s="84" t="s">
        <v>5</v>
      </c>
      <c r="C286" s="29">
        <v>53.203591379130508</v>
      </c>
      <c r="D286" s="29">
        <v>34543.134541376516</v>
      </c>
      <c r="E286" s="50">
        <f t="shared" si="66"/>
        <v>0.27337583860205394</v>
      </c>
      <c r="F286" s="50">
        <f t="shared" si="67"/>
        <v>6.3049746446323038E-2</v>
      </c>
      <c r="G286" s="50">
        <f t="shared" si="68"/>
        <v>0.36559624674098284</v>
      </c>
      <c r="H286" s="51">
        <f t="shared" si="69"/>
        <v>0.22205109038108894</v>
      </c>
      <c r="I286" s="50">
        <f t="shared" si="70"/>
        <v>1.4432612004541111E-2</v>
      </c>
    </row>
    <row r="287" spans="2:14" ht="12.75" customHeight="1" x14ac:dyDescent="0.25">
      <c r="B287" s="84" t="s">
        <v>6</v>
      </c>
      <c r="C287" s="29">
        <v>12.270553841339927</v>
      </c>
      <c r="D287" s="29">
        <v>33738.127951375733</v>
      </c>
      <c r="E287" s="50">
        <f t="shared" si="66"/>
        <v>6.3049746446323038E-2</v>
      </c>
      <c r="F287" s="50">
        <f t="shared" si="67"/>
        <v>6.1580410728501234E-2</v>
      </c>
      <c r="G287" s="50">
        <f t="shared" si="68"/>
        <v>0.4286459931873059</v>
      </c>
      <c r="H287" s="51">
        <f t="shared" si="69"/>
        <v>0.28363150110959018</v>
      </c>
      <c r="I287" s="50">
        <f t="shared" si="70"/>
        <v>2.4454881676354418E-2</v>
      </c>
    </row>
    <row r="288" spans="2:14" ht="12.75" customHeight="1" x14ac:dyDescent="0.25">
      <c r="B288" s="84" t="s">
        <v>7</v>
      </c>
      <c r="C288" s="29">
        <v>4.5145626637454681</v>
      </c>
      <c r="D288" s="29">
        <v>43226.930239887697</v>
      </c>
      <c r="E288" s="50">
        <f t="shared" si="66"/>
        <v>2.3197162487174745E-2</v>
      </c>
      <c r="F288" s="50">
        <f t="shared" si="67"/>
        <v>7.8899816923481955E-2</v>
      </c>
      <c r="G288" s="50">
        <f t="shared" si="68"/>
        <v>0.45184315567448063</v>
      </c>
      <c r="H288" s="51">
        <f t="shared" si="69"/>
        <v>0.36253131803307215</v>
      </c>
      <c r="I288" s="50">
        <f t="shared" si="70"/>
        <v>3.473521632415371E-2</v>
      </c>
    </row>
    <row r="289" spans="1:14" ht="12.75" customHeight="1" x14ac:dyDescent="0.25">
      <c r="B289" s="84" t="s">
        <v>8</v>
      </c>
      <c r="C289" s="29">
        <v>63.680552574899473</v>
      </c>
      <c r="D289" s="29">
        <v>149774.72401466093</v>
      </c>
      <c r="E289" s="50">
        <f t="shared" si="66"/>
        <v>0.32720957385658794</v>
      </c>
      <c r="F289" s="50">
        <f t="shared" si="67"/>
        <v>0.27337583860205394</v>
      </c>
      <c r="G289" s="50">
        <f t="shared" si="68"/>
        <v>0.77905272953106852</v>
      </c>
      <c r="H289" s="51">
        <f t="shared" si="69"/>
        <v>0.63590715663512609</v>
      </c>
      <c r="I289" s="50">
        <f t="shared" si="70"/>
        <v>0.16824859742494228</v>
      </c>
    </row>
    <row r="290" spans="1:14" ht="12.75" customHeight="1" x14ac:dyDescent="0.25">
      <c r="B290" s="84" t="s">
        <v>9</v>
      </c>
      <c r="C290" s="29">
        <v>2.9883605716309529</v>
      </c>
      <c r="D290" s="29">
        <v>7498.2226388555227</v>
      </c>
      <c r="E290" s="50">
        <f t="shared" si="66"/>
        <v>1.5355083296789957E-2</v>
      </c>
      <c r="F290" s="50">
        <f t="shared" si="67"/>
        <v>1.3686107021111142E-2</v>
      </c>
      <c r="G290" s="50">
        <f t="shared" si="68"/>
        <v>0.79440781282785844</v>
      </c>
      <c r="H290" s="51">
        <f t="shared" si="69"/>
        <v>0.64959326365623726</v>
      </c>
      <c r="I290" s="50">
        <f t="shared" si="70"/>
        <v>1.0767274688109951E-2</v>
      </c>
    </row>
    <row r="291" spans="1:14" ht="12.75" customHeight="1" x14ac:dyDescent="0.25">
      <c r="B291" s="84" t="s">
        <v>10</v>
      </c>
      <c r="C291" s="29">
        <v>15.355247343550724</v>
      </c>
      <c r="D291" s="29">
        <v>179268.67227891536</v>
      </c>
      <c r="E291" s="50">
        <f t="shared" si="66"/>
        <v>7.8899816923481969E-2</v>
      </c>
      <c r="F291" s="50">
        <f t="shared" si="67"/>
        <v>0.32720957385658789</v>
      </c>
      <c r="G291" s="50">
        <f t="shared" si="68"/>
        <v>0.87330762975134046</v>
      </c>
      <c r="H291" s="51">
        <f t="shared" si="69"/>
        <v>0.97680283751282515</v>
      </c>
      <c r="I291" s="50">
        <f t="shared" si="70"/>
        <v>0.27284622964019528</v>
      </c>
    </row>
    <row r="292" spans="1:14" ht="12.75" customHeight="1" thickBot="1" x14ac:dyDescent="0.3">
      <c r="B292" s="88" t="s">
        <v>11</v>
      </c>
      <c r="C292" s="32">
        <v>24.656491707649192</v>
      </c>
      <c r="D292" s="32">
        <v>12709.055149886017</v>
      </c>
      <c r="E292" s="52">
        <f t="shared" si="66"/>
        <v>0.12669237024865942</v>
      </c>
      <c r="F292" s="52">
        <f t="shared" si="67"/>
        <v>2.3197162487174742E-2</v>
      </c>
      <c r="G292" s="52">
        <f t="shared" si="68"/>
        <v>0.99999999999999989</v>
      </c>
      <c r="H292" s="53">
        <f t="shared" si="69"/>
        <v>0.99999999999999989</v>
      </c>
      <c r="I292" s="52">
        <f t="shared" si="70"/>
        <v>2.172771073790301E-2</v>
      </c>
    </row>
    <row r="293" spans="1:14" ht="12.75" customHeight="1" thickBot="1" x14ac:dyDescent="0.3">
      <c r="B293" s="38" t="s">
        <v>13</v>
      </c>
      <c r="C293" s="32">
        <f>SUM(C281:C292)</f>
        <v>194.6170212085845</v>
      </c>
      <c r="D293" s="32">
        <f>SUM(D281:D292)</f>
        <v>547871.10953387537</v>
      </c>
      <c r="E293" s="52">
        <f>SUM(E282:E292)</f>
        <v>0.99999999999999989</v>
      </c>
      <c r="F293" s="52">
        <f>SUM(F282:F292)</f>
        <v>0.99999999999999989</v>
      </c>
      <c r="G293" s="53"/>
      <c r="H293" s="53"/>
      <c r="I293" s="52">
        <f>SUM(I281:I292)</f>
        <v>0.55131948163362643</v>
      </c>
    </row>
    <row r="294" spans="1:14" ht="12.75" customHeight="1" thickBot="1" x14ac:dyDescent="0.3">
      <c r="B294" s="4"/>
      <c r="C294" s="4"/>
      <c r="D294" s="4"/>
      <c r="E294" s="51"/>
      <c r="F294" s="51"/>
      <c r="G294" s="51"/>
      <c r="H294" s="54"/>
      <c r="I294" s="54"/>
    </row>
    <row r="295" spans="1:14" ht="12.75" customHeight="1" thickBot="1" x14ac:dyDescent="0.3">
      <c r="B295" s="4"/>
      <c r="C295" s="4"/>
      <c r="D295" s="4"/>
      <c r="E295" s="51"/>
      <c r="F295" s="51"/>
      <c r="G295" s="56"/>
      <c r="H295" s="58" t="s">
        <v>33</v>
      </c>
      <c r="I295" s="59">
        <f>1-(2*I293)</f>
        <v>-0.10263896326725286</v>
      </c>
    </row>
    <row r="296" spans="1:14" ht="12.75" customHeight="1" x14ac:dyDescent="0.25"/>
    <row r="297" spans="1:14" ht="12.75" customHeight="1" x14ac:dyDescent="0.25"/>
    <row r="298" spans="1:14" ht="12.75" customHeight="1" x14ac:dyDescent="0.25"/>
    <row r="299" spans="1:14" ht="12.75" customHeight="1" x14ac:dyDescent="0.25">
      <c r="A299" s="117" t="s">
        <v>141</v>
      </c>
      <c r="B299" s="118"/>
      <c r="C299" s="118"/>
      <c r="D299" s="118"/>
      <c r="E299" s="118"/>
      <c r="F299" s="118"/>
      <c r="G299" s="118"/>
      <c r="H299" s="118"/>
      <c r="I299" s="118"/>
    </row>
    <row r="300" spans="1:14" ht="12.75" customHeight="1" x14ac:dyDescent="0.25"/>
    <row r="301" spans="1:14" ht="16.2" thickBot="1" x14ac:dyDescent="0.35">
      <c r="B301" s="209" t="s">
        <v>147</v>
      </c>
      <c r="C301" s="209"/>
      <c r="D301" s="209"/>
      <c r="E301" s="209"/>
      <c r="F301" s="209"/>
      <c r="G301" s="209"/>
      <c r="H301" s="209"/>
      <c r="I301" s="209"/>
    </row>
    <row r="302" spans="1:14" ht="27" thickBot="1" x14ac:dyDescent="0.3">
      <c r="B302" s="36" t="s">
        <v>20</v>
      </c>
      <c r="C302" s="37" t="s">
        <v>108</v>
      </c>
      <c r="D302" s="37" t="s">
        <v>46</v>
      </c>
      <c r="E302" s="37" t="s">
        <v>106</v>
      </c>
      <c r="F302" s="37" t="s">
        <v>17</v>
      </c>
      <c r="G302" s="37" t="s">
        <v>107</v>
      </c>
      <c r="H302" s="37" t="s">
        <v>136</v>
      </c>
      <c r="I302" s="37" t="s">
        <v>21</v>
      </c>
      <c r="J302" s="8"/>
      <c r="K302" s="8"/>
      <c r="L302" s="8"/>
      <c r="M302" s="8"/>
      <c r="N302" s="8"/>
    </row>
    <row r="303" spans="1:14" ht="12.75" customHeight="1" x14ac:dyDescent="0.25">
      <c r="B303" s="4"/>
      <c r="C303" s="26">
        <v>0</v>
      </c>
      <c r="D303" s="26">
        <v>0</v>
      </c>
      <c r="E303" s="50">
        <f>C303/$C$82</f>
        <v>0</v>
      </c>
      <c r="F303" s="50">
        <v>0</v>
      </c>
      <c r="G303" s="50">
        <v>0</v>
      </c>
      <c r="H303" s="51">
        <f>F303</f>
        <v>0</v>
      </c>
      <c r="I303" s="50">
        <v>0</v>
      </c>
    </row>
    <row r="304" spans="1:14" ht="12.75" customHeight="1" x14ac:dyDescent="0.25">
      <c r="B304" s="84" t="s">
        <v>1</v>
      </c>
      <c r="C304" s="29">
        <v>34.754204556029912</v>
      </c>
      <c r="D304" s="17">
        <v>6.169632</v>
      </c>
      <c r="E304" s="50">
        <f t="shared" ref="E304:E314" si="71">C304/$C$315</f>
        <v>9.0909090909090925E-2</v>
      </c>
      <c r="F304" s="50">
        <f t="shared" ref="F304:F314" si="72">D304/$D$315</f>
        <v>2.3065200054977395E-2</v>
      </c>
      <c r="G304" s="50">
        <f t="shared" ref="G304:G314" si="73">G303+E304</f>
        <v>9.0909090909090925E-2</v>
      </c>
      <c r="H304" s="51">
        <f t="shared" ref="H304:H314" si="74">F304+H303</f>
        <v>2.3065200054977395E-2</v>
      </c>
      <c r="I304" s="50">
        <f t="shared" ref="I304:I314" si="75">(G303+G304)*0.5*(H304-H303)</f>
        <v>1.0484181843171546E-3</v>
      </c>
    </row>
    <row r="305" spans="2:9" ht="12.75" customHeight="1" x14ac:dyDescent="0.25">
      <c r="B305" s="84" t="s">
        <v>2</v>
      </c>
      <c r="C305" s="29">
        <v>34.754204556029912</v>
      </c>
      <c r="D305" s="17">
        <v>3.8753060000000001</v>
      </c>
      <c r="E305" s="50">
        <f t="shared" si="71"/>
        <v>9.0909090909090925E-2</v>
      </c>
      <c r="F305" s="50">
        <f t="shared" si="72"/>
        <v>1.4487850841712153E-2</v>
      </c>
      <c r="G305" s="50">
        <f t="shared" si="73"/>
        <v>0.18181818181818185</v>
      </c>
      <c r="H305" s="51">
        <f t="shared" si="74"/>
        <v>3.7553050896689547E-2</v>
      </c>
      <c r="I305" s="50">
        <f t="shared" si="75"/>
        <v>1.9756160238698392E-3</v>
      </c>
    </row>
    <row r="306" spans="2:9" ht="12.75" customHeight="1" x14ac:dyDescent="0.25">
      <c r="B306" s="84" t="s">
        <v>3</v>
      </c>
      <c r="C306" s="29">
        <v>34.754204556029912</v>
      </c>
      <c r="D306" s="130">
        <v>83.946549000000005</v>
      </c>
      <c r="E306" s="50">
        <f t="shared" si="71"/>
        <v>9.0909090909090925E-2</v>
      </c>
      <c r="F306" s="50">
        <f t="shared" si="72"/>
        <v>0.31383459282660014</v>
      </c>
      <c r="G306" s="50">
        <f t="shared" si="73"/>
        <v>0.27272727272727276</v>
      </c>
      <c r="H306" s="51">
        <f t="shared" si="74"/>
        <v>0.35138764372328968</v>
      </c>
      <c r="I306" s="50">
        <f t="shared" si="75"/>
        <v>7.1326043824227317E-2</v>
      </c>
    </row>
    <row r="307" spans="2:9" ht="12.75" customHeight="1" x14ac:dyDescent="0.25">
      <c r="B307" s="84" t="s">
        <v>4</v>
      </c>
      <c r="C307" s="29">
        <v>34.754204556029912</v>
      </c>
      <c r="D307" s="17">
        <v>1.2901100000000001</v>
      </c>
      <c r="E307" s="50">
        <f t="shared" si="71"/>
        <v>9.0909090909090925E-2</v>
      </c>
      <c r="F307" s="50">
        <f t="shared" si="72"/>
        <v>4.8230826802841548E-3</v>
      </c>
      <c r="G307" s="50">
        <f t="shared" si="73"/>
        <v>0.3636363636363637</v>
      </c>
      <c r="H307" s="51">
        <f t="shared" si="74"/>
        <v>0.35621072640357382</v>
      </c>
      <c r="I307" s="50">
        <f t="shared" si="75"/>
        <v>1.5346172164540451E-3</v>
      </c>
    </row>
    <row r="308" spans="2:9" ht="12.75" customHeight="1" x14ac:dyDescent="0.25">
      <c r="B308" s="84" t="s">
        <v>5</v>
      </c>
      <c r="C308" s="29">
        <v>34.754204556029912</v>
      </c>
      <c r="D308" s="17">
        <v>39.232453</v>
      </c>
      <c r="E308" s="50">
        <f t="shared" si="71"/>
        <v>9.0909090909090925E-2</v>
      </c>
      <c r="F308" s="50">
        <f t="shared" si="72"/>
        <v>0.14667072154262978</v>
      </c>
      <c r="G308" s="50">
        <f t="shared" si="73"/>
        <v>0.45454545454545464</v>
      </c>
      <c r="H308" s="51">
        <f t="shared" si="74"/>
        <v>0.5028814479462036</v>
      </c>
      <c r="I308" s="50">
        <f t="shared" si="75"/>
        <v>6.0001658812894015E-2</v>
      </c>
    </row>
    <row r="309" spans="2:9" ht="12.75" customHeight="1" x14ac:dyDescent="0.25">
      <c r="B309" s="84" t="s">
        <v>6</v>
      </c>
      <c r="C309" s="29">
        <v>34.754204556029912</v>
      </c>
      <c r="D309" s="17">
        <v>19.742709999999999</v>
      </c>
      <c r="E309" s="50">
        <f t="shared" si="71"/>
        <v>9.0909090909090925E-2</v>
      </c>
      <c r="F309" s="50">
        <f t="shared" si="72"/>
        <v>7.3808219967966118E-2</v>
      </c>
      <c r="G309" s="50">
        <f t="shared" si="73"/>
        <v>0.54545454545454553</v>
      </c>
      <c r="H309" s="51">
        <f t="shared" si="74"/>
        <v>0.57668966791416976</v>
      </c>
      <c r="I309" s="50">
        <f t="shared" si="75"/>
        <v>3.6904109983983087E-2</v>
      </c>
    </row>
    <row r="310" spans="2:9" ht="12.75" customHeight="1" x14ac:dyDescent="0.25">
      <c r="B310" s="84" t="s">
        <v>7</v>
      </c>
      <c r="C310" s="29">
        <v>34.754204556029912</v>
      </c>
      <c r="D310" s="17">
        <v>11.426439</v>
      </c>
      <c r="E310" s="50">
        <f t="shared" si="71"/>
        <v>9.0909090909090925E-2</v>
      </c>
      <c r="F310" s="50">
        <f t="shared" si="72"/>
        <v>4.2717799287055672E-2</v>
      </c>
      <c r="G310" s="50">
        <f t="shared" si="73"/>
        <v>0.63636363636363646</v>
      </c>
      <c r="H310" s="51">
        <f t="shared" si="74"/>
        <v>0.61940746720122541</v>
      </c>
      <c r="I310" s="50">
        <f t="shared" si="75"/>
        <v>2.5242335942351077E-2</v>
      </c>
    </row>
    <row r="311" spans="2:9" ht="12.75" customHeight="1" x14ac:dyDescent="0.25">
      <c r="B311" s="84" t="s">
        <v>8</v>
      </c>
      <c r="C311" s="29">
        <v>34.754204556029912</v>
      </c>
      <c r="D311" s="17">
        <v>36.982824999999998</v>
      </c>
      <c r="E311" s="50">
        <f t="shared" si="71"/>
        <v>9.0909090909090925E-2</v>
      </c>
      <c r="F311" s="50">
        <f t="shared" si="72"/>
        <v>0.1382604760256721</v>
      </c>
      <c r="G311" s="50">
        <f t="shared" si="73"/>
        <v>0.7272727272727274</v>
      </c>
      <c r="H311" s="51">
        <f t="shared" si="74"/>
        <v>0.75766794322689757</v>
      </c>
      <c r="I311" s="50">
        <f t="shared" si="75"/>
        <v>9.4268506381140107E-2</v>
      </c>
    </row>
    <row r="312" spans="2:9" ht="12.75" customHeight="1" x14ac:dyDescent="0.25">
      <c r="B312" s="84" t="s">
        <v>9</v>
      </c>
      <c r="C312" s="29">
        <v>34.754204556029912</v>
      </c>
      <c r="D312" s="17">
        <v>10.905776556851148</v>
      </c>
      <c r="E312" s="50">
        <f t="shared" si="71"/>
        <v>9.0909090909090925E-2</v>
      </c>
      <c r="F312" s="50">
        <f t="shared" si="72"/>
        <v>4.0771300142156658E-2</v>
      </c>
      <c r="G312" s="50">
        <f t="shared" si="73"/>
        <v>0.81818181818181834</v>
      </c>
      <c r="H312" s="51">
        <f t="shared" si="74"/>
        <v>0.79843924336905425</v>
      </c>
      <c r="I312" s="50">
        <f t="shared" si="75"/>
        <v>3.1505095564393813E-2</v>
      </c>
    </row>
    <row r="313" spans="2:9" ht="12.75" customHeight="1" x14ac:dyDescent="0.25">
      <c r="B313" s="84" t="s">
        <v>10</v>
      </c>
      <c r="C313" s="29">
        <v>34.754204556029912</v>
      </c>
      <c r="D313" s="130">
        <v>11.996235</v>
      </c>
      <c r="E313" s="50">
        <f t="shared" si="71"/>
        <v>9.0909090909090925E-2</v>
      </c>
      <c r="F313" s="50">
        <f t="shared" si="72"/>
        <v>4.4847984479709932E-2</v>
      </c>
      <c r="G313" s="50">
        <f t="shared" si="73"/>
        <v>0.90909090909090928</v>
      </c>
      <c r="H313" s="51">
        <f t="shared" si="74"/>
        <v>0.8432872278487642</v>
      </c>
      <c r="I313" s="50">
        <f t="shared" si="75"/>
        <v>3.873235023247678E-2</v>
      </c>
    </row>
    <row r="314" spans="2:9" ht="12.75" customHeight="1" thickBot="1" x14ac:dyDescent="0.3">
      <c r="B314" s="88" t="s">
        <v>11</v>
      </c>
      <c r="C314" s="32">
        <v>34.754204556029912</v>
      </c>
      <c r="D314" s="123">
        <v>41.918567000000003</v>
      </c>
      <c r="E314" s="52">
        <f t="shared" si="71"/>
        <v>9.0909090909090925E-2</v>
      </c>
      <c r="F314" s="52">
        <f t="shared" si="72"/>
        <v>0.15671277215123589</v>
      </c>
      <c r="G314" s="52">
        <f t="shared" si="73"/>
        <v>1.0000000000000002</v>
      </c>
      <c r="H314" s="53">
        <f t="shared" si="74"/>
        <v>1</v>
      </c>
      <c r="I314" s="52">
        <f t="shared" si="75"/>
        <v>0.14958946432617967</v>
      </c>
    </row>
    <row r="315" spans="2:9" ht="12.75" customHeight="1" thickBot="1" x14ac:dyDescent="0.3">
      <c r="B315" s="38" t="s">
        <v>13</v>
      </c>
      <c r="C315" s="32">
        <f>SUM(C303:C314)</f>
        <v>382.29625011632896</v>
      </c>
      <c r="D315" s="32">
        <f>SUM(D303:D314)</f>
        <v>267.48660255685115</v>
      </c>
      <c r="E315" s="52">
        <f>SUM(E304:E314)</f>
        <v>1.0000000000000002</v>
      </c>
      <c r="F315" s="52">
        <f>SUM(F304:F314)</f>
        <v>1</v>
      </c>
      <c r="G315" s="53"/>
      <c r="H315" s="53"/>
      <c r="I315" s="52">
        <f>SUM(I303:I314)</f>
        <v>0.5121282164922869</v>
      </c>
    </row>
    <row r="316" spans="2:9" ht="12.75" customHeight="1" thickBot="1" x14ac:dyDescent="0.3">
      <c r="B316" s="48"/>
      <c r="C316" s="29"/>
      <c r="D316" s="29"/>
      <c r="E316" s="26"/>
      <c r="F316" s="27"/>
      <c r="G316" s="4"/>
      <c r="H316" s="40"/>
      <c r="I316" s="34"/>
    </row>
    <row r="317" spans="2:9" ht="12.75" customHeight="1" thickBot="1" x14ac:dyDescent="0.3">
      <c r="B317" s="4"/>
      <c r="C317" s="4"/>
      <c r="D317" s="4"/>
      <c r="E317" s="4"/>
      <c r="F317" s="4"/>
      <c r="G317" s="5"/>
      <c r="H317" s="49" t="s">
        <v>42</v>
      </c>
      <c r="I317" s="62">
        <f>1-(2*I315)</f>
        <v>-2.4256432984573806E-2</v>
      </c>
    </row>
    <row r="318" spans="2:9" ht="12.75" customHeight="1" x14ac:dyDescent="0.25">
      <c r="B318" s="4"/>
      <c r="C318" s="4"/>
      <c r="D318" s="4"/>
      <c r="E318" s="4"/>
      <c r="F318" s="4"/>
      <c r="G318" s="5"/>
      <c r="H318" s="112"/>
      <c r="I318" s="113"/>
    </row>
    <row r="319" spans="2:9" ht="12.75" customHeight="1" x14ac:dyDescent="0.25">
      <c r="B319" s="4"/>
      <c r="C319" s="4"/>
      <c r="D319" s="4"/>
      <c r="E319" s="4"/>
      <c r="F319" s="4"/>
      <c r="G319" s="5"/>
      <c r="H319" s="112"/>
      <c r="I319" s="113"/>
    </row>
    <row r="320" spans="2:9" ht="12.75" customHeight="1" x14ac:dyDescent="0.25">
      <c r="B320" s="4"/>
      <c r="C320" s="4"/>
      <c r="D320" s="4"/>
      <c r="E320" s="4"/>
      <c r="F320" s="4"/>
      <c r="G320" s="5"/>
      <c r="H320" s="112"/>
      <c r="I320" s="113"/>
    </row>
    <row r="321" spans="2:14" ht="12.75" customHeight="1" x14ac:dyDescent="0.25">
      <c r="B321" s="4"/>
      <c r="C321" s="4"/>
      <c r="D321" s="4"/>
      <c r="E321" s="4"/>
      <c r="F321" s="4"/>
      <c r="G321" s="5"/>
      <c r="H321" s="112"/>
      <c r="I321" s="113"/>
    </row>
    <row r="322" spans="2:14" ht="16.2" thickBot="1" x14ac:dyDescent="0.35">
      <c r="B322" s="209" t="s">
        <v>148</v>
      </c>
      <c r="C322" s="209"/>
      <c r="D322" s="209"/>
      <c r="E322" s="209"/>
      <c r="F322" s="209"/>
      <c r="G322" s="209"/>
      <c r="H322" s="209"/>
      <c r="I322" s="209"/>
    </row>
    <row r="323" spans="2:14" ht="27" thickBot="1" x14ac:dyDescent="0.3">
      <c r="B323" s="30" t="s">
        <v>20</v>
      </c>
      <c r="C323" s="31" t="s">
        <v>44</v>
      </c>
      <c r="D323" s="31" t="s">
        <v>149</v>
      </c>
      <c r="E323" s="31" t="s">
        <v>16</v>
      </c>
      <c r="F323" s="31" t="s">
        <v>22</v>
      </c>
      <c r="G323" s="31" t="s">
        <v>18</v>
      </c>
      <c r="H323" s="31" t="s">
        <v>137</v>
      </c>
      <c r="I323" s="31" t="s">
        <v>21</v>
      </c>
      <c r="J323" s="8"/>
      <c r="K323" s="8"/>
      <c r="L323" s="8"/>
      <c r="M323" s="8"/>
      <c r="N323" s="8"/>
    </row>
    <row r="324" spans="2:14" ht="12.75" customHeight="1" x14ac:dyDescent="0.25">
      <c r="B324" s="4"/>
      <c r="C324" s="26">
        <v>0</v>
      </c>
      <c r="D324" s="26">
        <v>0</v>
      </c>
      <c r="E324" s="50">
        <v>0</v>
      </c>
      <c r="F324" s="50">
        <v>0</v>
      </c>
      <c r="G324" s="50">
        <v>0</v>
      </c>
      <c r="H324" s="51">
        <f>F324</f>
        <v>0</v>
      </c>
      <c r="I324" s="50">
        <v>0</v>
      </c>
    </row>
    <row r="325" spans="2:14" ht="12.75" customHeight="1" x14ac:dyDescent="0.25">
      <c r="B325" s="84" t="s">
        <v>1</v>
      </c>
      <c r="C325" s="29">
        <v>34.754204556029912</v>
      </c>
      <c r="D325" s="85">
        <v>13199.085501550475</v>
      </c>
      <c r="E325" s="50">
        <f>C325/$C$336</f>
        <v>9.0909090909090925E-2</v>
      </c>
      <c r="F325" s="50">
        <f>D325/$D$336</f>
        <v>4.3177805010323955E-3</v>
      </c>
      <c r="G325" s="50">
        <f>G324+E325</f>
        <v>9.0909090909090925E-2</v>
      </c>
      <c r="H325" s="51">
        <f t="shared" ref="H325:H335" si="76">F325+H324</f>
        <v>4.3177805010323955E-3</v>
      </c>
      <c r="I325" s="50">
        <f t="shared" ref="I325:I335" si="77">(G324+G325)*0.5*(H325-H324)</f>
        <v>1.962627500469271E-4</v>
      </c>
    </row>
    <row r="326" spans="2:14" ht="12.75" customHeight="1" x14ac:dyDescent="0.25">
      <c r="B326" s="84" t="s">
        <v>2</v>
      </c>
      <c r="C326" s="29">
        <v>34.754204556029912</v>
      </c>
      <c r="D326" s="85">
        <v>20450.034940117202</v>
      </c>
      <c r="E326" s="50">
        <f>C326/$C$293</f>
        <v>0.17857741496711857</v>
      </c>
      <c r="F326" s="50">
        <f t="shared" ref="F326:F335" si="78">D326/$D$336</f>
        <v>6.6897636279041406E-3</v>
      </c>
      <c r="G326" s="50">
        <f t="shared" ref="G326:G334" si="79">G325+E326</f>
        <v>0.26948650587620948</v>
      </c>
      <c r="H326" s="51">
        <f t="shared" si="76"/>
        <v>1.1007544128936536E-2</v>
      </c>
      <c r="I326" s="50">
        <f t="shared" si="77"/>
        <v>1.2054806775155546E-3</v>
      </c>
    </row>
    <row r="327" spans="2:14" ht="12.75" customHeight="1" x14ac:dyDescent="0.25">
      <c r="B327" s="84" t="s">
        <v>3</v>
      </c>
      <c r="C327" s="29">
        <v>34.754204556029912</v>
      </c>
      <c r="D327" s="85">
        <v>251430.37783690859</v>
      </c>
      <c r="E327" s="50">
        <f t="shared" ref="E327:E335" si="80">C327/$C$293</f>
        <v>0.17857741496711857</v>
      </c>
      <c r="F327" s="50">
        <f t="shared" si="78"/>
        <v>8.2249727275718124E-2</v>
      </c>
      <c r="G327" s="50">
        <f t="shared" si="79"/>
        <v>0.44806392084332802</v>
      </c>
      <c r="H327" s="51">
        <f t="shared" si="76"/>
        <v>9.325727140465466E-2</v>
      </c>
      <c r="I327" s="50">
        <f t="shared" si="77"/>
        <v>2.9509163452128562E-2</v>
      </c>
    </row>
    <row r="328" spans="2:14" ht="12.75" customHeight="1" x14ac:dyDescent="0.25">
      <c r="B328" s="84" t="s">
        <v>4</v>
      </c>
      <c r="C328" s="29">
        <v>34.754204556029912</v>
      </c>
      <c r="D328" s="85">
        <v>24496.645034227455</v>
      </c>
      <c r="E328" s="50">
        <f t="shared" si="80"/>
        <v>0.17857741496711857</v>
      </c>
      <c r="F328" s="50">
        <f t="shared" si="78"/>
        <v>8.0135200470573958E-3</v>
      </c>
      <c r="G328" s="50">
        <f t="shared" si="79"/>
        <v>0.62664133581044656</v>
      </c>
      <c r="H328" s="51">
        <f t="shared" si="76"/>
        <v>0.10127079145171206</v>
      </c>
      <c r="I328" s="50">
        <f t="shared" si="77"/>
        <v>4.3060860594364928E-3</v>
      </c>
    </row>
    <row r="329" spans="2:14" ht="12.75" customHeight="1" x14ac:dyDescent="0.25">
      <c r="B329" s="84" t="s">
        <v>5</v>
      </c>
      <c r="C329" s="29">
        <v>34.754204556029912</v>
      </c>
      <c r="D329" s="85">
        <v>363314.38569269452</v>
      </c>
      <c r="E329" s="50">
        <f t="shared" si="80"/>
        <v>0.17857741496711857</v>
      </c>
      <c r="F329" s="50">
        <f t="shared" si="78"/>
        <v>0.1188500347318915</v>
      </c>
      <c r="G329" s="50">
        <f>G328+E329</f>
        <v>0.80521875077756511</v>
      </c>
      <c r="H329" s="51">
        <f t="shared" si="76"/>
        <v>0.22012082618360357</v>
      </c>
      <c r="I329" s="50">
        <f t="shared" si="77"/>
        <v>8.5088310511097193E-2</v>
      </c>
    </row>
    <row r="330" spans="2:14" ht="12.75" customHeight="1" x14ac:dyDescent="0.25">
      <c r="B330" s="84" t="s">
        <v>6</v>
      </c>
      <c r="C330" s="29">
        <v>34.754204556029912</v>
      </c>
      <c r="D330" s="85">
        <v>49475.746319971244</v>
      </c>
      <c r="E330" s="50">
        <f t="shared" si="80"/>
        <v>0.17857741496711857</v>
      </c>
      <c r="F330" s="50">
        <f t="shared" si="78"/>
        <v>1.6184864679397896E-2</v>
      </c>
      <c r="G330" s="50">
        <f t="shared" si="79"/>
        <v>0.98379616574468365</v>
      </c>
      <c r="H330" s="51">
        <f t="shared" si="76"/>
        <v>0.23630569086300146</v>
      </c>
      <c r="I330" s="50">
        <f t="shared" si="77"/>
        <v>1.4477482166668455E-2</v>
      </c>
    </row>
    <row r="331" spans="2:14" ht="12.75" customHeight="1" x14ac:dyDescent="0.25">
      <c r="B331" s="84" t="s">
        <v>7</v>
      </c>
      <c r="C331" s="29">
        <v>34.754204556029912</v>
      </c>
      <c r="D331" s="85">
        <v>20836.189535136225</v>
      </c>
      <c r="E331" s="50">
        <f t="shared" si="80"/>
        <v>0.17857741496711857</v>
      </c>
      <c r="F331" s="50">
        <f t="shared" si="78"/>
        <v>6.8160853174303836E-3</v>
      </c>
      <c r="G331" s="50">
        <f t="shared" si="79"/>
        <v>1.1623735807118023</v>
      </c>
      <c r="H331" s="51">
        <f t="shared" si="76"/>
        <v>0.24312177618043185</v>
      </c>
      <c r="I331" s="50">
        <f t="shared" si="77"/>
        <v>7.3142380487676755E-3</v>
      </c>
    </row>
    <row r="332" spans="2:14" ht="12.75" customHeight="1" x14ac:dyDescent="0.25">
      <c r="B332" s="84" t="s">
        <v>8</v>
      </c>
      <c r="C332" s="29">
        <v>34.754204556029912</v>
      </c>
      <c r="D332" s="85">
        <v>1339764.2833351614</v>
      </c>
      <c r="E332" s="50">
        <f t="shared" si="80"/>
        <v>0.17857741496711857</v>
      </c>
      <c r="F332" s="50">
        <f t="shared" si="78"/>
        <v>0.43827340143259691</v>
      </c>
      <c r="G332" s="50">
        <f t="shared" si="79"/>
        <v>1.340950995678921</v>
      </c>
      <c r="H332" s="51">
        <f t="shared" si="76"/>
        <v>0.6813951776130287</v>
      </c>
      <c r="I332" s="50">
        <f t="shared" si="77"/>
        <v>0.5485702884922885</v>
      </c>
    </row>
    <row r="333" spans="2:14" ht="12.75" customHeight="1" x14ac:dyDescent="0.25">
      <c r="B333" s="84" t="s">
        <v>9</v>
      </c>
      <c r="C333" s="29">
        <v>34.754204556029912</v>
      </c>
      <c r="D333" s="85">
        <v>617141.72101696266</v>
      </c>
      <c r="E333" s="50">
        <f t="shared" si="80"/>
        <v>0.17857741496711857</v>
      </c>
      <c r="F333" s="50">
        <f t="shared" si="78"/>
        <v>0.20188387211126102</v>
      </c>
      <c r="G333" s="50">
        <f t="shared" si="79"/>
        <v>1.5195284106460396</v>
      </c>
      <c r="H333" s="51">
        <f t="shared" si="76"/>
        <v>0.88327904972428972</v>
      </c>
      <c r="I333" s="50">
        <f t="shared" si="77"/>
        <v>0.28874232932170207</v>
      </c>
    </row>
    <row r="334" spans="2:14" ht="12.75" customHeight="1" x14ac:dyDescent="0.25">
      <c r="B334" s="84" t="s">
        <v>10</v>
      </c>
      <c r="C334" s="29">
        <v>34.754204556029912</v>
      </c>
      <c r="D334" s="85">
        <v>119784.51078433092</v>
      </c>
      <c r="E334" s="50">
        <f t="shared" si="80"/>
        <v>0.17857741496711857</v>
      </c>
      <c r="F334" s="50">
        <f t="shared" si="78"/>
        <v>3.9184777227902166E-2</v>
      </c>
      <c r="G334" s="50">
        <f t="shared" si="79"/>
        <v>1.6981058256131583</v>
      </c>
      <c r="H334" s="51">
        <f t="shared" si="76"/>
        <v>0.92246382695219187</v>
      </c>
      <c r="I334" s="50">
        <f t="shared" si="77"/>
        <v>6.3041140374343871E-2</v>
      </c>
    </row>
    <row r="335" spans="2:14" ht="12.75" customHeight="1" thickBot="1" x14ac:dyDescent="0.3">
      <c r="B335" s="88" t="s">
        <v>11</v>
      </c>
      <c r="C335" s="32">
        <v>34.754204556029912</v>
      </c>
      <c r="D335" s="89">
        <v>237021.44592026682</v>
      </c>
      <c r="E335" s="52">
        <f t="shared" si="80"/>
        <v>0.17857741496711857</v>
      </c>
      <c r="F335" s="52">
        <f t="shared" si="78"/>
        <v>7.7536173047808091E-2</v>
      </c>
      <c r="G335" s="52">
        <f>G334+E335</f>
        <v>1.8766832405802769</v>
      </c>
      <c r="H335" s="53">
        <f t="shared" si="76"/>
        <v>1</v>
      </c>
      <c r="I335" s="52">
        <f t="shared" si="77"/>
        <v>0.13858773182289333</v>
      </c>
    </row>
    <row r="336" spans="2:14" ht="12.75" customHeight="1" thickBot="1" x14ac:dyDescent="0.3">
      <c r="B336" s="38" t="s">
        <v>13</v>
      </c>
      <c r="C336" s="32">
        <f>SUM(C324:C335)</f>
        <v>382.29625011632896</v>
      </c>
      <c r="D336" s="32">
        <f>SUM(D324:D335)</f>
        <v>3056914.4259173274</v>
      </c>
      <c r="E336" s="52">
        <f>SUM(E325:E335)</f>
        <v>1.8766832405802769</v>
      </c>
      <c r="F336" s="52">
        <f>SUM(F325:F335)</f>
        <v>1</v>
      </c>
      <c r="G336" s="53"/>
      <c r="H336" s="53"/>
      <c r="I336" s="52">
        <f>SUM(I324:I335)</f>
        <v>1.1810385136768888</v>
      </c>
    </row>
    <row r="337" spans="1:14" ht="12.75" customHeight="1" thickBot="1" x14ac:dyDescent="0.3">
      <c r="B337" s="4"/>
      <c r="C337" s="4"/>
      <c r="D337" s="4"/>
      <c r="E337" s="51"/>
      <c r="F337" s="51"/>
      <c r="G337" s="51"/>
      <c r="H337" s="54"/>
      <c r="I337" s="54"/>
    </row>
    <row r="338" spans="1:14" ht="12.75" customHeight="1" thickBot="1" x14ac:dyDescent="0.3">
      <c r="B338" s="4"/>
      <c r="C338" s="4"/>
      <c r="D338" s="4"/>
      <c r="E338" s="51"/>
      <c r="F338" s="51"/>
      <c r="G338" s="56"/>
      <c r="H338" s="58" t="s">
        <v>33</v>
      </c>
      <c r="I338" s="59">
        <f>1-(2*I336)</f>
        <v>-1.3620770273537777</v>
      </c>
    </row>
    <row r="339" spans="1:14" ht="12.75" customHeight="1" x14ac:dyDescent="0.25">
      <c r="B339" s="4"/>
      <c r="C339" s="4"/>
      <c r="D339" s="4"/>
      <c r="E339" s="4"/>
      <c r="F339" s="4"/>
      <c r="G339" s="5"/>
      <c r="H339" s="112"/>
      <c r="I339" s="113"/>
    </row>
    <row r="340" spans="1:14" ht="12.75" customHeight="1" x14ac:dyDescent="0.25">
      <c r="B340" s="4"/>
      <c r="C340" s="4"/>
      <c r="D340" s="4"/>
      <c r="E340" s="4"/>
      <c r="F340" s="4"/>
      <c r="G340" s="5"/>
      <c r="H340" s="112"/>
      <c r="I340" s="113"/>
    </row>
    <row r="341" spans="1:14" ht="12.75" customHeight="1" x14ac:dyDescent="0.25">
      <c r="B341" s="4"/>
      <c r="C341" s="4"/>
      <c r="D341" s="4"/>
      <c r="E341" s="4"/>
      <c r="F341" s="4"/>
      <c r="G341" s="5"/>
      <c r="H341" s="112"/>
      <c r="I341" s="113"/>
    </row>
    <row r="342" spans="1:14" ht="12.75" customHeight="1" x14ac:dyDescent="0.25"/>
    <row r="343" spans="1:14" ht="12.75" customHeight="1" x14ac:dyDescent="0.25">
      <c r="A343" s="210" t="s">
        <v>132</v>
      </c>
      <c r="B343" s="210"/>
      <c r="C343" s="210"/>
      <c r="D343" s="210"/>
      <c r="E343" s="210"/>
      <c r="F343" s="210"/>
      <c r="G343" s="210"/>
      <c r="H343" s="210"/>
      <c r="I343" s="210"/>
    </row>
    <row r="344" spans="1:14" ht="12.75" customHeight="1" x14ac:dyDescent="0.25"/>
    <row r="345" spans="1:14" ht="12.75" customHeight="1" x14ac:dyDescent="0.25"/>
    <row r="346" spans="1:14" ht="16.2" thickBot="1" x14ac:dyDescent="0.35">
      <c r="B346" s="209" t="s">
        <v>130</v>
      </c>
      <c r="C346" s="209"/>
      <c r="D346" s="209"/>
      <c r="E346" s="209"/>
      <c r="F346" s="209"/>
      <c r="G346" s="209"/>
      <c r="H346" s="209"/>
      <c r="I346" s="209"/>
    </row>
    <row r="347" spans="1:14" ht="27" thickBot="1" x14ac:dyDescent="0.3">
      <c r="B347" s="36" t="s">
        <v>20</v>
      </c>
      <c r="C347" s="37" t="s">
        <v>108</v>
      </c>
      <c r="D347" s="37" t="s">
        <v>46</v>
      </c>
      <c r="E347" s="37" t="s">
        <v>106</v>
      </c>
      <c r="F347" s="37" t="s">
        <v>17</v>
      </c>
      <c r="G347" s="37" t="s">
        <v>107</v>
      </c>
      <c r="H347" s="37" t="s">
        <v>19</v>
      </c>
      <c r="I347" s="37" t="s">
        <v>21</v>
      </c>
      <c r="J347" s="8"/>
      <c r="K347" s="8"/>
      <c r="L347" s="8"/>
      <c r="M347" s="8"/>
      <c r="N347" s="8"/>
    </row>
    <row r="348" spans="1:14" ht="12.75" customHeight="1" x14ac:dyDescent="0.25">
      <c r="B348" s="4"/>
      <c r="C348" s="26">
        <v>0</v>
      </c>
      <c r="D348" s="26">
        <v>0</v>
      </c>
      <c r="E348" s="50">
        <f>C348/$C$82</f>
        <v>0</v>
      </c>
      <c r="F348" s="50">
        <v>0</v>
      </c>
      <c r="G348" s="50">
        <v>0</v>
      </c>
      <c r="H348" s="51">
        <f>F348</f>
        <v>0</v>
      </c>
      <c r="I348" s="50">
        <v>0</v>
      </c>
    </row>
    <row r="349" spans="1:14" ht="12.75" customHeight="1" x14ac:dyDescent="0.25">
      <c r="B349" s="84" t="s">
        <v>1</v>
      </c>
      <c r="C349" s="29">
        <v>1.9832072109514134</v>
      </c>
      <c r="D349" s="17">
        <v>89.561402999999999</v>
      </c>
      <c r="E349" s="50">
        <f>C349/$C$315</f>
        <v>5.1876187913115629E-3</v>
      </c>
      <c r="F349" s="50">
        <f>D349/$D$315</f>
        <v>0.33482575255695196</v>
      </c>
      <c r="G349" s="50">
        <f t="shared" ref="G349:G359" si="81">G348+E349</f>
        <v>5.1876187913115629E-3</v>
      </c>
      <c r="H349" s="51">
        <f t="shared" ref="H349:H359" si="82">F349+H348</f>
        <v>0.33482575255695196</v>
      </c>
      <c r="I349" s="50">
        <f t="shared" ref="I349:I359" si="83">(G348+G349)*0.5*(H349-H348)</f>
        <v>8.6847418288973975E-4</v>
      </c>
    </row>
    <row r="350" spans="1:14" ht="12.75" customHeight="1" x14ac:dyDescent="0.25">
      <c r="B350" s="84" t="s">
        <v>2</v>
      </c>
      <c r="C350" s="29">
        <v>0</v>
      </c>
      <c r="D350" s="17">
        <v>3.546421</v>
      </c>
      <c r="E350" s="50">
        <f t="shared" ref="E350:E359" si="84">C350/$C$315</f>
        <v>0</v>
      </c>
      <c r="F350" s="50">
        <f t="shared" ref="F350:F359" si="85">D350/$D$315</f>
        <v>1.3258312626129564E-2</v>
      </c>
      <c r="G350" s="50">
        <f t="shared" si="81"/>
        <v>5.1876187913115629E-3</v>
      </c>
      <c r="H350" s="51">
        <f t="shared" si="82"/>
        <v>0.34808406518308155</v>
      </c>
      <c r="I350" s="50">
        <f t="shared" si="83"/>
        <v>6.8779071720393201E-5</v>
      </c>
    </row>
    <row r="351" spans="1:14" ht="12.75" customHeight="1" x14ac:dyDescent="0.25">
      <c r="B351" s="84" t="s">
        <v>3</v>
      </c>
      <c r="C351" s="29">
        <v>39.671844949611199</v>
      </c>
      <c r="D351" s="17">
        <v>11.890784</v>
      </c>
      <c r="E351" s="50">
        <f t="shared" si="84"/>
        <v>0.10377251918515928</v>
      </c>
      <c r="F351" s="50">
        <f t="shared" si="85"/>
        <v>4.4453755389385355E-2</v>
      </c>
      <c r="G351" s="50">
        <f t="shared" si="81"/>
        <v>0.10896013797647085</v>
      </c>
      <c r="H351" s="51">
        <f t="shared" si="82"/>
        <v>0.39253782057246689</v>
      </c>
      <c r="I351" s="50">
        <f t="shared" si="83"/>
        <v>2.5371482288010271E-3</v>
      </c>
    </row>
    <row r="352" spans="1:14" ht="12.75" customHeight="1" x14ac:dyDescent="0.25">
      <c r="B352" s="84" t="s">
        <v>4</v>
      </c>
      <c r="C352" s="29">
        <v>3.2750912718752518</v>
      </c>
      <c r="D352" s="17">
        <v>12.952218</v>
      </c>
      <c r="E352" s="50">
        <f t="shared" si="84"/>
        <v>8.5668935305503891E-3</v>
      </c>
      <c r="F352" s="50">
        <f t="shared" si="85"/>
        <v>4.8421931701222894E-2</v>
      </c>
      <c r="G352" s="50">
        <f t="shared" si="81"/>
        <v>0.11752703150702123</v>
      </c>
      <c r="H352" s="51">
        <f t="shared" si="82"/>
        <v>0.44095975227368978</v>
      </c>
      <c r="I352" s="50">
        <f t="shared" si="83"/>
        <v>5.4834731259664725E-3</v>
      </c>
    </row>
    <row r="353" spans="2:9" ht="12.75" customHeight="1" x14ac:dyDescent="0.25">
      <c r="B353" s="84" t="s">
        <v>5</v>
      </c>
      <c r="C353" s="29">
        <v>131.03557864571476</v>
      </c>
      <c r="D353" s="17">
        <v>11.193725000000001</v>
      </c>
      <c r="E353" s="50">
        <f t="shared" si="84"/>
        <v>0.34275925700511561</v>
      </c>
      <c r="F353" s="50">
        <f t="shared" si="85"/>
        <v>4.1847796835435547E-2</v>
      </c>
      <c r="G353" s="50">
        <f t="shared" si="81"/>
        <v>0.46028628851213682</v>
      </c>
      <c r="H353" s="51">
        <f t="shared" si="82"/>
        <v>0.48280754910912532</v>
      </c>
      <c r="I353" s="50">
        <f t="shared" si="83"/>
        <v>1.2090107212485116E-2</v>
      </c>
    </row>
    <row r="354" spans="2:9" ht="12.75" customHeight="1" x14ac:dyDescent="0.25">
      <c r="B354" s="84" t="s">
        <v>6</v>
      </c>
      <c r="C354" s="29">
        <v>16.052819884560293</v>
      </c>
      <c r="D354" s="17">
        <v>43.849260000000001</v>
      </c>
      <c r="E354" s="50">
        <f t="shared" si="84"/>
        <v>4.1990524049544245E-2</v>
      </c>
      <c r="F354" s="50">
        <f t="shared" si="85"/>
        <v>0.16393067757732036</v>
      </c>
      <c r="G354" s="50">
        <f t="shared" si="81"/>
        <v>0.50227681256168111</v>
      </c>
      <c r="H354" s="51">
        <f t="shared" si="82"/>
        <v>0.64673822668644565</v>
      </c>
      <c r="I354" s="50">
        <f t="shared" si="83"/>
        <v>7.8896810684978821E-2</v>
      </c>
    </row>
    <row r="355" spans="2:9" ht="12.75" customHeight="1" x14ac:dyDescent="0.25">
      <c r="B355" s="84" t="s">
        <v>7</v>
      </c>
      <c r="C355" s="29">
        <v>5.3386391808328861</v>
      </c>
      <c r="D355" s="17">
        <v>53.771296</v>
      </c>
      <c r="E355" s="50">
        <f t="shared" si="84"/>
        <v>1.3964665306574132E-2</v>
      </c>
      <c r="F355" s="50">
        <f t="shared" si="85"/>
        <v>0.20102425873300156</v>
      </c>
      <c r="G355" s="50">
        <f t="shared" si="81"/>
        <v>0.51624147786825525</v>
      </c>
      <c r="H355" s="51">
        <f t="shared" si="82"/>
        <v>0.84776248541944721</v>
      </c>
      <c r="I355" s="50">
        <f t="shared" si="83"/>
        <v>0.10237344216984097</v>
      </c>
    </row>
    <row r="356" spans="2:9" ht="12.75" customHeight="1" x14ac:dyDescent="0.25">
      <c r="B356" s="84" t="s">
        <v>8</v>
      </c>
      <c r="C356" s="29">
        <v>17.853298663279823</v>
      </c>
      <c r="D356" s="17">
        <v>102.33440400000001</v>
      </c>
      <c r="E356" s="50">
        <f t="shared" si="84"/>
        <v>4.6700166841414849E-2</v>
      </c>
      <c r="F356" s="50">
        <f t="shared" si="85"/>
        <v>0.38257768060832142</v>
      </c>
      <c r="G356" s="50">
        <f t="shared" si="81"/>
        <v>0.56294164470967012</v>
      </c>
      <c r="H356" s="51">
        <f t="shared" si="82"/>
        <v>1.2303401660277686</v>
      </c>
      <c r="I356" s="50">
        <f t="shared" si="83"/>
        <v>0.20643568799375425</v>
      </c>
    </row>
    <row r="357" spans="2:9" ht="12.75" customHeight="1" x14ac:dyDescent="0.25">
      <c r="B357" s="84" t="s">
        <v>9</v>
      </c>
      <c r="C357" s="29">
        <v>0</v>
      </c>
      <c r="D357" s="17">
        <v>59.734217999999998</v>
      </c>
      <c r="E357" s="50">
        <f t="shared" si="84"/>
        <v>0</v>
      </c>
      <c r="F357" s="50">
        <f t="shared" si="85"/>
        <v>0.22331667242027267</v>
      </c>
      <c r="G357" s="50">
        <f t="shared" si="81"/>
        <v>0.56294164470967012</v>
      </c>
      <c r="H357" s="51">
        <f t="shared" si="82"/>
        <v>1.4536568384480413</v>
      </c>
      <c r="I357" s="50">
        <f t="shared" si="83"/>
        <v>0.12571425486335891</v>
      </c>
    </row>
    <row r="358" spans="2:9" ht="12.75" customHeight="1" x14ac:dyDescent="0.25">
      <c r="B358" s="84" t="s">
        <v>10</v>
      </c>
      <c r="C358" s="29">
        <v>27.835036451662162</v>
      </c>
      <c r="D358" s="17">
        <v>114.963588</v>
      </c>
      <c r="E358" s="50">
        <f t="shared" si="84"/>
        <v>7.2810121582914389E-2</v>
      </c>
      <c r="F358" s="50">
        <f t="shared" si="85"/>
        <v>0.4297919480866928</v>
      </c>
      <c r="G358" s="50">
        <f t="shared" si="81"/>
        <v>0.63575176629258445</v>
      </c>
      <c r="H358" s="51">
        <f t="shared" si="82"/>
        <v>1.883448786534734</v>
      </c>
      <c r="I358" s="50">
        <f t="shared" si="83"/>
        <v>0.25759438813667079</v>
      </c>
    </row>
    <row r="359" spans="2:9" ht="12.75" customHeight="1" thickBot="1" x14ac:dyDescent="0.3">
      <c r="B359" s="88" t="s">
        <v>11</v>
      </c>
      <c r="C359" s="32">
        <v>43.351590870161743</v>
      </c>
      <c r="D359" s="123">
        <v>45.741007000000003</v>
      </c>
      <c r="E359" s="52">
        <f t="shared" si="84"/>
        <v>0.11339789719875694</v>
      </c>
      <c r="F359" s="52">
        <f t="shared" si="85"/>
        <v>0.1710029831878338</v>
      </c>
      <c r="G359" s="52">
        <f t="shared" si="81"/>
        <v>0.74914966349134138</v>
      </c>
      <c r="H359" s="53">
        <f t="shared" si="82"/>
        <v>2.0544517697225677</v>
      </c>
      <c r="I359" s="52">
        <f t="shared" si="83"/>
        <v>0.11841113795707377</v>
      </c>
    </row>
    <row r="360" spans="2:9" ht="12.75" customHeight="1" thickBot="1" x14ac:dyDescent="0.3">
      <c r="B360" s="38" t="s">
        <v>13</v>
      </c>
      <c r="C360" s="32">
        <f>SUM(C348:C359)</f>
        <v>286.39710712864951</v>
      </c>
      <c r="D360" s="32">
        <f>SUM(D348:D359)</f>
        <v>549.53832399999999</v>
      </c>
      <c r="E360" s="52">
        <f>SUM(E349:E359)</f>
        <v>0.74914966349134138</v>
      </c>
      <c r="F360" s="52">
        <f>SUM(F349:F359)</f>
        <v>2.0544517697225677</v>
      </c>
      <c r="G360" s="53"/>
      <c r="H360" s="53"/>
      <c r="I360" s="52">
        <f>SUM(I348:I359)</f>
        <v>0.91047370362754021</v>
      </c>
    </row>
    <row r="361" spans="2:9" ht="12.75" customHeight="1" thickBot="1" x14ac:dyDescent="0.3">
      <c r="B361" s="48"/>
      <c r="C361" s="29"/>
      <c r="D361" s="29"/>
      <c r="E361" s="26"/>
      <c r="F361" s="27"/>
      <c r="G361" s="4"/>
      <c r="H361" s="40"/>
      <c r="I361" s="34"/>
    </row>
    <row r="362" spans="2:9" ht="12.75" customHeight="1" thickBot="1" x14ac:dyDescent="0.3">
      <c r="B362" s="4"/>
      <c r="C362" s="4"/>
      <c r="D362" s="4"/>
      <c r="E362" s="4"/>
      <c r="F362" s="4"/>
      <c r="G362" s="5"/>
      <c r="H362" s="49" t="s">
        <v>42</v>
      </c>
      <c r="I362" s="62">
        <f>1-(2*I360)</f>
        <v>-0.82094740725508042</v>
      </c>
    </row>
    <row r="363" spans="2:9" ht="12.75" customHeight="1" x14ac:dyDescent="0.25">
      <c r="B363" s="4"/>
      <c r="C363" s="4"/>
      <c r="D363" s="4"/>
      <c r="E363" s="4"/>
      <c r="F363" s="4"/>
      <c r="G363" s="5"/>
      <c r="H363" s="112"/>
      <c r="I363" s="113"/>
    </row>
    <row r="364" spans="2:9" ht="12.75" customHeight="1" x14ac:dyDescent="0.25"/>
    <row r="365" spans="2:9" ht="12.75" customHeight="1" x14ac:dyDescent="0.25"/>
    <row r="366" spans="2:9" ht="12.75" customHeight="1" x14ac:dyDescent="0.25"/>
    <row r="367" spans="2:9" ht="12.75" customHeight="1" x14ac:dyDescent="0.25"/>
    <row r="368" spans="2:9"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sheetData>
  <sortState ref="B281:I293">
    <sortCondition ref="C282"/>
  </sortState>
  <mergeCells count="21">
    <mergeCell ref="B176:I176"/>
    <mergeCell ref="A1:F1"/>
    <mergeCell ref="B4:I4"/>
    <mergeCell ref="B25:I25"/>
    <mergeCell ref="B47:I47"/>
    <mergeCell ref="B68:I68"/>
    <mergeCell ref="A89:F89"/>
    <mergeCell ref="B92:I92"/>
    <mergeCell ref="B113:I113"/>
    <mergeCell ref="B134:I134"/>
    <mergeCell ref="B155:I155"/>
    <mergeCell ref="A174:F174"/>
    <mergeCell ref="B322:I322"/>
    <mergeCell ref="A343:I343"/>
    <mergeCell ref="B346:I346"/>
    <mergeCell ref="B197:I197"/>
    <mergeCell ref="B218:I218"/>
    <mergeCell ref="B239:I239"/>
    <mergeCell ref="B259:I259"/>
    <mergeCell ref="B279:I279"/>
    <mergeCell ref="B301:I301"/>
  </mergeCells>
  <pageMargins left="0.7" right="0.7" top="0.75" bottom="0.75" header="0" footer="0"/>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9"/>
  <sheetViews>
    <sheetView showGridLines="0" zoomScale="67" zoomScaleNormal="40" workbookViewId="0">
      <selection activeCell="P21" sqref="P21:AA33"/>
    </sheetView>
  </sheetViews>
  <sheetFormatPr defaultColWidth="12.6640625" defaultRowHeight="15" customHeight="1" x14ac:dyDescent="0.25"/>
  <cols>
    <col min="1" max="1" width="8.6640625" style="2" customWidth="1"/>
    <col min="2" max="2" width="12.6640625" style="2" customWidth="1"/>
    <col min="3" max="3" width="18.33203125" style="2" customWidth="1"/>
    <col min="4" max="4" width="9.88671875" style="2" bestFit="1" customWidth="1"/>
    <col min="5" max="6" width="8.77734375" style="2" bestFit="1" customWidth="1"/>
    <col min="7" max="7" width="9" style="2" bestFit="1" customWidth="1"/>
    <col min="8" max="8" width="10.5546875" style="2" bestFit="1" customWidth="1"/>
    <col min="9" max="9" width="9" style="2" bestFit="1" customWidth="1"/>
    <col min="10" max="10" width="9.88671875" style="2" bestFit="1" customWidth="1"/>
    <col min="11" max="11" width="14.6640625" style="2" bestFit="1" customWidth="1"/>
    <col min="12" max="13" width="8.77734375" style="2" bestFit="1" customWidth="1"/>
    <col min="14" max="14" width="9.6640625" style="2" bestFit="1" customWidth="1"/>
    <col min="15" max="15" width="8.6640625" style="2" customWidth="1"/>
    <col min="16" max="16" width="11.33203125" style="2" bestFit="1" customWidth="1"/>
    <col min="17" max="18" width="8.6640625" style="2" customWidth="1"/>
    <col min="19" max="19" width="7.33203125" style="2" bestFit="1" customWidth="1"/>
    <col min="20" max="20" width="8.33203125" style="2" bestFit="1" customWidth="1"/>
    <col min="21" max="21" width="10" style="2" bestFit="1" customWidth="1"/>
    <col min="22" max="22" width="8" style="2" customWidth="1"/>
    <col min="23" max="23" width="9.6640625" style="2" bestFit="1" customWidth="1"/>
    <col min="24" max="24" width="10.5546875" style="2" bestFit="1" customWidth="1"/>
    <col min="25" max="25" width="8.77734375" style="2" bestFit="1" customWidth="1"/>
    <col min="26" max="26" width="11.109375" style="2" bestFit="1" customWidth="1"/>
    <col min="27" max="27" width="9.5546875" style="2" bestFit="1" customWidth="1"/>
    <col min="28" max="16384" width="12.6640625" style="2"/>
  </cols>
  <sheetData>
    <row r="1" spans="1:31" ht="25.05" customHeight="1" x14ac:dyDescent="0.25">
      <c r="A1" s="211" t="s">
        <v>96</v>
      </c>
      <c r="B1" s="211"/>
      <c r="C1" s="211"/>
      <c r="D1" s="211"/>
      <c r="E1" s="211"/>
      <c r="F1" s="211"/>
    </row>
    <row r="2" spans="1:31" ht="15" customHeight="1" x14ac:dyDescent="0.25">
      <c r="B2" s="5"/>
      <c r="C2" s="5"/>
      <c r="D2" s="5"/>
      <c r="E2" s="5"/>
      <c r="F2" s="5"/>
      <c r="G2" s="5"/>
      <c r="H2" s="5"/>
      <c r="I2" s="5"/>
      <c r="J2" s="5"/>
      <c r="K2" s="5"/>
      <c r="L2" s="5"/>
      <c r="M2" s="5"/>
      <c r="N2" s="5"/>
      <c r="O2" s="5"/>
      <c r="P2" s="5"/>
      <c r="Q2" s="5"/>
      <c r="R2" s="5"/>
      <c r="S2" s="5"/>
      <c r="T2" s="5"/>
      <c r="U2" s="5"/>
      <c r="V2" s="5"/>
      <c r="W2" s="5"/>
      <c r="X2" s="5"/>
      <c r="Y2" s="5"/>
      <c r="Z2" s="5"/>
      <c r="AA2" s="5"/>
    </row>
    <row r="3" spans="1:31" ht="15" customHeight="1" thickBot="1" x14ac:dyDescent="0.3">
      <c r="B3" s="214" t="s">
        <v>85</v>
      </c>
      <c r="C3" s="214"/>
      <c r="D3" s="214"/>
      <c r="E3" s="214"/>
      <c r="F3" s="214"/>
      <c r="G3" s="214"/>
      <c r="H3" s="214"/>
      <c r="I3" s="214"/>
      <c r="J3" s="214"/>
      <c r="K3" s="214"/>
      <c r="L3" s="214"/>
      <c r="M3" s="214"/>
      <c r="N3" s="214"/>
      <c r="P3" s="214" t="s">
        <v>91</v>
      </c>
      <c r="Q3" s="214"/>
      <c r="R3" s="214"/>
      <c r="S3" s="214"/>
      <c r="T3" s="214"/>
      <c r="U3" s="214"/>
      <c r="V3" s="214"/>
      <c r="W3" s="214"/>
      <c r="X3" s="214"/>
      <c r="Y3" s="214"/>
      <c r="Z3" s="214"/>
      <c r="AA3" s="214"/>
      <c r="AB3" s="10"/>
      <c r="AC3" s="3" t="s">
        <v>23</v>
      </c>
      <c r="AD3" s="13" t="s">
        <v>24</v>
      </c>
      <c r="AE3" s="15">
        <f t="array" ref="AE3">MIN(IF(D6:N16&gt;0,D6:N16))</f>
        <v>0.62316806640256317</v>
      </c>
    </row>
    <row r="4" spans="1:31" ht="15" customHeight="1" thickBot="1" x14ac:dyDescent="0.3">
      <c r="B4" s="77" t="s">
        <v>14</v>
      </c>
      <c r="C4" s="68" t="s">
        <v>15</v>
      </c>
      <c r="D4" s="69" t="s">
        <v>1</v>
      </c>
      <c r="E4" s="69" t="s">
        <v>2</v>
      </c>
      <c r="F4" s="69" t="s">
        <v>3</v>
      </c>
      <c r="G4" s="69" t="s">
        <v>4</v>
      </c>
      <c r="H4" s="69" t="s">
        <v>5</v>
      </c>
      <c r="I4" s="69" t="s">
        <v>6</v>
      </c>
      <c r="J4" s="69" t="s">
        <v>7</v>
      </c>
      <c r="K4" s="69" t="s">
        <v>9</v>
      </c>
      <c r="L4" s="69" t="s">
        <v>8</v>
      </c>
      <c r="M4" s="69" t="s">
        <v>10</v>
      </c>
      <c r="N4" s="69" t="s">
        <v>11</v>
      </c>
      <c r="P4" s="78" t="s">
        <v>20</v>
      </c>
      <c r="Q4" s="79" t="s">
        <v>1</v>
      </c>
      <c r="R4" s="79" t="s">
        <v>2</v>
      </c>
      <c r="S4" s="79" t="s">
        <v>3</v>
      </c>
      <c r="T4" s="79" t="s">
        <v>4</v>
      </c>
      <c r="U4" s="79" t="s">
        <v>5</v>
      </c>
      <c r="V4" s="79" t="s">
        <v>6</v>
      </c>
      <c r="W4" s="79" t="s">
        <v>7</v>
      </c>
      <c r="X4" s="79" t="s">
        <v>32</v>
      </c>
      <c r="Y4" s="79" t="s">
        <v>8</v>
      </c>
      <c r="Z4" s="79" t="s">
        <v>10</v>
      </c>
      <c r="AA4" s="79" t="s">
        <v>11</v>
      </c>
      <c r="AB4" s="213" t="s">
        <v>27</v>
      </c>
      <c r="AC4" s="213"/>
      <c r="AD4" s="13" t="s">
        <v>25</v>
      </c>
      <c r="AE4" s="20">
        <f>MAX(D6:N16)</f>
        <v>644.32037764807319</v>
      </c>
    </row>
    <row r="5" spans="1:31" ht="16.2" customHeight="1" x14ac:dyDescent="0.25">
      <c r="B5" s="95"/>
      <c r="C5" s="96" t="s">
        <v>83</v>
      </c>
      <c r="D5" s="97">
        <f>C6</f>
        <v>-19.6968679442788</v>
      </c>
      <c r="E5" s="97">
        <f>C7</f>
        <v>-26.928306839000001</v>
      </c>
      <c r="F5" s="97">
        <f>C8</f>
        <v>-2.9390687889717002</v>
      </c>
      <c r="G5" s="97">
        <f>C9</f>
        <v>-14.326051440935281</v>
      </c>
      <c r="H5" s="97">
        <f>C10</f>
        <v>-447.77756495911865</v>
      </c>
      <c r="I5" s="97">
        <f>C11</f>
        <v>-83.06312413925933</v>
      </c>
      <c r="J5" s="97">
        <f>C12</f>
        <v>-27.551474905402564</v>
      </c>
      <c r="K5" s="97">
        <f>C13</f>
        <v>-416.11890505817166</v>
      </c>
      <c r="L5" s="97">
        <f>C14</f>
        <v>-647.25944643704486</v>
      </c>
      <c r="M5" s="97">
        <f>C15</f>
        <v>-162.5357853090315</v>
      </c>
      <c r="N5" s="97">
        <f>C16</f>
        <v>-330.18670232397028</v>
      </c>
      <c r="P5" s="21" t="s">
        <v>1</v>
      </c>
      <c r="Q5" s="99">
        <f t="shared" ref="Q5:AA15" si="0">$AE$5+(D6-$AE$3)*($AE$6-$AE$5)/($AE$4-$AE$3)</f>
        <v>3.2860653938917455E-5</v>
      </c>
      <c r="R5" s="99">
        <f t="shared" si="0"/>
        <v>1.1255850824303932E-2</v>
      </c>
      <c r="S5" s="99">
        <f t="shared" si="0"/>
        <v>3.2860653938917455E-5</v>
      </c>
      <c r="T5" s="99">
        <f t="shared" si="0"/>
        <v>3.2860653938917455E-5</v>
      </c>
      <c r="U5" s="99">
        <f t="shared" si="0"/>
        <v>0.66440208573687842</v>
      </c>
      <c r="V5" s="99">
        <f t="shared" si="0"/>
        <v>9.8375511509805086E-2</v>
      </c>
      <c r="W5" s="99">
        <f t="shared" si="0"/>
        <v>1.2222990170365017E-2</v>
      </c>
      <c r="X5" s="99">
        <f t="shared" si="0"/>
        <v>0.615268734263132</v>
      </c>
      <c r="Y5" s="99">
        <f t="shared" si="0"/>
        <v>0.97399236612035089</v>
      </c>
      <c r="Z5" s="99">
        <f t="shared" si="0"/>
        <v>0.22171485076249323</v>
      </c>
      <c r="AA5" s="99">
        <f t="shared" si="0"/>
        <v>0.48190436782870638</v>
      </c>
      <c r="AD5" s="3" t="s">
        <v>26</v>
      </c>
      <c r="AE5" s="2">
        <v>1E-3</v>
      </c>
    </row>
    <row r="6" spans="1:31" ht="15" customHeight="1" x14ac:dyDescent="0.25">
      <c r="B6" s="21" t="s">
        <v>1</v>
      </c>
      <c r="C6" s="97">
        <f>Annual_sorted!M20</f>
        <v>-19.6968679442788</v>
      </c>
      <c r="D6" s="29">
        <f>IF(C6-Table_146310[Burundi]&gt;0, C6-Table_146310[Burundi], 0)</f>
        <v>0</v>
      </c>
      <c r="E6" s="29">
        <f>IF(C6-Table_146310[Congo]&gt;0, C6-Table_146310[Congo], 0)</f>
        <v>7.2314388947212009</v>
      </c>
      <c r="F6" s="29">
        <f>IF(C6-Table_146310[Egypt]&gt;0, C6-Table_146310[Egypt], 0)</f>
        <v>0</v>
      </c>
      <c r="G6" s="29">
        <f>IF(C6-Table_146310[Eritrea]&gt;0, C6-Table_146310[Eritrea], 0)</f>
        <v>0</v>
      </c>
      <c r="H6" s="29">
        <f>IF(C6-Table_146310[Ethiopia]&gt;0, C6-Table_146310[Ethiopia], 0)</f>
        <v>428.08069701483987</v>
      </c>
      <c r="I6" s="29">
        <f>IF(C6-Table_146310[Kenya]&gt;0, C6-Table_146310[Kenya], 0)</f>
        <v>63.366256194980529</v>
      </c>
      <c r="J6" s="29">
        <f>IF(C6-Table_146310[Rwanda]&gt;0, C6-Table_146310[Rwanda], 0)</f>
        <v>7.8546069611237641</v>
      </c>
      <c r="K6" s="29">
        <f>IF(C6-Table_146310[South Sudan]&gt;0, C6-Table_146310[South Sudan], 0)</f>
        <v>396.42203711389288</v>
      </c>
      <c r="L6" s="29">
        <f>IF(C6-Table_146310[Sudan]&gt;0, C6-Table_146310[Sudan], 0)</f>
        <v>627.56257849276608</v>
      </c>
      <c r="M6" s="29">
        <f>IF(C6-Table_146310[Tanzania]&gt;0, C6-Table_146310[Tanzania], 0)</f>
        <v>142.83891736475269</v>
      </c>
      <c r="N6" s="29">
        <f>IF(C6-Table_146310[Uganda]&gt;0, C6-Table_146310[Uganda], 0)</f>
        <v>310.4898343796915</v>
      </c>
      <c r="P6" s="21" t="s">
        <v>2</v>
      </c>
      <c r="Q6" s="99">
        <f t="shared" si="0"/>
        <v>3.2860653938917455E-5</v>
      </c>
      <c r="R6" s="99">
        <f t="shared" si="0"/>
        <v>3.2860653938917455E-5</v>
      </c>
      <c r="S6" s="99">
        <f t="shared" si="0"/>
        <v>3.2860653938917455E-5</v>
      </c>
      <c r="T6" s="99">
        <f t="shared" si="0"/>
        <v>3.2860653938917455E-5</v>
      </c>
      <c r="U6" s="99">
        <f t="shared" si="0"/>
        <v>0.65317909556651332</v>
      </c>
      <c r="V6" s="99">
        <f t="shared" si="0"/>
        <v>8.715252133944007E-2</v>
      </c>
      <c r="W6" s="99">
        <f t="shared" si="0"/>
        <v>1E-3</v>
      </c>
      <c r="X6" s="99">
        <f t="shared" si="0"/>
        <v>0.6040457440927669</v>
      </c>
      <c r="Y6" s="99">
        <f t="shared" si="0"/>
        <v>0.96276937594998591</v>
      </c>
      <c r="Z6" s="99">
        <f t="shared" si="0"/>
        <v>0.21049186059212818</v>
      </c>
      <c r="AA6" s="99">
        <f t="shared" si="0"/>
        <v>0.47068137765834123</v>
      </c>
      <c r="AD6" s="3" t="s">
        <v>84</v>
      </c>
      <c r="AE6" s="2">
        <v>1</v>
      </c>
    </row>
    <row r="7" spans="1:31" ht="15" customHeight="1" x14ac:dyDescent="0.25">
      <c r="B7" s="21" t="s">
        <v>2</v>
      </c>
      <c r="C7" s="97">
        <f>Annual_sorted!M21</f>
        <v>-26.928306839000001</v>
      </c>
      <c r="D7" s="29">
        <f>IF(C7-Table_146310[Burundi]&gt;0, C7-Table_146310[Burundi], 0)</f>
        <v>0</v>
      </c>
      <c r="E7" s="29">
        <f>IF(C7-Table_146310[Congo]&gt;0, C7-Table_146310[Congo], 0)</f>
        <v>0</v>
      </c>
      <c r="F7" s="29">
        <f>IF(C7-Table_146310[Egypt]&gt;0, C7-Table_146310[Egypt], 0)</f>
        <v>0</v>
      </c>
      <c r="G7" s="29">
        <f>IF(C7-Table_146310[Eritrea]&gt;0, C7-Table_146310[Eritrea], 0)</f>
        <v>0</v>
      </c>
      <c r="H7" s="29">
        <f>IF(C7-Table_146310[Ethiopia]&gt;0, C7-Table_146310[Ethiopia], 0)</f>
        <v>420.84925812011863</v>
      </c>
      <c r="I7" s="29">
        <f>IF(C7-Table_146310[Kenya]&gt;0, C7-Table_146310[Kenya], 0)</f>
        <v>56.134817300259328</v>
      </c>
      <c r="J7" s="29">
        <f>IF(C7-Table_146310[Rwanda]&gt;0, C7-Table_146310[Rwanda], 0)</f>
        <v>0.62316806640256317</v>
      </c>
      <c r="K7" s="29">
        <f>IF(C7-Table_146310[South Sudan]&gt;0, C7-Table_146310[South Sudan], 0)</f>
        <v>389.19059821917165</v>
      </c>
      <c r="L7" s="29">
        <f>IF(C7-Table_146310[Sudan]&gt;0, C7-Table_146310[Sudan], 0)</f>
        <v>620.33113959804484</v>
      </c>
      <c r="M7" s="29">
        <f>IF(C7-Table_146310[Tanzania]&gt;0, C7-Table_146310[Tanzania], 0)</f>
        <v>135.60747847003148</v>
      </c>
      <c r="N7" s="29">
        <f>IF(C7-Table_146310[Uganda]&gt;0, C7-Table_146310[Uganda], 0)</f>
        <v>303.25839548497026</v>
      </c>
      <c r="P7" s="21" t="s">
        <v>3</v>
      </c>
      <c r="Q7" s="99">
        <f t="shared" si="0"/>
        <v>2.6040494533587939E-2</v>
      </c>
      <c r="R7" s="99">
        <f t="shared" si="0"/>
        <v>3.7263484703952951E-2</v>
      </c>
      <c r="S7" s="99">
        <f t="shared" si="0"/>
        <v>3.2860653938917455E-5</v>
      </c>
      <c r="T7" s="99">
        <f t="shared" si="0"/>
        <v>1.7705138084975865E-2</v>
      </c>
      <c r="U7" s="99">
        <f t="shared" si="0"/>
        <v>0.69040971961652742</v>
      </c>
      <c r="V7" s="99">
        <f t="shared" si="0"/>
        <v>0.12438314538945412</v>
      </c>
      <c r="W7" s="99">
        <f t="shared" si="0"/>
        <v>3.8230624050014039E-2</v>
      </c>
      <c r="X7" s="99">
        <f t="shared" si="0"/>
        <v>0.64127636814278088</v>
      </c>
      <c r="Y7" s="99">
        <f t="shared" si="0"/>
        <v>1</v>
      </c>
      <c r="Z7" s="99">
        <f t="shared" si="0"/>
        <v>0.24772248464214228</v>
      </c>
      <c r="AA7" s="99">
        <f t="shared" si="0"/>
        <v>0.50791200170835538</v>
      </c>
    </row>
    <row r="8" spans="1:31" ht="15" customHeight="1" x14ac:dyDescent="0.25">
      <c r="B8" s="21" t="s">
        <v>3</v>
      </c>
      <c r="C8" s="97">
        <f>Annual_sorted!M22</f>
        <v>-2.9390687889717002</v>
      </c>
      <c r="D8" s="29">
        <f>IF(C8-Table_146310[Burundi]&gt;0, C8-Table_146310[Burundi], 0)</f>
        <v>16.757799155307101</v>
      </c>
      <c r="E8" s="29">
        <f>IF(C8-Table_146310[Congo]&gt;0, C8-Table_146310[Congo], 0)</f>
        <v>23.989238050028302</v>
      </c>
      <c r="F8" s="29">
        <f>IF(C8-Table_146310[Egypt]&gt;0, C8-Table_146310[Egypt], 0)</f>
        <v>0</v>
      </c>
      <c r="G8" s="29">
        <f>IF(C8-Table_146310[Eritrea]&gt;0, C8-Table_146310[Eritrea], 0)</f>
        <v>11.386982651963582</v>
      </c>
      <c r="H8" s="29">
        <f>IF(C8-Table_146310[Ethiopia]&gt;0, C8-Table_146310[Ethiopia], 0)</f>
        <v>444.83849617014693</v>
      </c>
      <c r="I8" s="29">
        <f>IF(C8-Table_146310[Kenya]&gt;0, C8-Table_146310[Kenya], 0)</f>
        <v>80.124055350287634</v>
      </c>
      <c r="J8" s="29">
        <f>IF(C8-Table_146310[Rwanda]&gt;0, C8-Table_146310[Rwanda], 0)</f>
        <v>24.612406116430865</v>
      </c>
      <c r="K8" s="29">
        <f>IF(C8-Table_146310[South Sudan]&gt;0, C8-Table_146310[South Sudan], 0)</f>
        <v>413.17983626919994</v>
      </c>
      <c r="L8" s="29">
        <f>IF(C8-Table_146310[Sudan]&gt;0, C8-Table_146310[Sudan], 0)</f>
        <v>644.32037764807319</v>
      </c>
      <c r="M8" s="29">
        <f>IF(C8-Table_146310[Tanzania]&gt;0, C8-Table_146310[Tanzania], 0)</f>
        <v>159.5967165200598</v>
      </c>
      <c r="N8" s="29">
        <f>IF(C8-Table_146310[Uganda]&gt;0, C8-Table_146310[Uganda], 0)</f>
        <v>327.24763353499856</v>
      </c>
      <c r="P8" s="21" t="s">
        <v>4</v>
      </c>
      <c r="Q8" s="99">
        <f t="shared" si="0"/>
        <v>8.368217102550991E-3</v>
      </c>
      <c r="R8" s="99">
        <f t="shared" si="0"/>
        <v>1.9591207272916009E-2</v>
      </c>
      <c r="S8" s="99">
        <f t="shared" si="0"/>
        <v>3.2860653938917455E-5</v>
      </c>
      <c r="T8" s="99">
        <f t="shared" si="0"/>
        <v>3.2860653938917455E-5</v>
      </c>
      <c r="U8" s="99">
        <f t="shared" si="0"/>
        <v>0.67273744218549048</v>
      </c>
      <c r="V8" s="99">
        <f t="shared" si="0"/>
        <v>0.10671086795841717</v>
      </c>
      <c r="W8" s="99">
        <f t="shared" si="0"/>
        <v>2.055834661897709E-2</v>
      </c>
      <c r="X8" s="99">
        <f t="shared" si="0"/>
        <v>0.62360409071174405</v>
      </c>
      <c r="Y8" s="99">
        <f t="shared" si="0"/>
        <v>0.98232772256896295</v>
      </c>
      <c r="Z8" s="99">
        <f t="shared" si="0"/>
        <v>0.23005020721110528</v>
      </c>
      <c r="AA8" s="99">
        <f t="shared" si="0"/>
        <v>0.49023972427731838</v>
      </c>
    </row>
    <row r="9" spans="1:31" ht="15" customHeight="1" x14ac:dyDescent="0.25">
      <c r="B9" s="21" t="s">
        <v>4</v>
      </c>
      <c r="C9" s="97">
        <f>Annual_sorted!M23</f>
        <v>-14.326051440935281</v>
      </c>
      <c r="D9" s="29">
        <f>IF(C9-Table_146310[Burundi]&gt;0, C9-Table_146310[Burundi], 0)</f>
        <v>5.3708165033435193</v>
      </c>
      <c r="E9" s="29">
        <f>IF(C9-Table_146310[Congo]&gt;0, C9-Table_146310[Congo], 0)</f>
        <v>12.60225539806472</v>
      </c>
      <c r="F9" s="29">
        <f>IF(C9-Table_146310[Egypt]&gt;0, C9-Table_146310[Egypt], 0)</f>
        <v>0</v>
      </c>
      <c r="G9" s="29">
        <f>IF(C9-Table_146310[Eritrea]&gt;0, C9-Table_146310[Eritrea], 0)</f>
        <v>0</v>
      </c>
      <c r="H9" s="29">
        <f>IF(C9-Table_146310[Ethiopia]&gt;0, C9-Table_146310[Ethiopia], 0)</f>
        <v>433.45151351818339</v>
      </c>
      <c r="I9" s="29">
        <f>IF(C9-Table_146310[Kenya]&gt;0, C9-Table_146310[Kenya], 0)</f>
        <v>68.737072698324056</v>
      </c>
      <c r="J9" s="29">
        <f>IF(C9-Table_146310[Rwanda]&gt;0, C9-Table_146310[Rwanda], 0)</f>
        <v>13.225423464467283</v>
      </c>
      <c r="K9" s="29">
        <f>IF(C9-Table_146310[South Sudan]&gt;0, C9-Table_146310[South Sudan], 0)</f>
        <v>401.7928536172364</v>
      </c>
      <c r="L9" s="29">
        <f>IF(C9-Table_146310[Sudan]&gt;0, C9-Table_146310[Sudan], 0)</f>
        <v>632.93339499610954</v>
      </c>
      <c r="M9" s="29">
        <f>IF(C9-Table_146310[Tanzania]&gt;0, C9-Table_146310[Tanzania], 0)</f>
        <v>148.20973386809621</v>
      </c>
      <c r="N9" s="29">
        <f>IF(C9-Table_146310[Uganda]&gt;0, C9-Table_146310[Uganda], 0)</f>
        <v>315.86065088303502</v>
      </c>
      <c r="P9" s="21" t="s">
        <v>5</v>
      </c>
      <c r="Q9" s="99">
        <f t="shared" si="0"/>
        <v>3.2860653938917455E-5</v>
      </c>
      <c r="R9" s="99">
        <f t="shared" si="0"/>
        <v>3.2860653938917455E-5</v>
      </c>
      <c r="S9" s="99">
        <f t="shared" si="0"/>
        <v>3.2860653938917455E-5</v>
      </c>
      <c r="T9" s="99">
        <f t="shared" si="0"/>
        <v>3.2860653938917455E-5</v>
      </c>
      <c r="U9" s="99">
        <f t="shared" si="0"/>
        <v>3.2860653938917455E-5</v>
      </c>
      <c r="V9" s="99">
        <f t="shared" si="0"/>
        <v>3.2860653938917455E-5</v>
      </c>
      <c r="W9" s="99">
        <f t="shared" si="0"/>
        <v>3.2860653938917455E-5</v>
      </c>
      <c r="X9" s="99">
        <f t="shared" si="0"/>
        <v>3.2860653938917455E-5</v>
      </c>
      <c r="Y9" s="99">
        <f t="shared" si="0"/>
        <v>0.3096231410374114</v>
      </c>
      <c r="Z9" s="99">
        <f t="shared" si="0"/>
        <v>3.2860653938917455E-5</v>
      </c>
      <c r="AA9" s="99">
        <f t="shared" si="0"/>
        <v>3.2860653938917455E-5</v>
      </c>
    </row>
    <row r="10" spans="1:31" ht="15" customHeight="1" x14ac:dyDescent="0.25">
      <c r="B10" s="21" t="s">
        <v>5</v>
      </c>
      <c r="C10" s="97">
        <f>Annual_sorted!M24</f>
        <v>-447.77756495911865</v>
      </c>
      <c r="D10" s="29">
        <f>IF(C10-Table_146310[Burundi]&gt;0, C10-Table_146310[Burundi], 0)</f>
        <v>0</v>
      </c>
      <c r="E10" s="29">
        <f>IF(C10-Table_146310[Congo]&gt;0, C10-Table_146310[Congo], 0)</f>
        <v>0</v>
      </c>
      <c r="F10" s="29">
        <f>IF(C10-Table_146310[Egypt]&gt;0, C10-Table_146310[Egypt], 0)</f>
        <v>0</v>
      </c>
      <c r="G10" s="29">
        <f>IF(C10-Table_146310[Eritrea]&gt;0, C10-Table_146310[Eritrea], 0)</f>
        <v>0</v>
      </c>
      <c r="H10" s="29">
        <f>IF(C10-Table_146310[Ethiopia]&gt;0, C10-Table_146310[Ethiopia], 0)</f>
        <v>0</v>
      </c>
      <c r="I10" s="29">
        <f>IF(C10-Table_146310[Kenya]&gt;0, C10-Table_146310[Kenya], 0)</f>
        <v>0</v>
      </c>
      <c r="J10" s="29">
        <f>IF(C10-Table_146310[Rwanda]&gt;0, C10-Table_146310[Rwanda], 0)</f>
        <v>0</v>
      </c>
      <c r="K10" s="29">
        <f>IF(C10-Table_146310[South Sudan]&gt;0, C10-Table_146310[South Sudan], 0)</f>
        <v>0</v>
      </c>
      <c r="L10" s="29">
        <f>IF(C10-Table_146310[Sudan]&gt;0, C10-Table_146310[Sudan], 0)</f>
        <v>199.48188147792621</v>
      </c>
      <c r="M10" s="29">
        <f>IF(C10-Table_146310[Tanzania]&gt;0, C10-Table_146310[Tanzania], 0)</f>
        <v>0</v>
      </c>
      <c r="N10" s="29">
        <f>IF(C10-Table_146310[Uganda]&gt;0, C10-Table_146310[Uganda], 0)</f>
        <v>0</v>
      </c>
      <c r="P10" s="21" t="s">
        <v>6</v>
      </c>
      <c r="Q10" s="99">
        <f t="shared" si="0"/>
        <v>3.2860653938917455E-5</v>
      </c>
      <c r="R10" s="99">
        <f t="shared" si="0"/>
        <v>3.2860653938917455E-5</v>
      </c>
      <c r="S10" s="99">
        <f t="shared" si="0"/>
        <v>3.2860653938917455E-5</v>
      </c>
      <c r="T10" s="99">
        <f t="shared" si="0"/>
        <v>3.2860653938917455E-5</v>
      </c>
      <c r="U10" s="99">
        <f t="shared" si="0"/>
        <v>0.56605943488101218</v>
      </c>
      <c r="V10" s="99">
        <f t="shared" si="0"/>
        <v>3.2860653938917455E-5</v>
      </c>
      <c r="W10" s="99">
        <f t="shared" si="0"/>
        <v>3.2860653938917455E-5</v>
      </c>
      <c r="X10" s="99">
        <f t="shared" si="0"/>
        <v>0.51692608340726576</v>
      </c>
      <c r="Y10" s="99">
        <f t="shared" si="0"/>
        <v>0.87564971526448476</v>
      </c>
      <c r="Z10" s="99">
        <f t="shared" si="0"/>
        <v>0.12337219990662708</v>
      </c>
      <c r="AA10" s="99">
        <f t="shared" si="0"/>
        <v>0.38356171697284014</v>
      </c>
    </row>
    <row r="11" spans="1:31" ht="15" customHeight="1" x14ac:dyDescent="0.25">
      <c r="B11" s="21" t="s">
        <v>6</v>
      </c>
      <c r="C11" s="97">
        <f>Annual_sorted!M25</f>
        <v>-83.06312413925933</v>
      </c>
      <c r="D11" s="29">
        <f>IF(C11-Table_146310[Burundi]&gt;0, C11-Table_146310[Burundi], 0)</f>
        <v>0</v>
      </c>
      <c r="E11" s="29">
        <f>IF(C11-Table_146310[Congo]&gt;0, C11-Table_146310[Congo], 0)</f>
        <v>0</v>
      </c>
      <c r="F11" s="29">
        <f>IF(C11-Table_146310[Egypt]&gt;0, C11-Table_146310[Egypt], 0)</f>
        <v>0</v>
      </c>
      <c r="G11" s="29">
        <f>IF(C11-Table_146310[Eritrea]&gt;0, C11-Table_146310[Eritrea], 0)</f>
        <v>0</v>
      </c>
      <c r="H11" s="29">
        <f>IF(C11-Table_146310[Ethiopia]&gt;0, C11-Table_146310[Ethiopia], 0)</f>
        <v>364.71444081985931</v>
      </c>
      <c r="I11" s="29">
        <f>IF(C11-Table_146310[Kenya]&gt;0, C11-Table_146310[Kenya], 0)</f>
        <v>0</v>
      </c>
      <c r="J11" s="29">
        <f>IF(C11-Table_146310[Rwanda]&gt;0, C11-Table_146310[Rwanda], 0)</f>
        <v>0</v>
      </c>
      <c r="K11" s="29">
        <f>IF(C11-Table_146310[South Sudan]&gt;0, C11-Table_146310[South Sudan], 0)</f>
        <v>333.05578091891232</v>
      </c>
      <c r="L11" s="29">
        <f>IF(C11-Table_146310[Sudan]&gt;0, C11-Table_146310[Sudan], 0)</f>
        <v>564.19632229778551</v>
      </c>
      <c r="M11" s="29">
        <f>IF(C11-Table_146310[Tanzania]&gt;0, C11-Table_146310[Tanzania], 0)</f>
        <v>79.472661169772167</v>
      </c>
      <c r="N11" s="29">
        <f>IF(C11-Table_146310[Uganda]&gt;0, C11-Table_146310[Uganda], 0)</f>
        <v>247.12357818471094</v>
      </c>
      <c r="P11" s="21" t="s">
        <v>7</v>
      </c>
      <c r="Q11" s="99">
        <f t="shared" si="0"/>
        <v>3.2860653938917455E-5</v>
      </c>
      <c r="R11" s="99">
        <f t="shared" si="0"/>
        <v>3.2860653938917455E-5</v>
      </c>
      <c r="S11" s="99">
        <f t="shared" si="0"/>
        <v>3.2860653938917455E-5</v>
      </c>
      <c r="T11" s="99">
        <f t="shared" si="0"/>
        <v>3.2860653938917455E-5</v>
      </c>
      <c r="U11" s="99">
        <f t="shared" si="0"/>
        <v>0.65221195622045225</v>
      </c>
      <c r="V11" s="99">
        <f t="shared" si="0"/>
        <v>8.6185381993378982E-2</v>
      </c>
      <c r="W11" s="99">
        <f t="shared" si="0"/>
        <v>3.2860653938917455E-5</v>
      </c>
      <c r="X11" s="99">
        <f t="shared" si="0"/>
        <v>0.60307860474670583</v>
      </c>
      <c r="Y11" s="99">
        <f t="shared" si="0"/>
        <v>0.96180223660392483</v>
      </c>
      <c r="Z11" s="99">
        <f t="shared" si="0"/>
        <v>0.20952472124606716</v>
      </c>
      <c r="AA11" s="99">
        <f t="shared" si="0"/>
        <v>0.46971423831228015</v>
      </c>
    </row>
    <row r="12" spans="1:31" ht="15" customHeight="1" x14ac:dyDescent="0.25">
      <c r="B12" s="21" t="s">
        <v>7</v>
      </c>
      <c r="C12" s="97">
        <f>Annual_sorted!M26</f>
        <v>-27.551474905402564</v>
      </c>
      <c r="D12" s="29">
        <f>IF(C12-Table_146310[Burundi]&gt;0, C12-Table_146310[Burundi], 0)</f>
        <v>0</v>
      </c>
      <c r="E12" s="29">
        <f>IF(C12-Table_146310[Congo]&gt;0, C12-Table_146310[Congo], 0)</f>
        <v>0</v>
      </c>
      <c r="F12" s="29">
        <f>IF(C12-Table_146310[Egypt]&gt;0, C12-Table_146310[Egypt], 0)</f>
        <v>0</v>
      </c>
      <c r="G12" s="29">
        <f>IF(C12-Table_146310[Eritrea]&gt;0, C12-Table_146310[Eritrea], 0)</f>
        <v>0</v>
      </c>
      <c r="H12" s="29">
        <f>IF(C12-Table_146310[Ethiopia]&gt;0, C12-Table_146310[Ethiopia], 0)</f>
        <v>420.22609005371606</v>
      </c>
      <c r="I12" s="29">
        <f>IF(C12-Table_146310[Kenya]&gt;0, C12-Table_146310[Kenya], 0)</f>
        <v>55.511649233856765</v>
      </c>
      <c r="J12" s="29">
        <f>IF(C12-Table_146310[Rwanda]&gt;0, C12-Table_146310[Rwanda], 0)</f>
        <v>0</v>
      </c>
      <c r="K12" s="29">
        <f>IF(C12-Table_146310[South Sudan]&gt;0, C12-Table_146310[South Sudan], 0)</f>
        <v>388.56743015276908</v>
      </c>
      <c r="L12" s="29">
        <f>IF(C12-Table_146310[Sudan]&gt;0, C12-Table_146310[Sudan], 0)</f>
        <v>619.70797153164233</v>
      </c>
      <c r="M12" s="29">
        <f>IF(C12-Table_146310[Tanzania]&gt;0, C12-Table_146310[Tanzania], 0)</f>
        <v>134.98431040362894</v>
      </c>
      <c r="N12" s="29">
        <f>IF(C12-Table_146310[Uganda]&gt;0, C12-Table_146310[Uganda], 0)</f>
        <v>302.63522741856769</v>
      </c>
      <c r="P12" s="21" t="s">
        <v>38</v>
      </c>
      <c r="Q12" s="99">
        <f t="shared" si="0"/>
        <v>3.2860653938917455E-5</v>
      </c>
      <c r="R12" s="99">
        <f t="shared" si="0"/>
        <v>3.2860653938917455E-5</v>
      </c>
      <c r="S12" s="99">
        <f t="shared" si="0"/>
        <v>3.2860653938917455E-5</v>
      </c>
      <c r="T12" s="99">
        <f t="shared" si="0"/>
        <v>3.2860653938917455E-5</v>
      </c>
      <c r="U12" s="99">
        <f t="shared" si="0"/>
        <v>4.9166212127685342E-2</v>
      </c>
      <c r="V12" s="99">
        <f t="shared" si="0"/>
        <v>3.2860653938917455E-5</v>
      </c>
      <c r="W12" s="99">
        <f t="shared" si="0"/>
        <v>3.2860653938917455E-5</v>
      </c>
      <c r="X12" s="99">
        <f t="shared" si="0"/>
        <v>3.2860653938917455E-5</v>
      </c>
      <c r="Y12" s="99">
        <f t="shared" si="0"/>
        <v>0.35875649251115782</v>
      </c>
      <c r="Z12" s="99">
        <f t="shared" si="0"/>
        <v>3.2860653938917455E-5</v>
      </c>
      <c r="AA12" s="99">
        <f t="shared" si="0"/>
        <v>3.2860653938917455E-5</v>
      </c>
    </row>
    <row r="13" spans="1:31" ht="15" customHeight="1" x14ac:dyDescent="0.25">
      <c r="B13" s="21" t="s">
        <v>9</v>
      </c>
      <c r="C13" s="97">
        <f>Annual_sorted!M27</f>
        <v>-416.11890505817166</v>
      </c>
      <c r="D13" s="29">
        <f>IF(C13-Table_146310[Burundi]&gt;0, C13-Table_146310[Burundi], 0)</f>
        <v>0</v>
      </c>
      <c r="E13" s="29">
        <f>IF(C13-Table_146310[Congo]&gt;0, C13-Table_146310[Congo], 0)</f>
        <v>0</v>
      </c>
      <c r="F13" s="29">
        <f>IF(C13-Table_146310[Egypt]&gt;0, C13-Table_146310[Egypt], 0)</f>
        <v>0</v>
      </c>
      <c r="G13" s="29">
        <f>IF(C13-Table_146310[Eritrea]&gt;0, C13-Table_146310[Eritrea], 0)</f>
        <v>0</v>
      </c>
      <c r="H13" s="29">
        <f>IF(C13-Table_146310[Ethiopia]&gt;0, C13-Table_146310[Ethiopia], 0)</f>
        <v>31.658659900946986</v>
      </c>
      <c r="I13" s="29">
        <f>IF(C13-Table_146310[Kenya]&gt;0, C13-Table_146310[Kenya], 0)</f>
        <v>0</v>
      </c>
      <c r="J13" s="29">
        <f>IF(C13-Table_146310[Rwanda]&gt;0, C13-Table_146310[Rwanda], 0)</f>
        <v>0</v>
      </c>
      <c r="K13" s="29">
        <f>IF(C13-Table_146310[South Sudan]&gt;0, C13-Table_146310[South Sudan], 0)</f>
        <v>0</v>
      </c>
      <c r="L13" s="29">
        <f>IF(C13-Table_146310[Sudan]&gt;0, C13-Table_146310[Sudan], 0)</f>
        <v>231.14054137887319</v>
      </c>
      <c r="M13" s="29">
        <f>IF(C13-Table_146310[Tanzania]&gt;0, C13-Table_146310[Tanzania], 0)</f>
        <v>0</v>
      </c>
      <c r="N13" s="29">
        <f>IF(C13-Table_146310[Uganda]&gt;0, C13-Table_146310[Uganda], 0)</f>
        <v>0</v>
      </c>
      <c r="P13" s="21" t="s">
        <v>8</v>
      </c>
      <c r="Q13" s="99">
        <f t="shared" si="0"/>
        <v>3.2860653938917455E-5</v>
      </c>
      <c r="R13" s="99">
        <f t="shared" si="0"/>
        <v>3.2860653938917455E-5</v>
      </c>
      <c r="S13" s="99">
        <f t="shared" si="0"/>
        <v>3.2860653938917455E-5</v>
      </c>
      <c r="T13" s="99">
        <f t="shared" si="0"/>
        <v>3.2860653938917455E-5</v>
      </c>
      <c r="U13" s="99">
        <f t="shared" si="0"/>
        <v>3.2860653938917455E-5</v>
      </c>
      <c r="V13" s="99">
        <f t="shared" si="0"/>
        <v>3.2860653938917455E-5</v>
      </c>
      <c r="W13" s="99">
        <f t="shared" si="0"/>
        <v>3.2860653938917455E-5</v>
      </c>
      <c r="X13" s="99">
        <f t="shared" si="0"/>
        <v>3.2860653938917455E-5</v>
      </c>
      <c r="Y13" s="99">
        <f t="shared" si="0"/>
        <v>3.2860653938917455E-5</v>
      </c>
      <c r="Z13" s="99">
        <f t="shared" si="0"/>
        <v>3.2860653938917455E-5</v>
      </c>
      <c r="AA13" s="99">
        <f t="shared" si="0"/>
        <v>3.2860653938917455E-5</v>
      </c>
    </row>
    <row r="14" spans="1:31" ht="15" customHeight="1" x14ac:dyDescent="0.25">
      <c r="B14" s="21" t="s">
        <v>8</v>
      </c>
      <c r="C14" s="97">
        <f>Annual_sorted!M28</f>
        <v>-647.25944643704486</v>
      </c>
      <c r="D14" s="29">
        <f>IF(C14-Table_146310[Burundi]&gt;0, C14-Table_146310[Burundi], 0)</f>
        <v>0</v>
      </c>
      <c r="E14" s="29">
        <f>IF(C14-Table_146310[Congo]&gt;0, C14-Table_146310[Congo], 0)</f>
        <v>0</v>
      </c>
      <c r="F14" s="29">
        <f>IF(C14-Table_146310[Egypt]&gt;0, C14-Table_146310[Egypt], 0)</f>
        <v>0</v>
      </c>
      <c r="G14" s="29">
        <f>IF(C14-Table_146310[Eritrea]&gt;0, C14-Table_146310[Eritrea], 0)</f>
        <v>0</v>
      </c>
      <c r="H14" s="29">
        <f>IF(C14-Table_146310[Ethiopia]&gt;0, C14-Table_146310[Ethiopia], 0)</f>
        <v>0</v>
      </c>
      <c r="I14" s="29">
        <f>IF(C14-Table_146310[Kenya]&gt;0, C14-Table_146310[Kenya], 0)</f>
        <v>0</v>
      </c>
      <c r="J14" s="29">
        <f>IF(C14-Table_146310[Rwanda]&gt;0, C14-Table_146310[Rwanda], 0)</f>
        <v>0</v>
      </c>
      <c r="K14" s="29">
        <f>IF(C14-Table_146310[South Sudan]&gt;0, C14-Table_146310[South Sudan], 0)</f>
        <v>0</v>
      </c>
      <c r="L14" s="29">
        <f>IF(C14-Table_146310[Sudan]&gt;0, C14-Table_146310[Sudan], 0)</f>
        <v>0</v>
      </c>
      <c r="M14" s="29">
        <f>IF(C14-Table_146310[Tanzania]&gt;0, C14-Table_146310[Tanzania], 0)</f>
        <v>0</v>
      </c>
      <c r="N14" s="29">
        <f>IF(C14-Table_146310[Uganda]&gt;0, C14-Table_146310[Uganda], 0)</f>
        <v>0</v>
      </c>
      <c r="P14" s="21" t="s">
        <v>10</v>
      </c>
      <c r="Q14" s="99">
        <f t="shared" si="0"/>
        <v>3.2860653938917455E-5</v>
      </c>
      <c r="R14" s="99">
        <f t="shared" si="0"/>
        <v>3.2860653938917455E-5</v>
      </c>
      <c r="S14" s="99">
        <f t="shared" si="0"/>
        <v>3.2860653938917455E-5</v>
      </c>
      <c r="T14" s="99">
        <f t="shared" si="0"/>
        <v>3.2860653938917455E-5</v>
      </c>
      <c r="U14" s="99">
        <f t="shared" si="0"/>
        <v>0.44272009562832398</v>
      </c>
      <c r="V14" s="99">
        <f t="shared" si="0"/>
        <v>3.2860653938917455E-5</v>
      </c>
      <c r="W14" s="99">
        <f t="shared" si="0"/>
        <v>3.2860653938917455E-5</v>
      </c>
      <c r="X14" s="99">
        <f t="shared" si="0"/>
        <v>0.39358674415457762</v>
      </c>
      <c r="Y14" s="99">
        <f t="shared" si="0"/>
        <v>0.75231037601179651</v>
      </c>
      <c r="Z14" s="99">
        <f t="shared" si="0"/>
        <v>3.2860653938917455E-5</v>
      </c>
      <c r="AA14" s="99">
        <f t="shared" si="0"/>
        <v>0.260222377720152</v>
      </c>
    </row>
    <row r="15" spans="1:31" ht="15" customHeight="1" thickBot="1" x14ac:dyDescent="0.3">
      <c r="B15" s="21" t="s">
        <v>10</v>
      </c>
      <c r="C15" s="97">
        <f>Annual_sorted!M29</f>
        <v>-162.5357853090315</v>
      </c>
      <c r="D15" s="29">
        <f>IF(C15-Table_146310[Burundi]&gt;0, C15-Table_146310[Burundi], 0)</f>
        <v>0</v>
      </c>
      <c r="E15" s="29">
        <f>IF(C15-Table_146310[Congo]&gt;0, C15-Table_146310[Congo], 0)</f>
        <v>0</v>
      </c>
      <c r="F15" s="29">
        <f>IF(C15-Table_146310[Egypt]&gt;0, C15-Table_146310[Egypt], 0)</f>
        <v>0</v>
      </c>
      <c r="G15" s="29">
        <f>IF(C15-Table_146310[Eritrea]&gt;0, C15-Table_146310[Eritrea], 0)</f>
        <v>0</v>
      </c>
      <c r="H15" s="29">
        <f>IF(C15-Table_146310[Ethiopia]&gt;0, C15-Table_146310[Ethiopia], 0)</f>
        <v>285.24177965008715</v>
      </c>
      <c r="I15" s="29">
        <f>IF(C15-Table_146310[Kenya]&gt;0, C15-Table_146310[Kenya], 0)</f>
        <v>0</v>
      </c>
      <c r="J15" s="29">
        <f>IF(C15-Table_146310[Rwanda]&gt;0, C15-Table_146310[Rwanda], 0)</f>
        <v>0</v>
      </c>
      <c r="K15" s="29">
        <f>IF(C15-Table_146310[South Sudan]&gt;0, C15-Table_146310[South Sudan], 0)</f>
        <v>253.58311974914017</v>
      </c>
      <c r="L15" s="29">
        <f>IF(C15-Table_146310[Sudan]&gt;0, C15-Table_146310[Sudan], 0)</f>
        <v>484.72366112801336</v>
      </c>
      <c r="M15" s="29">
        <f>IF(C15-Table_146310[Tanzania]&gt;0, C15-Table_146310[Tanzania], 0)</f>
        <v>0</v>
      </c>
      <c r="N15" s="29">
        <f>IF(C15-Table_146310[Uganda]&gt;0, C15-Table_146310[Uganda], 0)</f>
        <v>167.65091701493878</v>
      </c>
      <c r="P15" s="22" t="s">
        <v>11</v>
      </c>
      <c r="Q15" s="100">
        <f t="shared" si="0"/>
        <v>3.2860653938917455E-5</v>
      </c>
      <c r="R15" s="100">
        <f t="shared" si="0"/>
        <v>3.2860653938917455E-5</v>
      </c>
      <c r="S15" s="100">
        <f t="shared" si="0"/>
        <v>3.2860653938917455E-5</v>
      </c>
      <c r="T15" s="100">
        <f t="shared" si="0"/>
        <v>3.2860653938917455E-5</v>
      </c>
      <c r="U15" s="100">
        <f t="shared" si="0"/>
        <v>0.18253057856211094</v>
      </c>
      <c r="V15" s="100">
        <f t="shared" si="0"/>
        <v>3.2860653938917455E-5</v>
      </c>
      <c r="W15" s="100">
        <f t="shared" si="0"/>
        <v>3.2860653938917455E-5</v>
      </c>
      <c r="X15" s="100">
        <f t="shared" si="0"/>
        <v>0.13339722708836449</v>
      </c>
      <c r="Y15" s="100">
        <f t="shared" si="0"/>
        <v>0.49212085894558338</v>
      </c>
      <c r="Z15" s="100">
        <f t="shared" si="0"/>
        <v>3.2860653938917455E-5</v>
      </c>
      <c r="AA15" s="100">
        <f t="shared" si="0"/>
        <v>3.2860653938917455E-5</v>
      </c>
    </row>
    <row r="16" spans="1:31" ht="15" customHeight="1" thickBot="1" x14ac:dyDescent="0.3">
      <c r="B16" s="22" t="s">
        <v>11</v>
      </c>
      <c r="C16" s="98">
        <f>Annual_sorted!M30</f>
        <v>-330.18670232397028</v>
      </c>
      <c r="D16" s="32">
        <f>IF(C16-Table_146310[Burundi]&gt;0, C16-Table_146310[Burundi], 0)</f>
        <v>0</v>
      </c>
      <c r="E16" s="32">
        <f>IF(C16-Table_146310[Congo]&gt;0, C16-Table_146310[Congo], 0)</f>
        <v>0</v>
      </c>
      <c r="F16" s="32">
        <f>IF(C16-Table_146310[Egypt]&gt;0, C16-Table_146310[Egypt], 0)</f>
        <v>0</v>
      </c>
      <c r="G16" s="32">
        <f>IF(C16-Table_146310[Eritrea]&gt;0, C16-Table_146310[Eritrea], 0)</f>
        <v>0</v>
      </c>
      <c r="H16" s="32">
        <f>IF(C16-Table_146310[Ethiopia]&gt;0, C16-Table_146310[Ethiopia], 0)</f>
        <v>117.59086263514837</v>
      </c>
      <c r="I16" s="32">
        <f>IF(C16-Table_146310[Kenya]&gt;0, C16-Table_146310[Kenya], 0)</f>
        <v>0</v>
      </c>
      <c r="J16" s="32">
        <f>IF(C16-Table_146310[Rwanda]&gt;0, C16-Table_146310[Rwanda], 0)</f>
        <v>0</v>
      </c>
      <c r="K16" s="32">
        <f>IF(C16-Table_146310[South Sudan]&gt;0, C16-Table_146310[South Sudan], 0)</f>
        <v>85.932202734201383</v>
      </c>
      <c r="L16" s="32">
        <f>IF(C16-Table_146310[Sudan]&gt;0, C16-Table_146310[Sudan], 0)</f>
        <v>317.07274411307458</v>
      </c>
      <c r="M16" s="32">
        <f>IF(C16-Table_146310[Tanzania]&gt;0, C16-Table_146310[Tanzania], 0)</f>
        <v>0</v>
      </c>
      <c r="N16" s="32">
        <f>IF(C16-Table_146310[Uganda]&gt;0, C16-Table_146310[Uganda], 0)</f>
        <v>0</v>
      </c>
    </row>
    <row r="18" spans="2:31" ht="12.75" customHeight="1" x14ac:dyDescent="0.25">
      <c r="B18" s="5"/>
      <c r="C18" s="5"/>
      <c r="D18" s="5"/>
      <c r="E18" s="5"/>
      <c r="F18" s="5"/>
      <c r="G18" s="5"/>
      <c r="H18" s="5"/>
      <c r="I18" s="5"/>
      <c r="J18" s="5"/>
      <c r="K18" s="5"/>
      <c r="L18" s="5"/>
      <c r="M18" s="5"/>
      <c r="N18" s="5"/>
    </row>
    <row r="19" spans="2:31" ht="12.75" customHeight="1" x14ac:dyDescent="0.25">
      <c r="B19" s="5"/>
      <c r="C19" s="5"/>
      <c r="D19" s="5"/>
      <c r="E19" s="5"/>
      <c r="F19" s="5"/>
      <c r="G19" s="5"/>
      <c r="H19" s="5"/>
      <c r="I19" s="5"/>
      <c r="J19" s="5"/>
      <c r="K19" s="5"/>
      <c r="L19" s="5"/>
      <c r="M19" s="5"/>
      <c r="N19" s="44"/>
      <c r="O19" s="5"/>
      <c r="P19" s="5"/>
      <c r="Q19" s="5"/>
      <c r="R19" s="5"/>
      <c r="S19" s="5"/>
      <c r="T19" s="5"/>
      <c r="U19" s="5"/>
      <c r="V19" s="5"/>
      <c r="W19" s="5"/>
      <c r="X19" s="5"/>
      <c r="Y19" s="5"/>
      <c r="Z19" s="5"/>
      <c r="AA19" s="5"/>
    </row>
    <row r="20" spans="2:31" ht="12.75" customHeight="1" x14ac:dyDescent="0.25">
      <c r="B20" s="5"/>
      <c r="C20" s="5"/>
      <c r="D20" s="5"/>
      <c r="E20" s="5"/>
      <c r="F20" s="5"/>
      <c r="G20" s="5"/>
      <c r="H20" s="5"/>
      <c r="I20" s="5"/>
      <c r="J20" s="5"/>
      <c r="K20" s="5"/>
      <c r="L20" s="5"/>
      <c r="M20" s="5"/>
      <c r="N20" s="44"/>
      <c r="O20" s="5"/>
      <c r="P20" s="5"/>
      <c r="Q20" s="5"/>
      <c r="R20" s="5"/>
      <c r="S20" s="5"/>
      <c r="T20" s="5"/>
      <c r="U20" s="5"/>
      <c r="V20" s="5"/>
      <c r="W20" s="5"/>
      <c r="X20" s="5"/>
      <c r="Y20" s="5"/>
      <c r="Z20" s="5"/>
      <c r="AA20" s="5"/>
    </row>
    <row r="21" spans="2:31" ht="12.75" customHeight="1" thickBot="1" x14ac:dyDescent="0.3">
      <c r="B21" s="214" t="s">
        <v>117</v>
      </c>
      <c r="C21" s="214"/>
      <c r="D21" s="214"/>
      <c r="E21" s="214"/>
      <c r="F21" s="214"/>
      <c r="G21" s="214"/>
      <c r="H21" s="214"/>
      <c r="I21" s="214"/>
      <c r="J21" s="214"/>
      <c r="K21" s="214"/>
      <c r="L21" s="214"/>
      <c r="M21" s="214"/>
      <c r="N21" s="214"/>
      <c r="P21" s="214" t="s">
        <v>118</v>
      </c>
      <c r="Q21" s="214"/>
      <c r="R21" s="214"/>
      <c r="S21" s="214"/>
      <c r="T21" s="214"/>
      <c r="U21" s="214"/>
      <c r="V21" s="214"/>
      <c r="W21" s="214"/>
      <c r="X21" s="214"/>
      <c r="Y21" s="214"/>
      <c r="Z21" s="214"/>
      <c r="AA21" s="214"/>
      <c r="AB21" s="10"/>
      <c r="AC21" s="3" t="s">
        <v>23</v>
      </c>
      <c r="AD21" s="13" t="s">
        <v>24</v>
      </c>
      <c r="AE21" s="76">
        <f t="array" ref="AE21">MIN(IF(D24:N34&gt;0,D24:N34))</f>
        <v>9.274630527590233E-2</v>
      </c>
    </row>
    <row r="22" spans="2:31" ht="12.75" customHeight="1" thickBot="1" x14ac:dyDescent="0.3">
      <c r="B22" s="77" t="s">
        <v>14</v>
      </c>
      <c r="C22" s="68" t="s">
        <v>15</v>
      </c>
      <c r="D22" s="69" t="s">
        <v>1</v>
      </c>
      <c r="E22" s="69" t="s">
        <v>2</v>
      </c>
      <c r="F22" s="69" t="s">
        <v>3</v>
      </c>
      <c r="G22" s="69" t="s">
        <v>4</v>
      </c>
      <c r="H22" s="69" t="s">
        <v>5</v>
      </c>
      <c r="I22" s="69" t="s">
        <v>6</v>
      </c>
      <c r="J22" s="69" t="s">
        <v>7</v>
      </c>
      <c r="K22" s="69" t="s">
        <v>9</v>
      </c>
      <c r="L22" s="69" t="s">
        <v>8</v>
      </c>
      <c r="M22" s="69" t="s">
        <v>10</v>
      </c>
      <c r="N22" s="69" t="s">
        <v>11</v>
      </c>
      <c r="P22" s="78" t="s">
        <v>20</v>
      </c>
      <c r="Q22" s="79" t="s">
        <v>1</v>
      </c>
      <c r="R22" s="79" t="s">
        <v>2</v>
      </c>
      <c r="S22" s="79" t="s">
        <v>3</v>
      </c>
      <c r="T22" s="79" t="s">
        <v>4</v>
      </c>
      <c r="U22" s="79" t="s">
        <v>5</v>
      </c>
      <c r="V22" s="79" t="s">
        <v>6</v>
      </c>
      <c r="W22" s="79" t="s">
        <v>7</v>
      </c>
      <c r="X22" s="79" t="s">
        <v>32</v>
      </c>
      <c r="Y22" s="79" t="s">
        <v>8</v>
      </c>
      <c r="Z22" s="79" t="s">
        <v>10</v>
      </c>
      <c r="AA22" s="79" t="s">
        <v>11</v>
      </c>
      <c r="AB22" s="213" t="s">
        <v>27</v>
      </c>
      <c r="AC22" s="213"/>
      <c r="AD22" s="13" t="s">
        <v>25</v>
      </c>
      <c r="AE22" s="20">
        <f>MAX(D24:N34)</f>
        <v>766.84202462044232</v>
      </c>
    </row>
    <row r="23" spans="2:31" ht="26.4" x14ac:dyDescent="0.25">
      <c r="B23" s="95"/>
      <c r="C23" s="96" t="s">
        <v>83</v>
      </c>
      <c r="D23" s="97">
        <f>C24</f>
        <v>-12.564133415557253</v>
      </c>
      <c r="E23" s="97">
        <f>C25</f>
        <v>-26.012437209190924</v>
      </c>
      <c r="F23" s="97">
        <f>C26</f>
        <v>-66.671778627849037</v>
      </c>
      <c r="G23" s="97">
        <f>C27</f>
        <v>-12.47138711028135</v>
      </c>
      <c r="H23" s="97">
        <f>C28</f>
        <v>-371.07869729089828</v>
      </c>
      <c r="I23" s="97">
        <f>C29</f>
        <v>-56.695140149925855</v>
      </c>
      <c r="J23" s="97">
        <f>C30</f>
        <v>-19.469677717443016</v>
      </c>
      <c r="K23" s="97">
        <f>C31</f>
        <v>-477.01246302318521</v>
      </c>
      <c r="L23" s="97">
        <f>C32</f>
        <v>-779.31341173072371</v>
      </c>
      <c r="M23" s="97">
        <f>C33</f>
        <v>-114.87163232552396</v>
      </c>
      <c r="N23" s="97">
        <f>C34</f>
        <v>-274.83335741257974</v>
      </c>
      <c r="P23" s="21" t="s">
        <v>1</v>
      </c>
      <c r="Q23" s="99">
        <f>AE23+(D24-AE21)*(AE24-AE23)/(AE22-AE21)</f>
        <v>8.7916055275041047E-4</v>
      </c>
      <c r="R23" s="99">
        <f t="shared" ref="R23:AA33" si="1">$AE$23+(E24-$AE$21)*($AE$24-$AE$23)/($AE$22-$AE$21)</f>
        <v>1.8400997051066282E-2</v>
      </c>
      <c r="S23" s="99">
        <f t="shared" si="1"/>
        <v>7.1376178412167562E-2</v>
      </c>
      <c r="T23" s="99">
        <f t="shared" si="1"/>
        <v>8.7916055275041047E-4</v>
      </c>
      <c r="U23" s="99">
        <f t="shared" si="1"/>
        <v>0.46798889177867065</v>
      </c>
      <c r="V23" s="99">
        <f t="shared" si="1"/>
        <v>5.8377585363151949E-2</v>
      </c>
      <c r="W23" s="99">
        <f t="shared" si="1"/>
        <v>9.8764155260354924E-3</v>
      </c>
      <c r="X23" s="99">
        <f t="shared" si="1"/>
        <v>0.60601032193781967</v>
      </c>
      <c r="Y23" s="99">
        <f t="shared" si="1"/>
        <v>0.9998791605527505</v>
      </c>
      <c r="Z23" s="99">
        <f t="shared" si="1"/>
        <v>0.13417591648271956</v>
      </c>
      <c r="AA23" s="99">
        <f t="shared" si="1"/>
        <v>0.3425905415517026</v>
      </c>
      <c r="AD23" s="3" t="s">
        <v>26</v>
      </c>
      <c r="AE23" s="2">
        <v>1E-3</v>
      </c>
    </row>
    <row r="24" spans="2:31" ht="12.75" customHeight="1" x14ac:dyDescent="0.25">
      <c r="B24" s="21" t="s">
        <v>1</v>
      </c>
      <c r="C24" s="97">
        <f>Annual_sorted!N20</f>
        <v>-12.564133415557253</v>
      </c>
      <c r="D24" s="29">
        <f>IF(C24-Table_1463412[Burundi]&gt;0, C24-Table_1463412[Burundi], 0)</f>
        <v>0</v>
      </c>
      <c r="E24" s="29">
        <f>IF(C24-Table_1463412[Congo]&gt;0, C24-Table_1463412[Congo], 0)</f>
        <v>13.448303793633672</v>
      </c>
      <c r="F24" s="29">
        <f>IF(C24-Table_1463412[Egypt]&gt;0, C24-Table_1463412[Egypt], 0)</f>
        <v>54.107645212291786</v>
      </c>
      <c r="G24" s="29">
        <f>IF(C24-Table_1463412[Eritrea]&gt;0, C24-Table_1463412[Eritrea], 0)</f>
        <v>0</v>
      </c>
      <c r="H24" s="29">
        <f>IF(C24-Table_1463412[Ethiopia]&gt;0, C24-Table_1463412[Ethiopia], 0)</f>
        <v>358.51456387534103</v>
      </c>
      <c r="I24" s="29">
        <f>IF(C24-Table_1463412[Kenya]&gt;0, C24-Table_1463412[Kenya], 0)</f>
        <v>44.131006734368604</v>
      </c>
      <c r="J24" s="29">
        <f>IF(C24-Table_1463412[Rwanda]&gt;0, C24-Table_1463412[Rwanda], 0)</f>
        <v>6.9055443018857634</v>
      </c>
      <c r="K24" s="29">
        <f>IF(C24-Table_1463412[South Sudan]&gt;0, C24-Table_1463412[South Sudan], 0)</f>
        <v>464.44832960762795</v>
      </c>
      <c r="L24" s="29">
        <f>IF(C24-Table_1463412[Sudan]&gt;0, C24-Table_1463412[Sudan], 0)</f>
        <v>766.74927831516641</v>
      </c>
      <c r="M24" s="29">
        <f>IF(C24-Table_1463412[Tanzania]&gt;0, C24-Table_1463412[Tanzania], 0)</f>
        <v>102.30749890996671</v>
      </c>
      <c r="N24" s="29">
        <f>IF(C24-Table_1463412[Uganda]&gt;0, C24-Table_1463412[Uganda], 0)</f>
        <v>262.26922399702249</v>
      </c>
      <c r="P24" s="21" t="s">
        <v>2</v>
      </c>
      <c r="Q24" s="99">
        <f t="shared" ref="Q24:Q33" si="2">$AE$23+(D25-$AE$21)*($AE$24-$AE$23)/($AE$22-$AE$21)</f>
        <v>8.7916055275041047E-4</v>
      </c>
      <c r="R24" s="99">
        <f t="shared" si="1"/>
        <v>8.7916055275041047E-4</v>
      </c>
      <c r="S24" s="99">
        <f t="shared" si="1"/>
        <v>5.3854341913851689E-2</v>
      </c>
      <c r="T24" s="99">
        <f t="shared" si="1"/>
        <v>8.7916055275041047E-4</v>
      </c>
      <c r="U24" s="99">
        <f t="shared" si="1"/>
        <v>0.45046705528035474</v>
      </c>
      <c r="V24" s="99">
        <f t="shared" si="1"/>
        <v>4.0855748864836068E-2</v>
      </c>
      <c r="W24" s="99">
        <f t="shared" si="1"/>
        <v>8.7916055275041047E-4</v>
      </c>
      <c r="X24" s="99">
        <f t="shared" si="1"/>
        <v>0.58848848543950372</v>
      </c>
      <c r="Y24" s="99">
        <f t="shared" si="1"/>
        <v>0.98235732405443454</v>
      </c>
      <c r="Z24" s="99">
        <f t="shared" si="1"/>
        <v>0.11665407998440371</v>
      </c>
      <c r="AA24" s="99">
        <f t="shared" si="1"/>
        <v>0.32506870505338675</v>
      </c>
      <c r="AD24" s="3" t="s">
        <v>84</v>
      </c>
      <c r="AE24" s="2">
        <v>1</v>
      </c>
    </row>
    <row r="25" spans="2:31" ht="12.75" customHeight="1" x14ac:dyDescent="0.25">
      <c r="B25" s="21" t="s">
        <v>2</v>
      </c>
      <c r="C25" s="97">
        <f>Annual_sorted!N21</f>
        <v>-26.012437209190924</v>
      </c>
      <c r="D25" s="29">
        <f>IF(C25-Table_1463412[Burundi]&gt;0, C25-Table_1463412[Burundi], 0)</f>
        <v>0</v>
      </c>
      <c r="E25" s="29">
        <f>IF(C25-Table_1463412[Congo]&gt;0, C25-Table_1463412[Congo], 0)</f>
        <v>0</v>
      </c>
      <c r="F25" s="29">
        <f>IF(C25-Table_1463412[Egypt]&gt;0, C25-Table_1463412[Egypt], 0)</f>
        <v>40.659341418658116</v>
      </c>
      <c r="G25" s="29">
        <f>IF(C25-Table_1463412[Eritrea]&gt;0, C25-Table_1463412[Eritrea], 0)</f>
        <v>0</v>
      </c>
      <c r="H25" s="29">
        <f>IF(C25-Table_1463412[Ethiopia]&gt;0, C25-Table_1463412[Ethiopia], 0)</f>
        <v>345.06626008170736</v>
      </c>
      <c r="I25" s="29">
        <f>IF(C25-Table_1463412[Kenya]&gt;0, C25-Table_1463412[Kenya], 0)</f>
        <v>30.682702940734931</v>
      </c>
      <c r="J25" s="29">
        <f>IF(C25-Table_1463412[Rwanda]&gt;0, C25-Table_1463412[Rwanda], 0)</f>
        <v>0</v>
      </c>
      <c r="K25" s="29">
        <f>IF(C25-Table_1463412[South Sudan]&gt;0, C25-Table_1463412[South Sudan], 0)</f>
        <v>451.00002581399428</v>
      </c>
      <c r="L25" s="29">
        <f>IF(C25-Table_1463412[Sudan]&gt;0, C25-Table_1463412[Sudan], 0)</f>
        <v>753.30097452153279</v>
      </c>
      <c r="M25" s="29">
        <f>IF(C25-Table_1463412[Tanzania]&gt;0, C25-Table_1463412[Tanzania], 0)</f>
        <v>88.859195116333041</v>
      </c>
      <c r="N25" s="29">
        <f>IF(C25-Table_1463412[Uganda]&gt;0, C25-Table_1463412[Uganda], 0)</f>
        <v>248.82092020338882</v>
      </c>
      <c r="P25" s="21" t="s">
        <v>3</v>
      </c>
      <c r="Q25" s="99">
        <f t="shared" si="2"/>
        <v>8.7916055275041047E-4</v>
      </c>
      <c r="R25" s="99">
        <f t="shared" si="1"/>
        <v>8.7916055275041047E-4</v>
      </c>
      <c r="S25" s="99">
        <f t="shared" si="1"/>
        <v>8.7916055275041047E-4</v>
      </c>
      <c r="T25" s="99">
        <f t="shared" si="1"/>
        <v>8.7916055275041047E-4</v>
      </c>
      <c r="U25" s="99">
        <f t="shared" si="1"/>
        <v>0.3974918739192535</v>
      </c>
      <c r="V25" s="99">
        <f t="shared" si="1"/>
        <v>8.7916055275041047E-4</v>
      </c>
      <c r="W25" s="99">
        <f t="shared" si="1"/>
        <v>8.7916055275041047E-4</v>
      </c>
      <c r="X25" s="99">
        <f t="shared" si="1"/>
        <v>0.53551330407840247</v>
      </c>
      <c r="Y25" s="99">
        <f t="shared" si="1"/>
        <v>0.92938214269333341</v>
      </c>
      <c r="Z25" s="99">
        <f t="shared" si="1"/>
        <v>6.3678898623302449E-2</v>
      </c>
      <c r="AA25" s="99">
        <f t="shared" si="1"/>
        <v>0.27209352369228545</v>
      </c>
    </row>
    <row r="26" spans="2:31" ht="12.75" customHeight="1" x14ac:dyDescent="0.25">
      <c r="B26" s="21" t="s">
        <v>3</v>
      </c>
      <c r="C26" s="97">
        <f>Annual_sorted!N22</f>
        <v>-66.671778627849037</v>
      </c>
      <c r="D26" s="29">
        <f>IF(C26-Table_1463412[Burundi]&gt;0, C26-Table_1463412[Burundi], 0)</f>
        <v>0</v>
      </c>
      <c r="E26" s="29">
        <f>IF(C26-Table_1463412[Congo]&gt;0, C26-Table_1463412[Congo], 0)</f>
        <v>0</v>
      </c>
      <c r="F26" s="29">
        <f>IF(C26-Table_1463412[Egypt]&gt;0, C26-Table_1463412[Egypt], 0)</f>
        <v>0</v>
      </c>
      <c r="G26" s="29">
        <f>IF(C26-Table_1463412[Eritrea]&gt;0, C26-Table_1463412[Eritrea], 0)</f>
        <v>0</v>
      </c>
      <c r="H26" s="29">
        <f>IF(C26-Table_1463412[Ethiopia]&gt;0, C26-Table_1463412[Ethiopia], 0)</f>
        <v>304.40691866304923</v>
      </c>
      <c r="I26" s="29">
        <f>IF(C26-Table_1463412[Kenya]&gt;0, C26-Table_1463412[Kenya], 0)</f>
        <v>0</v>
      </c>
      <c r="J26" s="29">
        <f>IF(C26-Table_1463412[Rwanda]&gt;0, C26-Table_1463412[Rwanda], 0)</f>
        <v>0</v>
      </c>
      <c r="K26" s="29">
        <f>IF(C26-Table_1463412[South Sudan]&gt;0, C26-Table_1463412[South Sudan], 0)</f>
        <v>410.34068439533615</v>
      </c>
      <c r="L26" s="29">
        <f>IF(C26-Table_1463412[Sudan]&gt;0, C26-Table_1463412[Sudan], 0)</f>
        <v>712.64163310287472</v>
      </c>
      <c r="M26" s="29">
        <f>IF(C26-Table_1463412[Tanzania]&gt;0, C26-Table_1463412[Tanzania], 0)</f>
        <v>48.199853697674925</v>
      </c>
      <c r="N26" s="29">
        <f>IF(C26-Table_1463412[Uganda]&gt;0, C26-Table_1463412[Uganda], 0)</f>
        <v>208.16157878473069</v>
      </c>
      <c r="P26" s="21" t="s">
        <v>4</v>
      </c>
      <c r="Q26" s="99">
        <f t="shared" si="2"/>
        <v>1E-3</v>
      </c>
      <c r="R26" s="99">
        <f t="shared" si="1"/>
        <v>1.8521836498315875E-2</v>
      </c>
      <c r="S26" s="99">
        <f t="shared" si="1"/>
        <v>7.1497017859417145E-2</v>
      </c>
      <c r="T26" s="99">
        <f t="shared" si="1"/>
        <v>8.7916055275041047E-4</v>
      </c>
      <c r="U26" s="99">
        <f t="shared" si="1"/>
        <v>0.4681097312259202</v>
      </c>
      <c r="V26" s="99">
        <f t="shared" si="1"/>
        <v>5.8498424810401538E-2</v>
      </c>
      <c r="W26" s="99">
        <f t="shared" si="1"/>
        <v>9.9972549732850816E-3</v>
      </c>
      <c r="X26" s="99">
        <f t="shared" si="1"/>
        <v>0.60613116138506917</v>
      </c>
      <c r="Y26" s="99">
        <f>$AE$23+(L27-$AE$21)*($AE$24-$AE$23)/($AE$22-$AE$21)</f>
        <v>1</v>
      </c>
      <c r="Z26" s="99">
        <f t="shared" si="1"/>
        <v>0.13429675592996917</v>
      </c>
      <c r="AA26" s="99">
        <f t="shared" si="1"/>
        <v>0.34271138099895221</v>
      </c>
    </row>
    <row r="27" spans="2:31" ht="12.75" customHeight="1" x14ac:dyDescent="0.25">
      <c r="B27" s="21" t="s">
        <v>4</v>
      </c>
      <c r="C27" s="97">
        <f>Annual_sorted!N23</f>
        <v>-12.47138711028135</v>
      </c>
      <c r="D27" s="29">
        <f>IF(C27-Table_1463412[Burundi]&gt;0, C27-Table_1463412[Burundi], 0)</f>
        <v>9.274630527590233E-2</v>
      </c>
      <c r="E27" s="29">
        <f>IF(C27-Table_1463412[Congo]&gt;0, C27-Table_1463412[Congo], 0)</f>
        <v>13.541050098909574</v>
      </c>
      <c r="F27" s="29">
        <f>IF(C27-Table_1463412[Egypt]&gt;0, C27-Table_1463412[Egypt], 0)</f>
        <v>54.200391517567688</v>
      </c>
      <c r="G27" s="29">
        <f>IF(C27-Table_1463412[Eritrea]&gt;0, C27-Table_1463412[Eritrea], 0)</f>
        <v>0</v>
      </c>
      <c r="H27" s="29">
        <f>IF(C27-Table_1463412[Ethiopia]&gt;0, C27-Table_1463412[Ethiopia], 0)</f>
        <v>358.60731018061693</v>
      </c>
      <c r="I27" s="29">
        <f>IF(C27-Table_1463412[Kenya]&gt;0, C27-Table_1463412[Kenya], 0)</f>
        <v>44.223753039644507</v>
      </c>
      <c r="J27" s="29">
        <f>IF(C27-Table_1463412[Rwanda]&gt;0, C27-Table_1463412[Rwanda], 0)</f>
        <v>6.9982906071616657</v>
      </c>
      <c r="K27" s="29">
        <f>IF(C27-Table_1463412[South Sudan]&gt;0, C27-Table_1463412[South Sudan], 0)</f>
        <v>464.54107591290386</v>
      </c>
      <c r="L27" s="29">
        <f>IF(C27-Table_1463412[Sudan]&gt;0, C27-Table_1463412[Sudan], 0)</f>
        <v>766.84202462044232</v>
      </c>
      <c r="M27" s="29">
        <f>IF(C27-Table_1463412[Tanzania]&gt;0, C27-Table_1463412[Tanzania], 0)</f>
        <v>102.40024521524261</v>
      </c>
      <c r="N27" s="29">
        <f>IF(C27-Table_1463412[Uganda]&gt;0, C27-Table_1463412[Uganda], 0)</f>
        <v>262.3619703022984</v>
      </c>
      <c r="P27" s="21" t="s">
        <v>5</v>
      </c>
      <c r="Q27" s="99">
        <f t="shared" si="2"/>
        <v>8.7916055275041047E-4</v>
      </c>
      <c r="R27" s="99">
        <f t="shared" si="1"/>
        <v>8.7916055275041047E-4</v>
      </c>
      <c r="S27" s="99">
        <f t="shared" si="1"/>
        <v>8.7916055275041047E-4</v>
      </c>
      <c r="T27" s="99">
        <f t="shared" si="1"/>
        <v>8.7916055275041047E-4</v>
      </c>
      <c r="U27" s="99">
        <f t="shared" si="1"/>
        <v>8.7916055275041047E-4</v>
      </c>
      <c r="V27" s="99">
        <f t="shared" si="1"/>
        <v>8.7916055275041047E-4</v>
      </c>
      <c r="W27" s="99">
        <f t="shared" si="1"/>
        <v>8.7916055275041047E-4</v>
      </c>
      <c r="X27" s="99">
        <f t="shared" si="1"/>
        <v>0.13890059071189939</v>
      </c>
      <c r="Y27" s="99">
        <f t="shared" si="1"/>
        <v>0.53276942932683025</v>
      </c>
      <c r="Z27" s="99">
        <f t="shared" si="1"/>
        <v>8.7916055275041047E-4</v>
      </c>
      <c r="AA27" s="99">
        <f t="shared" si="1"/>
        <v>8.7916055275041047E-4</v>
      </c>
    </row>
    <row r="28" spans="2:31" ht="12.75" customHeight="1" x14ac:dyDescent="0.25">
      <c r="B28" s="21" t="s">
        <v>5</v>
      </c>
      <c r="C28" s="97">
        <f>Annual_sorted!N24</f>
        <v>-371.07869729089828</v>
      </c>
      <c r="D28" s="29">
        <f>IF(C28-Table_1463412[Burundi]&gt;0, C28-Table_1463412[Burundi], 0)</f>
        <v>0</v>
      </c>
      <c r="E28" s="29">
        <f>IF(C28-Table_1463412[Congo]&gt;0, C28-Table_1463412[Congo], 0)</f>
        <v>0</v>
      </c>
      <c r="F28" s="29">
        <f>IF(C28-Table_1463412[Egypt]&gt;0, C28-Table_1463412[Egypt], 0)</f>
        <v>0</v>
      </c>
      <c r="G28" s="29">
        <f>IF(C28-Table_1463412[Eritrea]&gt;0, C28-Table_1463412[Eritrea], 0)</f>
        <v>0</v>
      </c>
      <c r="H28" s="29">
        <f>IF(C28-Table_1463412[Ethiopia]&gt;0, C28-Table_1463412[Ethiopia], 0)</f>
        <v>0</v>
      </c>
      <c r="I28" s="29">
        <f>IF(C28-Table_1463412[Kenya]&gt;0, C28-Table_1463412[Kenya], 0)</f>
        <v>0</v>
      </c>
      <c r="J28" s="29">
        <f>IF(C28-Table_1463412[Rwanda]&gt;0, C28-Table_1463412[Rwanda], 0)</f>
        <v>0</v>
      </c>
      <c r="K28" s="29">
        <f>IF(C28-Table_1463412[South Sudan]&gt;0, C28-Table_1463412[South Sudan], 0)</f>
        <v>105.93376573228693</v>
      </c>
      <c r="L28" s="29">
        <f>IF(C28-Table_1463412[Sudan]&gt;0, C28-Table_1463412[Sudan], 0)</f>
        <v>408.23471443982544</v>
      </c>
      <c r="M28" s="29">
        <f>IF(C28-Table_1463412[Tanzania]&gt;0, C28-Table_1463412[Tanzania], 0)</f>
        <v>0</v>
      </c>
      <c r="N28" s="29">
        <f>IF(C28-Table_1463412[Uganda]&gt;0, C28-Table_1463412[Uganda], 0)</f>
        <v>0</v>
      </c>
      <c r="P28" s="21" t="s">
        <v>6</v>
      </c>
      <c r="Q28" s="99">
        <f t="shared" si="2"/>
        <v>8.7916055275041047E-4</v>
      </c>
      <c r="R28" s="99">
        <f t="shared" si="1"/>
        <v>8.7916055275041047E-4</v>
      </c>
      <c r="S28" s="99">
        <f t="shared" si="1"/>
        <v>1.3877753601766022E-2</v>
      </c>
      <c r="T28" s="99">
        <f t="shared" si="1"/>
        <v>8.7916055275041047E-4</v>
      </c>
      <c r="U28" s="99">
        <f t="shared" si="1"/>
        <v>0.41049046696826907</v>
      </c>
      <c r="V28" s="99">
        <f t="shared" si="1"/>
        <v>8.7916055275041047E-4</v>
      </c>
      <c r="W28" s="99">
        <f t="shared" si="1"/>
        <v>8.7916055275041047E-4</v>
      </c>
      <c r="X28" s="99">
        <f t="shared" si="1"/>
        <v>0.5485118971274181</v>
      </c>
      <c r="Y28" s="99">
        <f t="shared" si="1"/>
        <v>0.94238073574234904</v>
      </c>
      <c r="Z28" s="99">
        <f t="shared" si="1"/>
        <v>7.6677491672318049E-2</v>
      </c>
      <c r="AA28" s="99">
        <f t="shared" si="1"/>
        <v>0.28509211674130108</v>
      </c>
    </row>
    <row r="29" spans="2:31" ht="12.75" customHeight="1" x14ac:dyDescent="0.25">
      <c r="B29" s="21" t="s">
        <v>6</v>
      </c>
      <c r="C29" s="97">
        <f>Annual_sorted!N25</f>
        <v>-56.695140149925855</v>
      </c>
      <c r="D29" s="29">
        <f>IF(C29-Table_1463412[Burundi]&gt;0, C29-Table_1463412[Burundi], 0)</f>
        <v>0</v>
      </c>
      <c r="E29" s="29">
        <f>IF(C29-Table_1463412[Congo]&gt;0, C29-Table_1463412[Congo], 0)</f>
        <v>0</v>
      </c>
      <c r="F29" s="29">
        <f>IF(C29-Table_1463412[Egypt]&gt;0, C29-Table_1463412[Egypt], 0)</f>
        <v>9.9766384779231814</v>
      </c>
      <c r="G29" s="29">
        <f>IF(C29-Table_1463412[Eritrea]&gt;0, C29-Table_1463412[Eritrea], 0)</f>
        <v>0</v>
      </c>
      <c r="H29" s="29">
        <f>IF(C29-Table_1463412[Ethiopia]&gt;0, C29-Table_1463412[Ethiopia], 0)</f>
        <v>314.38355714097241</v>
      </c>
      <c r="I29" s="29">
        <f>IF(C29-Table_1463412[Kenya]&gt;0, C29-Table_1463412[Kenya], 0)</f>
        <v>0</v>
      </c>
      <c r="J29" s="29">
        <f>IF(C29-Table_1463412[Rwanda]&gt;0, C29-Table_1463412[Rwanda], 0)</f>
        <v>0</v>
      </c>
      <c r="K29" s="29">
        <f>IF(C29-Table_1463412[South Sudan]&gt;0, C29-Table_1463412[South Sudan], 0)</f>
        <v>420.31732287325934</v>
      </c>
      <c r="L29" s="29">
        <f>IF(C29-Table_1463412[Sudan]&gt;0, C29-Table_1463412[Sudan], 0)</f>
        <v>722.61827158079791</v>
      </c>
      <c r="M29" s="29">
        <f>IF(C29-Table_1463412[Tanzania]&gt;0, C29-Table_1463412[Tanzania], 0)</f>
        <v>58.176492175598106</v>
      </c>
      <c r="N29" s="29">
        <f>IF(C29-Table_1463412[Uganda]&gt;0, C29-Table_1463412[Uganda], 0)</f>
        <v>218.13821726265388</v>
      </c>
      <c r="P29" s="21" t="s">
        <v>7</v>
      </c>
      <c r="Q29" s="99">
        <f t="shared" si="2"/>
        <v>8.7916055275041047E-4</v>
      </c>
      <c r="R29" s="99">
        <f t="shared" si="1"/>
        <v>9.4037420777812013E-3</v>
      </c>
      <c r="S29" s="99">
        <f t="shared" si="1"/>
        <v>6.2378923438882468E-2</v>
      </c>
      <c r="T29" s="99">
        <f t="shared" si="1"/>
        <v>8.7916055275041047E-4</v>
      </c>
      <c r="U29" s="99">
        <f t="shared" si="1"/>
        <v>0.45899163680538552</v>
      </c>
      <c r="V29" s="99">
        <f t="shared" si="1"/>
        <v>4.9380330389866875E-2</v>
      </c>
      <c r="W29" s="99">
        <f t="shared" si="1"/>
        <v>8.7916055275041047E-4</v>
      </c>
      <c r="X29" s="99">
        <f t="shared" si="1"/>
        <v>0.59701306696453449</v>
      </c>
      <c r="Y29" s="99">
        <f t="shared" si="1"/>
        <v>0.99088190557946543</v>
      </c>
      <c r="Z29" s="99">
        <f t="shared" si="1"/>
        <v>0.12517866150943449</v>
      </c>
      <c r="AA29" s="99">
        <f t="shared" si="1"/>
        <v>0.33359328657841752</v>
      </c>
    </row>
    <row r="30" spans="2:31" ht="12.75" customHeight="1" x14ac:dyDescent="0.25">
      <c r="B30" s="21" t="s">
        <v>7</v>
      </c>
      <c r="C30" s="97">
        <f>Annual_sorted!N26</f>
        <v>-19.469677717443016</v>
      </c>
      <c r="D30" s="29">
        <f>IF(C30-Table_1463412[Burundi]&gt;0, C30-Table_1463412[Burundi], 0)</f>
        <v>0</v>
      </c>
      <c r="E30" s="29">
        <f>IF(C30-Table_1463412[Congo]&gt;0, C30-Table_1463412[Congo], 0)</f>
        <v>6.5427594917479084</v>
      </c>
      <c r="F30" s="29">
        <f>IF(C30-Table_1463412[Egypt]&gt;0, C30-Table_1463412[Egypt], 0)</f>
        <v>47.202100910406017</v>
      </c>
      <c r="G30" s="29">
        <f>IF(C30-Table_1463412[Eritrea]&gt;0, C30-Table_1463412[Eritrea], 0)</f>
        <v>0</v>
      </c>
      <c r="H30" s="29">
        <f>IF(C30-Table_1463412[Ethiopia]&gt;0, C30-Table_1463412[Ethiopia], 0)</f>
        <v>351.60901957345527</v>
      </c>
      <c r="I30" s="29">
        <f>IF(C30-Table_1463412[Kenya]&gt;0, C30-Table_1463412[Kenya], 0)</f>
        <v>37.225462432482843</v>
      </c>
      <c r="J30" s="29">
        <f>IF(C30-Table_1463412[Rwanda]&gt;0, C30-Table_1463412[Rwanda], 0)</f>
        <v>0</v>
      </c>
      <c r="K30" s="29">
        <f>IF(C30-Table_1463412[South Sudan]&gt;0, C30-Table_1463412[South Sudan], 0)</f>
        <v>457.5427853057422</v>
      </c>
      <c r="L30" s="29">
        <f>IF(C30-Table_1463412[Sudan]&gt;0, C30-Table_1463412[Sudan], 0)</f>
        <v>759.84373401328071</v>
      </c>
      <c r="M30" s="29">
        <f>IF(C30-Table_1463412[Tanzania]&gt;0, C30-Table_1463412[Tanzania], 0)</f>
        <v>95.401954608080942</v>
      </c>
      <c r="N30" s="29">
        <f>IF(C30-Table_1463412[Uganda]&gt;0, C30-Table_1463412[Uganda], 0)</f>
        <v>255.36367969513674</v>
      </c>
      <c r="P30" s="21" t="s">
        <v>38</v>
      </c>
      <c r="Q30" s="99">
        <f t="shared" si="2"/>
        <v>8.7916055275041047E-4</v>
      </c>
      <c r="R30" s="99">
        <f t="shared" si="1"/>
        <v>8.7916055275041047E-4</v>
      </c>
      <c r="S30" s="99">
        <f t="shared" si="1"/>
        <v>8.7916055275041047E-4</v>
      </c>
      <c r="T30" s="99">
        <f t="shared" si="1"/>
        <v>8.7916055275041047E-4</v>
      </c>
      <c r="U30" s="99">
        <f t="shared" si="1"/>
        <v>8.7916055275041047E-4</v>
      </c>
      <c r="V30" s="99">
        <f t="shared" si="1"/>
        <v>8.7916055275041047E-4</v>
      </c>
      <c r="W30" s="99">
        <f t="shared" si="1"/>
        <v>8.7916055275041047E-4</v>
      </c>
      <c r="X30" s="99">
        <f t="shared" si="1"/>
        <v>8.7916055275041047E-4</v>
      </c>
      <c r="Y30" s="99">
        <f t="shared" si="1"/>
        <v>0.39474799916768127</v>
      </c>
      <c r="Z30" s="99">
        <f t="shared" si="1"/>
        <v>8.7916055275041047E-4</v>
      </c>
      <c r="AA30" s="99">
        <f t="shared" si="1"/>
        <v>8.7916055275041047E-4</v>
      </c>
    </row>
    <row r="31" spans="2:31" ht="12.75" customHeight="1" x14ac:dyDescent="0.25">
      <c r="B31" s="21" t="s">
        <v>9</v>
      </c>
      <c r="C31" s="97">
        <f>Annual_sorted!N27</f>
        <v>-477.01246302318521</v>
      </c>
      <c r="D31" s="29">
        <f>IF(C31-Table_1463412[Burundi]&gt;0, C31-Table_1463412[Burundi], 0)</f>
        <v>0</v>
      </c>
      <c r="E31" s="29">
        <f>IF(C31-Table_1463412[Congo]&gt;0, C31-Table_1463412[Congo], 0)</f>
        <v>0</v>
      </c>
      <c r="F31" s="29">
        <f>IF(C31-Table_1463412[Egypt]&gt;0, C31-Table_1463412[Egypt], 0)</f>
        <v>0</v>
      </c>
      <c r="G31" s="29">
        <f>IF(C31-Table_1463412[Eritrea]&gt;0, C31-Table_1463412[Eritrea], 0)</f>
        <v>0</v>
      </c>
      <c r="H31" s="29">
        <f>IF(C31-Table_1463412[Ethiopia]&gt;0, C31-Table_1463412[Ethiopia], 0)</f>
        <v>0</v>
      </c>
      <c r="I31" s="29">
        <f>IF(C31-Table_1463412[Kenya]&gt;0, C31-Table_1463412[Kenya], 0)</f>
        <v>0</v>
      </c>
      <c r="J31" s="29">
        <f>IF(C31-Table_1463412[Rwanda]&gt;0, C31-Table_1463412[Rwanda], 0)</f>
        <v>0</v>
      </c>
      <c r="K31" s="29">
        <f>IF(C31-Table_1463412[South Sudan]&gt;0, C31-Table_1463412[South Sudan], 0)</f>
        <v>0</v>
      </c>
      <c r="L31" s="29">
        <f>IF(C31-Table_1463412[Sudan]&gt;0, C31-Table_1463412[Sudan], 0)</f>
        <v>302.30094870753851</v>
      </c>
      <c r="M31" s="29">
        <f>IF(C31-Table_1463412[Tanzania]&gt;0, C31-Table_1463412[Tanzania], 0)</f>
        <v>0</v>
      </c>
      <c r="N31" s="29">
        <f>IF(C31-Table_1463412[Uganda]&gt;0, C31-Table_1463412[Uganda], 0)</f>
        <v>0</v>
      </c>
      <c r="P31" s="21" t="s">
        <v>8</v>
      </c>
      <c r="Q31" s="99">
        <f t="shared" si="2"/>
        <v>8.7916055275041047E-4</v>
      </c>
      <c r="R31" s="99">
        <f t="shared" si="1"/>
        <v>8.7916055275041047E-4</v>
      </c>
      <c r="S31" s="99">
        <f t="shared" si="1"/>
        <v>8.7916055275041047E-4</v>
      </c>
      <c r="T31" s="99">
        <f t="shared" si="1"/>
        <v>8.7916055275041047E-4</v>
      </c>
      <c r="U31" s="99">
        <f t="shared" si="1"/>
        <v>8.7916055275041047E-4</v>
      </c>
      <c r="V31" s="99">
        <f t="shared" si="1"/>
        <v>8.7916055275041047E-4</v>
      </c>
      <c r="W31" s="99">
        <f t="shared" si="1"/>
        <v>8.7916055275041047E-4</v>
      </c>
      <c r="X31" s="99">
        <f t="shared" si="1"/>
        <v>8.7916055275041047E-4</v>
      </c>
      <c r="Y31" s="99">
        <f t="shared" si="1"/>
        <v>8.7916055275041047E-4</v>
      </c>
      <c r="Z31" s="99">
        <f t="shared" si="1"/>
        <v>8.7916055275041047E-4</v>
      </c>
      <c r="AA31" s="99">
        <f t="shared" si="1"/>
        <v>8.7916055275041047E-4</v>
      </c>
    </row>
    <row r="32" spans="2:31" ht="12.75" customHeight="1" x14ac:dyDescent="0.25">
      <c r="B32" s="21" t="s">
        <v>8</v>
      </c>
      <c r="C32" s="97">
        <f>Annual_sorted!N28</f>
        <v>-779.31341173072371</v>
      </c>
      <c r="D32" s="29">
        <f>IF(C32-Table_1463412[Burundi]&gt;0, C32-Table_1463412[Burundi], 0)</f>
        <v>0</v>
      </c>
      <c r="E32" s="29">
        <f>IF(C32-Table_1463412[Congo]&gt;0, C32-Table_1463412[Congo], 0)</f>
        <v>0</v>
      </c>
      <c r="F32" s="29">
        <f>IF(C32-Table_1463412[Egypt]&gt;0, C32-Table_1463412[Egypt], 0)</f>
        <v>0</v>
      </c>
      <c r="G32" s="29">
        <f>IF(C32-Table_1463412[Eritrea]&gt;0, C32-Table_1463412[Eritrea], 0)</f>
        <v>0</v>
      </c>
      <c r="H32" s="29">
        <f>IF(C32-Table_1463412[Ethiopia]&gt;0, C32-Table_1463412[Ethiopia], 0)</f>
        <v>0</v>
      </c>
      <c r="I32" s="29">
        <f>IF(C32-Table_1463412[Kenya]&gt;0, C32-Table_1463412[Kenya], 0)</f>
        <v>0</v>
      </c>
      <c r="J32" s="29">
        <f>IF(C32-Table_1463412[Rwanda]&gt;0, C32-Table_1463412[Rwanda], 0)</f>
        <v>0</v>
      </c>
      <c r="K32" s="29">
        <f>IF(C32-Table_1463412[South Sudan]&gt;0, C32-Table_1463412[South Sudan], 0)</f>
        <v>0</v>
      </c>
      <c r="L32" s="29">
        <f>IF(C32-Table_1463412[Sudan]&gt;0, C32-Table_1463412[Sudan], 0)</f>
        <v>0</v>
      </c>
      <c r="M32" s="29">
        <f>IF(C32-Table_1463412[Tanzania]&gt;0, C32-Table_1463412[Tanzania], 0)</f>
        <v>0</v>
      </c>
      <c r="N32" s="29">
        <f>IF(C32-Table_1463412[Uganda]&gt;0, C32-Table_1463412[Uganda], 0)</f>
        <v>0</v>
      </c>
      <c r="P32" s="21" t="s">
        <v>10</v>
      </c>
      <c r="Q32" s="99">
        <f t="shared" si="2"/>
        <v>8.7916055275041047E-4</v>
      </c>
      <c r="R32" s="99">
        <f t="shared" si="1"/>
        <v>8.7916055275041047E-4</v>
      </c>
      <c r="S32" s="99">
        <f t="shared" si="1"/>
        <v>8.7916055275041047E-4</v>
      </c>
      <c r="T32" s="99">
        <f t="shared" si="1"/>
        <v>8.7916055275041047E-4</v>
      </c>
      <c r="U32" s="99">
        <f t="shared" si="1"/>
        <v>0.3346921358487015</v>
      </c>
      <c r="V32" s="99">
        <f t="shared" si="1"/>
        <v>8.7916055275041047E-4</v>
      </c>
      <c r="W32" s="99">
        <f t="shared" si="1"/>
        <v>8.7916055275041047E-4</v>
      </c>
      <c r="X32" s="99">
        <f t="shared" si="1"/>
        <v>0.47271356600785053</v>
      </c>
      <c r="Y32" s="99">
        <f t="shared" si="1"/>
        <v>0.86658240462278135</v>
      </c>
      <c r="Z32" s="99">
        <f t="shared" si="1"/>
        <v>8.7916055275041047E-4</v>
      </c>
      <c r="AA32" s="99">
        <f t="shared" si="1"/>
        <v>0.20929378562173342</v>
      </c>
    </row>
    <row r="33" spans="2:31" ht="12.75" customHeight="1" thickBot="1" x14ac:dyDescent="0.3">
      <c r="B33" s="21" t="s">
        <v>10</v>
      </c>
      <c r="C33" s="97">
        <f>Annual_sorted!N29</f>
        <v>-114.87163232552396</v>
      </c>
      <c r="D33" s="29">
        <f>IF(C33-Table_1463412[Burundi]&gt;0, C33-Table_1463412[Burundi], 0)</f>
        <v>0</v>
      </c>
      <c r="E33" s="29">
        <f>IF(C33-Table_1463412[Congo]&gt;0, C33-Table_1463412[Congo], 0)</f>
        <v>0</v>
      </c>
      <c r="F33" s="29">
        <f>IF(C33-Table_1463412[Egypt]&gt;0, C33-Table_1463412[Egypt], 0)</f>
        <v>0</v>
      </c>
      <c r="G33" s="29">
        <f>IF(C33-Table_1463412[Eritrea]&gt;0, C33-Table_1463412[Eritrea], 0)</f>
        <v>0</v>
      </c>
      <c r="H33" s="29">
        <f>IF(C33-Table_1463412[Ethiopia]&gt;0, C33-Table_1463412[Ethiopia], 0)</f>
        <v>256.20706496537434</v>
      </c>
      <c r="I33" s="29">
        <f>IF(C33-Table_1463412[Kenya]&gt;0, C33-Table_1463412[Kenya], 0)</f>
        <v>0</v>
      </c>
      <c r="J33" s="29">
        <f>IF(C33-Table_1463412[Rwanda]&gt;0, C33-Table_1463412[Rwanda], 0)</f>
        <v>0</v>
      </c>
      <c r="K33" s="29">
        <f>IF(C33-Table_1463412[South Sudan]&gt;0, C33-Table_1463412[South Sudan], 0)</f>
        <v>362.14083069766127</v>
      </c>
      <c r="L33" s="29">
        <f>IF(C33-Table_1463412[Sudan]&gt;0, C33-Table_1463412[Sudan], 0)</f>
        <v>664.44177940519978</v>
      </c>
      <c r="M33" s="29">
        <f>IF(C33-Table_1463412[Tanzania]&gt;0, C33-Table_1463412[Tanzania], 0)</f>
        <v>0</v>
      </c>
      <c r="N33" s="29">
        <f>IF(C33-Table_1463412[Uganda]&gt;0, C33-Table_1463412[Uganda], 0)</f>
        <v>159.96172508705578</v>
      </c>
      <c r="P33" s="22" t="s">
        <v>11</v>
      </c>
      <c r="Q33" s="100">
        <f t="shared" si="2"/>
        <v>8.7916055275041047E-4</v>
      </c>
      <c r="R33" s="100">
        <f t="shared" si="1"/>
        <v>8.7916055275041047E-4</v>
      </c>
      <c r="S33" s="100">
        <f t="shared" si="1"/>
        <v>8.7916055275041047E-4</v>
      </c>
      <c r="T33" s="100">
        <f t="shared" si="1"/>
        <v>8.7916055275041047E-4</v>
      </c>
      <c r="U33" s="100">
        <f t="shared" si="1"/>
        <v>0.12627751077971844</v>
      </c>
      <c r="V33" s="100">
        <f t="shared" si="1"/>
        <v>8.7916055275041047E-4</v>
      </c>
      <c r="W33" s="100">
        <f t="shared" si="1"/>
        <v>8.7916055275041047E-4</v>
      </c>
      <c r="X33" s="100">
        <f t="shared" si="1"/>
        <v>0.26429894093886741</v>
      </c>
      <c r="Y33" s="100">
        <f t="shared" si="1"/>
        <v>0.65816777955379824</v>
      </c>
      <c r="Z33" s="100">
        <f t="shared" si="1"/>
        <v>8.7916055275041047E-4</v>
      </c>
      <c r="AA33" s="100">
        <f t="shared" si="1"/>
        <v>8.7916055275041047E-4</v>
      </c>
    </row>
    <row r="34" spans="2:31" ht="12.75" customHeight="1" thickBot="1" x14ac:dyDescent="0.3">
      <c r="B34" s="22" t="s">
        <v>11</v>
      </c>
      <c r="C34" s="98">
        <f>Annual_sorted!N30</f>
        <v>-274.83335741257974</v>
      </c>
      <c r="D34" s="32">
        <f>IF(C34-Table_1463412[Burundi]&gt;0, C34-Table_1463412[Burundi], 0)</f>
        <v>0</v>
      </c>
      <c r="E34" s="32">
        <f>IF(C34-Table_1463412[Congo]&gt;0, C34-Table_1463412[Congo], 0)</f>
        <v>0</v>
      </c>
      <c r="F34" s="32">
        <f>IF(C34-Table_1463412[Egypt]&gt;0, C34-Table_1463412[Egypt], 0)</f>
        <v>0</v>
      </c>
      <c r="G34" s="32">
        <f>IF(C34-Table_1463412[Eritrea]&gt;0, C34-Table_1463412[Eritrea], 0)</f>
        <v>0</v>
      </c>
      <c r="H34" s="32">
        <f>IF(C34-Table_1463412[Ethiopia]&gt;0, C34-Table_1463412[Ethiopia], 0)</f>
        <v>96.245339878318532</v>
      </c>
      <c r="I34" s="32">
        <f>IF(C34-Table_1463412[Kenya]&gt;0, C34-Table_1463412[Kenya], 0)</f>
        <v>0</v>
      </c>
      <c r="J34" s="32">
        <f>IF(C34-Table_1463412[Rwanda]&gt;0, C34-Table_1463412[Rwanda], 0)</f>
        <v>0</v>
      </c>
      <c r="K34" s="32">
        <f>IF(C34-Table_1463412[South Sudan]&gt;0, C34-Table_1463412[South Sudan], 0)</f>
        <v>202.17910561060546</v>
      </c>
      <c r="L34" s="32">
        <f>IF(C34-Table_1463412[Sudan]&gt;0, C34-Table_1463412[Sudan], 0)</f>
        <v>504.48005431814397</v>
      </c>
      <c r="M34" s="32">
        <f>IF(C34-Table_1463412[Tanzania]&gt;0, C34-Table_1463412[Tanzania], 0)</f>
        <v>0</v>
      </c>
      <c r="N34" s="32">
        <f>IF(C34-Table_1463412[Uganda]&gt;0, C34-Table_1463412[Uganda], 0)</f>
        <v>0</v>
      </c>
    </row>
    <row r="35" spans="2:31" ht="12.75" customHeight="1" x14ac:dyDescent="0.25">
      <c r="C35" s="19"/>
    </row>
    <row r="36" spans="2:31" ht="12.75" customHeight="1" x14ac:dyDescent="0.25"/>
    <row r="37" spans="2:31" ht="12.75" customHeight="1" x14ac:dyDescent="0.2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2:31" ht="12.75" customHeight="1" x14ac:dyDescent="0.25">
      <c r="B38" s="5"/>
      <c r="C38" s="5"/>
      <c r="D38" s="5"/>
      <c r="E38" s="5"/>
      <c r="F38" s="5"/>
      <c r="G38" s="5"/>
      <c r="H38" s="5"/>
      <c r="I38" s="5"/>
      <c r="J38" s="5"/>
      <c r="K38" s="5"/>
      <c r="L38" s="5"/>
      <c r="M38" s="5"/>
      <c r="N38" s="44"/>
      <c r="O38" s="5"/>
      <c r="P38" s="5"/>
      <c r="Q38" s="5"/>
      <c r="R38" s="5"/>
      <c r="S38" s="5"/>
      <c r="T38" s="5"/>
      <c r="U38" s="5"/>
      <c r="V38" s="5"/>
      <c r="W38" s="5"/>
      <c r="X38" s="5"/>
      <c r="Y38" s="5"/>
      <c r="Z38" s="5"/>
      <c r="AA38" s="5"/>
    </row>
    <row r="39" spans="2:31" ht="12.75" customHeight="1" thickBot="1" x14ac:dyDescent="0.3">
      <c r="B39" s="214" t="s">
        <v>92</v>
      </c>
      <c r="C39" s="214"/>
      <c r="D39" s="214"/>
      <c r="E39" s="214"/>
      <c r="F39" s="214"/>
      <c r="G39" s="214"/>
      <c r="H39" s="214"/>
      <c r="I39" s="214"/>
      <c r="J39" s="214"/>
      <c r="K39" s="214"/>
      <c r="L39" s="214"/>
      <c r="M39" s="214"/>
      <c r="N39" s="214"/>
      <c r="O39" s="5"/>
      <c r="P39" s="214" t="s">
        <v>93</v>
      </c>
      <c r="Q39" s="214"/>
      <c r="R39" s="214"/>
      <c r="S39" s="214"/>
      <c r="T39" s="214"/>
      <c r="U39" s="214"/>
      <c r="V39" s="214"/>
      <c r="W39" s="214"/>
      <c r="X39" s="214"/>
      <c r="Y39" s="214"/>
      <c r="Z39" s="214"/>
      <c r="AA39" s="214"/>
      <c r="AB39" s="10"/>
      <c r="AC39" s="3" t="s">
        <v>23</v>
      </c>
      <c r="AD39" s="13" t="s">
        <v>24</v>
      </c>
      <c r="AE39" s="76">
        <f t="array" ref="AE39">MIN(IF(D42:N52&gt;0,D42:N52))</f>
        <v>0.4824253961982537</v>
      </c>
    </row>
    <row r="40" spans="2:31" ht="12.75" customHeight="1" thickBot="1" x14ac:dyDescent="0.3">
      <c r="B40" s="77" t="s">
        <v>14</v>
      </c>
      <c r="C40" s="68" t="s">
        <v>15</v>
      </c>
      <c r="D40" s="69" t="s">
        <v>1</v>
      </c>
      <c r="E40" s="69" t="s">
        <v>2</v>
      </c>
      <c r="F40" s="69" t="s">
        <v>3</v>
      </c>
      <c r="G40" s="69" t="s">
        <v>4</v>
      </c>
      <c r="H40" s="69" t="s">
        <v>5</v>
      </c>
      <c r="I40" s="69" t="s">
        <v>6</v>
      </c>
      <c r="J40" s="69" t="s">
        <v>7</v>
      </c>
      <c r="K40" s="69" t="s">
        <v>9</v>
      </c>
      <c r="L40" s="69" t="s">
        <v>8</v>
      </c>
      <c r="M40" s="69" t="s">
        <v>10</v>
      </c>
      <c r="N40" s="69" t="s">
        <v>11</v>
      </c>
      <c r="P40" s="78" t="s">
        <v>20</v>
      </c>
      <c r="Q40" s="79" t="s">
        <v>1</v>
      </c>
      <c r="R40" s="79" t="s">
        <v>2</v>
      </c>
      <c r="S40" s="79" t="s">
        <v>3</v>
      </c>
      <c r="T40" s="79" t="s">
        <v>4</v>
      </c>
      <c r="U40" s="79" t="s">
        <v>5</v>
      </c>
      <c r="V40" s="79" t="s">
        <v>6</v>
      </c>
      <c r="W40" s="79" t="s">
        <v>7</v>
      </c>
      <c r="X40" s="79" t="s">
        <v>32</v>
      </c>
      <c r="Y40" s="79" t="s">
        <v>8</v>
      </c>
      <c r="Z40" s="79" t="s">
        <v>10</v>
      </c>
      <c r="AA40" s="79" t="s">
        <v>11</v>
      </c>
      <c r="AB40" s="213" t="s">
        <v>27</v>
      </c>
      <c r="AC40" s="213"/>
      <c r="AD40" s="13" t="s">
        <v>25</v>
      </c>
      <c r="AE40" s="20">
        <f>MAX(D42:N52)</f>
        <v>78.140356096001028</v>
      </c>
    </row>
    <row r="41" spans="2:31" ht="12.75" customHeight="1" x14ac:dyDescent="0.25">
      <c r="B41" s="95"/>
      <c r="C41" s="96" t="s">
        <v>83</v>
      </c>
      <c r="D41" s="97">
        <f>C42</f>
        <v>-7.0389278153489148</v>
      </c>
      <c r="E41" s="97">
        <f>C43</f>
        <v>-1.2508049586287995</v>
      </c>
      <c r="F41" s="97">
        <f>C44</f>
        <v>1.5530111565</v>
      </c>
      <c r="G41" s="97">
        <f>C45</f>
        <v>-1.8864832678842751</v>
      </c>
      <c r="H41" s="97">
        <f>C46</f>
        <v>-76.587344939501023</v>
      </c>
      <c r="I41" s="97">
        <f>C47</f>
        <v>-27.313741830070256</v>
      </c>
      <c r="J41" s="97">
        <f>C48</f>
        <v>-7.9611801143649696</v>
      </c>
      <c r="K41" s="97">
        <f>C49</f>
        <v>0.68418226249999992</v>
      </c>
      <c r="L41" s="97">
        <f>C50</f>
        <v>0.20175686630174622</v>
      </c>
      <c r="M41" s="97">
        <f>C51</f>
        <v>-58.746482885676514</v>
      </c>
      <c r="N41" s="97">
        <f>C52</f>
        <v>-60.301732442854281</v>
      </c>
      <c r="P41" s="21" t="s">
        <v>1</v>
      </c>
      <c r="Q41" s="99">
        <f>$AE$41+(D42-$AE$39)*($AE$42-$AE$41)/($AE$40-$AE$39)</f>
        <v>-5.2059723515563549E-3</v>
      </c>
      <c r="R41" s="99">
        <f t="shared" ref="R41:AA51" si="3">$AE$41+(E42-$AE$39)*($AE$42-$AE$41)/($AE$40-$AE$39)</f>
        <v>-5.2059723515563549E-3</v>
      </c>
      <c r="S41" s="99">
        <f t="shared" si="3"/>
        <v>-5.2059723515563549E-3</v>
      </c>
      <c r="T41" s="99">
        <f t="shared" si="3"/>
        <v>-5.2059723515563549E-3</v>
      </c>
      <c r="U41" s="99">
        <f t="shared" si="3"/>
        <v>0.88947236997522949</v>
      </c>
      <c r="V41" s="99">
        <f t="shared" si="3"/>
        <v>0.25561142283507671</v>
      </c>
      <c r="W41" s="99">
        <f t="shared" si="3"/>
        <v>6.6579807362301922E-3</v>
      </c>
      <c r="X41" s="99">
        <f t="shared" si="3"/>
        <v>-5.2059723515563549E-3</v>
      </c>
      <c r="Y41" s="99">
        <f t="shared" si="3"/>
        <v>-5.2059723515563549E-3</v>
      </c>
      <c r="Z41" s="99">
        <f t="shared" si="3"/>
        <v>0.65996559544285127</v>
      </c>
      <c r="AA41" s="99">
        <f t="shared" si="3"/>
        <v>0.67997249356155864</v>
      </c>
      <c r="AD41" s="3" t="s">
        <v>26</v>
      </c>
      <c r="AE41" s="2">
        <v>1E-3</v>
      </c>
    </row>
    <row r="42" spans="2:31" ht="12.75" customHeight="1" x14ac:dyDescent="0.25">
      <c r="B42" s="21" t="s">
        <v>1</v>
      </c>
      <c r="C42" s="97">
        <f>Annual_sorted!O20</f>
        <v>-7.0389278153489148</v>
      </c>
      <c r="D42" s="29">
        <f>IF(C42-Table_14634515[Burundi]&gt;0, C42-Table_14634515[Burundi], 0)</f>
        <v>0</v>
      </c>
      <c r="E42" s="29">
        <f>IF(C42-Table_14634515[Congo]&gt;0, C42-Table_14634515[Congo], 0)</f>
        <v>0</v>
      </c>
      <c r="F42" s="29">
        <f>IF(C42-Table_14634515[Egypt]&gt;0, C42-Table_14634515[Egypt], 0)</f>
        <v>0</v>
      </c>
      <c r="G42" s="29">
        <f>IF(C42-Table_14634515[Eritrea]&gt;0, C42-Table_14634515[Eritrea], 0)</f>
        <v>0</v>
      </c>
      <c r="H42" s="29">
        <f>IF(C42-Table_14634515[Ethiopia]&gt;0, C42-Table_14634515[Ethiopia], 0)</f>
        <v>69.54841712415211</v>
      </c>
      <c r="I42" s="29">
        <f>IF(C42-Table_14634515[Kenya]&gt;0, C42-Table_14634515[Kenya], 0)</f>
        <v>20.274814014721343</v>
      </c>
      <c r="J42" s="29">
        <f>IF(C42-Table_14634515[Rwanda]&gt;0, C42-Table_14634515[Rwanda], 0)</f>
        <v>0.92225229901605488</v>
      </c>
      <c r="K42" s="29">
        <f>IF(C42-Table_14634515[South Sudan]&gt;0, C42-Table_14634515[South Sudan], 0)</f>
        <v>0</v>
      </c>
      <c r="L42" s="29">
        <f>IF(C42-Table_14634515[Sudan]&gt;0, C42-Table_14634515[Sudan], 0)</f>
        <v>0</v>
      </c>
      <c r="M42" s="29">
        <f>IF(C42-Table_14634515[Tanzania]&gt;0, C42-Table_14634515[Tanzania], 0)</f>
        <v>51.707555070327601</v>
      </c>
      <c r="N42" s="29">
        <f>IF(C42-Table_14634515[Uganda]&gt;0, C42-Table_14634515[Uganda], 0)</f>
        <v>53.262804627505368</v>
      </c>
      <c r="P42" s="21" t="s">
        <v>2</v>
      </c>
      <c r="Q42" s="99">
        <f t="shared" ref="Q42:Q51" si="4">$AE$41+(D43-$AE$39)*($AE$42-$AE$41)/($AE$40-$AE$39)</f>
        <v>6.9253064629686306E-2</v>
      </c>
      <c r="R42" s="99">
        <f t="shared" si="3"/>
        <v>-5.2059723515563549E-3</v>
      </c>
      <c r="S42" s="99">
        <f t="shared" si="3"/>
        <v>-5.2059723515563549E-3</v>
      </c>
      <c r="T42" s="99">
        <f t="shared" si="3"/>
        <v>2.971462009926483E-3</v>
      </c>
      <c r="U42" s="99">
        <f t="shared" si="3"/>
        <v>0.96393140695647217</v>
      </c>
      <c r="V42" s="99">
        <f t="shared" si="3"/>
        <v>0.33007045981631933</v>
      </c>
      <c r="W42" s="99">
        <f t="shared" si="3"/>
        <v>8.1117017717472858E-2</v>
      </c>
      <c r="X42" s="99">
        <f t="shared" si="3"/>
        <v>-5.2059723515563549E-3</v>
      </c>
      <c r="Y42" s="99">
        <f t="shared" si="3"/>
        <v>-5.2059723515563549E-3</v>
      </c>
      <c r="Z42" s="99">
        <f t="shared" si="3"/>
        <v>0.73442463242409395</v>
      </c>
      <c r="AA42" s="99">
        <f t="shared" si="3"/>
        <v>0.75443153054280132</v>
      </c>
      <c r="AD42" s="3" t="s">
        <v>84</v>
      </c>
      <c r="AE42" s="2">
        <v>1</v>
      </c>
    </row>
    <row r="43" spans="2:31" ht="12.75" customHeight="1" x14ac:dyDescent="0.25">
      <c r="B43" s="21" t="s">
        <v>2</v>
      </c>
      <c r="C43" s="97">
        <f>Annual_sorted!O21</f>
        <v>-1.2508049586287995</v>
      </c>
      <c r="D43" s="29">
        <f>IF(C43-Table_14634515[Burundi]&gt;0, C43-Table_14634515[Burundi], 0)</f>
        <v>5.7881228567201148</v>
      </c>
      <c r="E43" s="29">
        <f>IF(C43-Table_14634515[Congo]&gt;0, C43-Table_14634515[Congo], 0)</f>
        <v>0</v>
      </c>
      <c r="F43" s="29">
        <f>IF(C43-Table_14634515[Egypt]&gt;0, C43-Table_14634515[Egypt], 0)</f>
        <v>0</v>
      </c>
      <c r="G43" s="29">
        <f>IF(C43-Table_14634515[Eritrea]&gt;0, C43-Table_14634515[Eritrea], 0)</f>
        <v>0.63567830925547564</v>
      </c>
      <c r="H43" s="29">
        <f>IF(C43-Table_14634515[Ethiopia]&gt;0, C43-Table_14634515[Ethiopia], 0)</f>
        <v>75.336539980872217</v>
      </c>
      <c r="I43" s="29">
        <f>IF(C43-Table_14634515[Kenya]&gt;0, C43-Table_14634515[Kenya], 0)</f>
        <v>26.062936871441458</v>
      </c>
      <c r="J43" s="29">
        <f>IF(C43-Table_14634515[Rwanda]&gt;0, C43-Table_14634515[Rwanda], 0)</f>
        <v>6.7103751557361697</v>
      </c>
      <c r="K43" s="29">
        <f>IF(C43-Table_14634515[South Sudan]&gt;0, C43-Table_14634515[South Sudan], 0)</f>
        <v>0</v>
      </c>
      <c r="L43" s="29">
        <f>IF(C43-Table_14634515[Sudan]&gt;0, C43-Table_14634515[Sudan], 0)</f>
        <v>0</v>
      </c>
      <c r="M43" s="29">
        <f>IF(C43-Table_14634515[Tanzania]&gt;0, C43-Table_14634515[Tanzania], 0)</f>
        <v>57.495677927047716</v>
      </c>
      <c r="N43" s="29">
        <f>IF(C43-Table_14634515[Uganda]&gt;0, C43-Table_14634515[Uganda], 0)</f>
        <v>59.050927484225483</v>
      </c>
      <c r="P43" s="21" t="s">
        <v>3</v>
      </c>
      <c r="Q43" s="99">
        <f t="shared" si="4"/>
        <v>0.10532165767321412</v>
      </c>
      <c r="R43" s="99">
        <f t="shared" si="3"/>
        <v>3.0862620691971449E-2</v>
      </c>
      <c r="S43" s="99">
        <f t="shared" si="3"/>
        <v>-5.2059723515563549E-3</v>
      </c>
      <c r="T43" s="99">
        <f t="shared" si="3"/>
        <v>3.9040055053454287E-2</v>
      </c>
      <c r="U43" s="99">
        <f t="shared" si="3"/>
        <v>1</v>
      </c>
      <c r="V43" s="99">
        <f t="shared" si="3"/>
        <v>0.3661390528598471</v>
      </c>
      <c r="W43" s="99">
        <f t="shared" si="3"/>
        <v>0.11718561076100066</v>
      </c>
      <c r="X43" s="99">
        <f t="shared" si="3"/>
        <v>5.9707362895896092E-3</v>
      </c>
      <c r="Y43" s="99">
        <f t="shared" si="3"/>
        <v>1.2176708641145964E-2</v>
      </c>
      <c r="Z43" s="99">
        <f t="shared" si="3"/>
        <v>0.77049322546762178</v>
      </c>
      <c r="AA43" s="99">
        <f t="shared" si="3"/>
        <v>0.79050012358632915</v>
      </c>
    </row>
    <row r="44" spans="2:31" ht="12.75" customHeight="1" x14ac:dyDescent="0.25">
      <c r="B44" s="21" t="s">
        <v>3</v>
      </c>
      <c r="C44" s="97">
        <f>Annual_sorted!O22</f>
        <v>1.5530111565</v>
      </c>
      <c r="D44" s="29">
        <f>IF(C44-Table_14634515[Burundi]&gt;0, C44-Table_14634515[Burundi], 0)</f>
        <v>8.591938971848915</v>
      </c>
      <c r="E44" s="29">
        <f>IF(C44-Table_14634515[Congo]&gt;0, C44-Table_14634515[Congo], 0)</f>
        <v>2.8038161151287992</v>
      </c>
      <c r="F44" s="29">
        <f>IF(C44-Table_14634515[Egypt]&gt;0, C44-Table_14634515[Egypt], 0)</f>
        <v>0</v>
      </c>
      <c r="G44" s="29">
        <f>IF(C44-Table_14634515[Eritrea]&gt;0, C44-Table_14634515[Eritrea], 0)</f>
        <v>3.4394944243842751</v>
      </c>
      <c r="H44" s="29">
        <f>IF(C44-Table_14634515[Ethiopia]&gt;0, C44-Table_14634515[Ethiopia], 0)</f>
        <v>78.140356096001028</v>
      </c>
      <c r="I44" s="29">
        <f>IF(C44-Table_14634515[Kenya]&gt;0, C44-Table_14634515[Kenya], 0)</f>
        <v>28.866752986570255</v>
      </c>
      <c r="J44" s="29">
        <f>IF(C44-Table_14634515[Rwanda]&gt;0, C44-Table_14634515[Rwanda], 0)</f>
        <v>9.5141912708649699</v>
      </c>
      <c r="K44" s="29">
        <f>IF(C44-Table_14634515[South Sudan]&gt;0, C44-Table_14634515[South Sudan], 0)</f>
        <v>0.86882889400000007</v>
      </c>
      <c r="L44" s="29">
        <f>IF(C44-Table_14634515[Sudan]&gt;0, C44-Table_14634515[Sudan], 0)</f>
        <v>1.3512542901982538</v>
      </c>
      <c r="M44" s="29">
        <f>IF(C44-Table_14634515[Tanzania]&gt;0, C44-Table_14634515[Tanzania], 0)</f>
        <v>60.299494042176512</v>
      </c>
      <c r="N44" s="29">
        <f>IF(C44-Table_14634515[Uganda]&gt;0, C44-Table_14634515[Uganda], 0)</f>
        <v>61.854743599354279</v>
      </c>
      <c r="P44" s="21" t="s">
        <v>4</v>
      </c>
      <c r="Q44" s="99">
        <f t="shared" si="4"/>
        <v>6.1075630268203479E-2</v>
      </c>
      <c r="R44" s="99">
        <f t="shared" si="3"/>
        <v>-5.2059723515563549E-3</v>
      </c>
      <c r="S44" s="99">
        <f t="shared" si="3"/>
        <v>-5.2059723515563549E-3</v>
      </c>
      <c r="T44" s="99">
        <f t="shared" si="3"/>
        <v>-5.2059723515563549E-3</v>
      </c>
      <c r="U44" s="99">
        <f t="shared" si="3"/>
        <v>0.9557539725949894</v>
      </c>
      <c r="V44" s="99">
        <f t="shared" si="3"/>
        <v>0.32189302545483645</v>
      </c>
      <c r="W44" s="99">
        <f t="shared" si="3"/>
        <v>7.2939583355990018E-2</v>
      </c>
      <c r="X44" s="99">
        <f t="shared" si="3"/>
        <v>-5.2059723515563549E-3</v>
      </c>
      <c r="Y44" s="99">
        <f t="shared" si="3"/>
        <v>-5.2059723515563549E-3</v>
      </c>
      <c r="Z44" s="99">
        <f t="shared" si="3"/>
        <v>0.72624719806261118</v>
      </c>
      <c r="AA44" s="99">
        <f t="shared" si="3"/>
        <v>0.74625409618131855</v>
      </c>
    </row>
    <row r="45" spans="2:31" ht="12.75" customHeight="1" x14ac:dyDescent="0.25">
      <c r="B45" s="21" t="s">
        <v>4</v>
      </c>
      <c r="C45" s="97">
        <f>Annual_sorted!O23</f>
        <v>-1.8864832678842751</v>
      </c>
      <c r="D45" s="29">
        <f>IF(C45-Table_14634515[Burundi]&gt;0, C45-Table_14634515[Burundi], 0)</f>
        <v>5.1524445474646399</v>
      </c>
      <c r="E45" s="29">
        <f>IF(C45-Table_14634515[Congo]&gt;0, C45-Table_14634515[Congo], 0)</f>
        <v>0</v>
      </c>
      <c r="F45" s="29">
        <f>IF(C45-Table_14634515[Egypt]&gt;0, C45-Table_14634515[Egypt], 0)</f>
        <v>0</v>
      </c>
      <c r="G45" s="29">
        <f>IF(C45-Table_14634515[Eritrea]&gt;0, C45-Table_14634515[Eritrea], 0)</f>
        <v>0</v>
      </c>
      <c r="H45" s="29">
        <f>IF(C45-Table_14634515[Ethiopia]&gt;0, C45-Table_14634515[Ethiopia], 0)</f>
        <v>74.70086167161675</v>
      </c>
      <c r="I45" s="29">
        <f>IF(C45-Table_14634515[Kenya]&gt;0, C45-Table_14634515[Kenya], 0)</f>
        <v>25.42725856218598</v>
      </c>
      <c r="J45" s="29">
        <f>IF(C45-Table_14634515[Rwanda]&gt;0, C45-Table_14634515[Rwanda], 0)</f>
        <v>6.0746968464806947</v>
      </c>
      <c r="K45" s="29">
        <f>IF(C45-Table_14634515[South Sudan]&gt;0, C45-Table_14634515[South Sudan], 0)</f>
        <v>0</v>
      </c>
      <c r="L45" s="29">
        <f>IF(C45-Table_14634515[Sudan]&gt;0, C45-Table_14634515[Sudan], 0)</f>
        <v>0</v>
      </c>
      <c r="M45" s="29">
        <f>IF(C45-Table_14634515[Tanzania]&gt;0, C45-Table_14634515[Tanzania], 0)</f>
        <v>56.859999617792241</v>
      </c>
      <c r="N45" s="29">
        <f>IF(C45-Table_14634515[Uganda]&gt;0, C45-Table_14634515[Uganda], 0)</f>
        <v>58.415249174970008</v>
      </c>
      <c r="P45" s="21" t="s">
        <v>5</v>
      </c>
      <c r="Q45" s="99">
        <f t="shared" si="4"/>
        <v>-5.2059723515563549E-3</v>
      </c>
      <c r="R45" s="99">
        <f t="shared" si="3"/>
        <v>-5.2059723515563549E-3</v>
      </c>
      <c r="S45" s="99">
        <f t="shared" si="3"/>
        <v>-5.2059723515563549E-3</v>
      </c>
      <c r="T45" s="99">
        <f t="shared" si="3"/>
        <v>-5.2059723515563549E-3</v>
      </c>
      <c r="U45" s="99">
        <f t="shared" si="3"/>
        <v>-5.2059723515563549E-3</v>
      </c>
      <c r="V45" s="99">
        <f t="shared" si="3"/>
        <v>-5.2059723515563549E-3</v>
      </c>
      <c r="W45" s="99">
        <f t="shared" si="3"/>
        <v>-5.2059723515563549E-3</v>
      </c>
      <c r="X45" s="99">
        <f t="shared" si="3"/>
        <v>-5.2059723515563549E-3</v>
      </c>
      <c r="Y45" s="99">
        <f t="shared" si="3"/>
        <v>-5.2059723515563549E-3</v>
      </c>
      <c r="Z45" s="99">
        <f t="shared" si="3"/>
        <v>-5.2059723515563549E-3</v>
      </c>
      <c r="AA45" s="99">
        <f t="shared" si="3"/>
        <v>-5.2059723515563549E-3</v>
      </c>
    </row>
    <row r="46" spans="2:31" ht="12.75" customHeight="1" x14ac:dyDescent="0.25">
      <c r="B46" s="21" t="s">
        <v>5</v>
      </c>
      <c r="C46" s="97">
        <f>Annual_sorted!O24</f>
        <v>-76.587344939501023</v>
      </c>
      <c r="D46" s="29">
        <f>IF(C46-Table_14634515[Burundi]&gt;0, C46-Table_14634515[Burundi], 0)</f>
        <v>0</v>
      </c>
      <c r="E46" s="29">
        <f>IF(C46-Table_14634515[Congo]&gt;0, C46-Table_14634515[Congo], 0)</f>
        <v>0</v>
      </c>
      <c r="F46" s="29">
        <f>IF(C46-Table_14634515[Egypt]&gt;0, C46-Table_14634515[Egypt], 0)</f>
        <v>0</v>
      </c>
      <c r="G46" s="29">
        <f>IF(C46-Table_14634515[Eritrea]&gt;0, C46-Table_14634515[Eritrea], 0)</f>
        <v>0</v>
      </c>
      <c r="H46" s="29">
        <f>IF(C46-Table_14634515[Ethiopia]&gt;0, C46-Table_14634515[Ethiopia], 0)</f>
        <v>0</v>
      </c>
      <c r="I46" s="29">
        <f>IF(C46-Table_14634515[Kenya]&gt;0, C46-Table_14634515[Kenya], 0)</f>
        <v>0</v>
      </c>
      <c r="J46" s="29">
        <f>IF(C46-Table_14634515[Rwanda]&gt;0, C46-Table_14634515[Rwanda], 0)</f>
        <v>0</v>
      </c>
      <c r="K46" s="29">
        <f>IF(C46-Table_14634515[South Sudan]&gt;0, C46-Table_14634515[South Sudan], 0)</f>
        <v>0</v>
      </c>
      <c r="L46" s="29">
        <f>IF(C46-Table_14634515[Sudan]&gt;0, C46-Table_14634515[Sudan], 0)</f>
        <v>0</v>
      </c>
      <c r="M46" s="29">
        <f>IF(C46-Table_14634515[Tanzania]&gt;0, C46-Table_14634515[Tanzania], 0)</f>
        <v>0</v>
      </c>
      <c r="N46" s="29">
        <f>IF(C46-Table_14634515[Uganda]&gt;0, C46-Table_14634515[Uganda], 0)</f>
        <v>0</v>
      </c>
      <c r="P46" s="21" t="s">
        <v>6</v>
      </c>
      <c r="Q46" s="99">
        <f t="shared" si="4"/>
        <v>-5.2059723515563549E-3</v>
      </c>
      <c r="R46" s="99">
        <f t="shared" si="3"/>
        <v>-5.2059723515563549E-3</v>
      </c>
      <c r="S46" s="99">
        <f t="shared" si="3"/>
        <v>-5.2059723515563549E-3</v>
      </c>
      <c r="T46" s="99">
        <f t="shared" si="3"/>
        <v>-5.2059723515563549E-3</v>
      </c>
      <c r="U46" s="99">
        <f t="shared" si="3"/>
        <v>0.62865497478859644</v>
      </c>
      <c r="V46" s="99">
        <f t="shared" si="3"/>
        <v>-5.2059723515563549E-3</v>
      </c>
      <c r="W46" s="99">
        <f t="shared" si="3"/>
        <v>-5.2059723515563549E-3</v>
      </c>
      <c r="X46" s="99">
        <f t="shared" si="3"/>
        <v>-5.2059723515563549E-3</v>
      </c>
      <c r="Y46" s="99">
        <f t="shared" si="3"/>
        <v>-5.2059723515563549E-3</v>
      </c>
      <c r="Z46" s="99">
        <f t="shared" si="3"/>
        <v>0.39914820025621828</v>
      </c>
      <c r="AA46" s="99">
        <f t="shared" si="3"/>
        <v>0.41915509837492559</v>
      </c>
    </row>
    <row r="47" spans="2:31" ht="12.75" customHeight="1" x14ac:dyDescent="0.25">
      <c r="B47" s="21" t="s">
        <v>6</v>
      </c>
      <c r="C47" s="97">
        <f>Annual_sorted!O25</f>
        <v>-27.313741830070256</v>
      </c>
      <c r="D47" s="29">
        <f>IF(C47-Table_14634515[Burundi]&gt;0, C47-Table_14634515[Burundi], 0)</f>
        <v>0</v>
      </c>
      <c r="E47" s="29">
        <f>IF(C47-Table_14634515[Congo]&gt;0, C47-Table_14634515[Congo], 0)</f>
        <v>0</v>
      </c>
      <c r="F47" s="29">
        <f>IF(C47-Table_14634515[Egypt]&gt;0, C47-Table_14634515[Egypt], 0)</f>
        <v>0</v>
      </c>
      <c r="G47" s="29">
        <f>IF(C47-Table_14634515[Eritrea]&gt;0, C47-Table_14634515[Eritrea], 0)</f>
        <v>0</v>
      </c>
      <c r="H47" s="29">
        <f>IF(C47-Table_14634515[Ethiopia]&gt;0, C47-Table_14634515[Ethiopia], 0)</f>
        <v>49.273603109430766</v>
      </c>
      <c r="I47" s="29">
        <f>IF(C47-Table_14634515[Kenya]&gt;0, C47-Table_14634515[Kenya], 0)</f>
        <v>0</v>
      </c>
      <c r="J47" s="29">
        <f>IF(C47-Table_14634515[Rwanda]&gt;0, C47-Table_14634515[Rwanda], 0)</f>
        <v>0</v>
      </c>
      <c r="K47" s="29">
        <f>IF(C47-Table_14634515[South Sudan]&gt;0, C47-Table_14634515[South Sudan], 0)</f>
        <v>0</v>
      </c>
      <c r="L47" s="29">
        <f>IF(C47-Table_14634515[Sudan]&gt;0, C47-Table_14634515[Sudan], 0)</f>
        <v>0</v>
      </c>
      <c r="M47" s="29">
        <f>IF(C47-Table_14634515[Tanzania]&gt;0, C47-Table_14634515[Tanzania], 0)</f>
        <v>31.432741055606257</v>
      </c>
      <c r="N47" s="29">
        <f>IF(C47-Table_14634515[Uganda]&gt;0, C47-Table_14634515[Uganda], 0)</f>
        <v>32.987990612784024</v>
      </c>
      <c r="P47" s="21" t="s">
        <v>7</v>
      </c>
      <c r="Q47" s="99">
        <f t="shared" si="4"/>
        <v>-5.2059723515563549E-3</v>
      </c>
      <c r="R47" s="99">
        <f t="shared" si="3"/>
        <v>-5.2059723515563549E-3</v>
      </c>
      <c r="S47" s="99">
        <f t="shared" si="3"/>
        <v>-5.2059723515563549E-3</v>
      </c>
      <c r="T47" s="99">
        <f t="shared" si="3"/>
        <v>-5.2059723515563549E-3</v>
      </c>
      <c r="U47" s="99">
        <f t="shared" si="3"/>
        <v>0.87760841688744307</v>
      </c>
      <c r="V47" s="99">
        <f t="shared" si="3"/>
        <v>0.24374746974729011</v>
      </c>
      <c r="W47" s="99">
        <f t="shared" si="3"/>
        <v>-5.2059723515563549E-3</v>
      </c>
      <c r="X47" s="99">
        <f t="shared" si="3"/>
        <v>-5.2059723515563549E-3</v>
      </c>
      <c r="Y47" s="99">
        <f t="shared" si="3"/>
        <v>-5.2059723515563549E-3</v>
      </c>
      <c r="Z47" s="99">
        <f t="shared" si="3"/>
        <v>0.64810164235506462</v>
      </c>
      <c r="AA47" s="99">
        <f t="shared" si="3"/>
        <v>0.66810854047377211</v>
      </c>
    </row>
    <row r="48" spans="2:31" ht="12.75" customHeight="1" x14ac:dyDescent="0.25">
      <c r="B48" s="21" t="s">
        <v>7</v>
      </c>
      <c r="C48" s="97">
        <f>Annual_sorted!O26</f>
        <v>-7.9611801143649696</v>
      </c>
      <c r="D48" s="29">
        <f>IF(C48-Table_14634515[Burundi]&gt;0, C48-Table_14634515[Burundi], 0)</f>
        <v>0</v>
      </c>
      <c r="E48" s="29">
        <f>IF(C48-Table_14634515[Congo]&gt;0, C48-Table_14634515[Congo], 0)</f>
        <v>0</v>
      </c>
      <c r="F48" s="29">
        <f>IF(C48-Table_14634515[Egypt]&gt;0, C48-Table_14634515[Egypt], 0)</f>
        <v>0</v>
      </c>
      <c r="G48" s="29">
        <f>IF(C48-Table_14634515[Eritrea]&gt;0, C48-Table_14634515[Eritrea], 0)</f>
        <v>0</v>
      </c>
      <c r="H48" s="29">
        <f>IF(C48-Table_14634515[Ethiopia]&gt;0, C48-Table_14634515[Ethiopia], 0)</f>
        <v>68.626164825136058</v>
      </c>
      <c r="I48" s="29">
        <f>IF(C48-Table_14634515[Kenya]&gt;0, C48-Table_14634515[Kenya], 0)</f>
        <v>19.352561715705285</v>
      </c>
      <c r="J48" s="29">
        <f>IF(C48-Table_14634515[Rwanda]&gt;0, C48-Table_14634515[Rwanda], 0)</f>
        <v>0</v>
      </c>
      <c r="K48" s="29">
        <f>IF(C48-Table_14634515[South Sudan]&gt;0, C48-Table_14634515[South Sudan], 0)</f>
        <v>0</v>
      </c>
      <c r="L48" s="29">
        <f>IF(C48-Table_14634515[Sudan]&gt;0, C48-Table_14634515[Sudan], 0)</f>
        <v>0</v>
      </c>
      <c r="M48" s="29">
        <f>IF(C48-Table_14634515[Tanzania]&gt;0, C48-Table_14634515[Tanzania], 0)</f>
        <v>50.785302771311542</v>
      </c>
      <c r="N48" s="29">
        <f>IF(C48-Table_14634515[Uganda]&gt;0, C48-Table_14634515[Uganda], 0)</f>
        <v>52.340552328489309</v>
      </c>
      <c r="P48" s="21" t="s">
        <v>38</v>
      </c>
      <c r="Q48" s="99">
        <f t="shared" si="4"/>
        <v>9.4144949032068159E-2</v>
      </c>
      <c r="R48" s="99">
        <f t="shared" si="3"/>
        <v>1.9685912050825486E-2</v>
      </c>
      <c r="S48" s="99">
        <f t="shared" si="3"/>
        <v>-5.2059723515563549E-3</v>
      </c>
      <c r="T48" s="99">
        <f t="shared" si="3"/>
        <v>2.7863346412308324E-2</v>
      </c>
      <c r="U48" s="99">
        <f t="shared" si="3"/>
        <v>0.98882329135885405</v>
      </c>
      <c r="V48" s="99">
        <f t="shared" si="3"/>
        <v>0.35496234421870121</v>
      </c>
      <c r="W48" s="99">
        <f t="shared" si="3"/>
        <v>0.10600890211985471</v>
      </c>
      <c r="X48" s="99">
        <f t="shared" si="3"/>
        <v>-5.2059723515563549E-3</v>
      </c>
      <c r="Y48" s="99">
        <f t="shared" si="3"/>
        <v>1E-3</v>
      </c>
      <c r="Z48" s="99">
        <f t="shared" si="3"/>
        <v>0.75931651682647583</v>
      </c>
      <c r="AA48" s="99">
        <f t="shared" si="3"/>
        <v>0.7793234149451832</v>
      </c>
    </row>
    <row r="49" spans="2:31" ht="12.75" customHeight="1" x14ac:dyDescent="0.25">
      <c r="B49" s="21" t="s">
        <v>9</v>
      </c>
      <c r="C49" s="97">
        <f>Annual_sorted!O27</f>
        <v>0.68418226249999992</v>
      </c>
      <c r="D49" s="29">
        <f>IF(C49-Table_14634515[Burundi]&gt;0, C49-Table_14634515[Burundi], 0)</f>
        <v>7.723110077848915</v>
      </c>
      <c r="E49" s="29">
        <f>IF(C49-Table_14634515[Congo]&gt;0, C49-Table_14634515[Congo], 0)</f>
        <v>1.9349872211287993</v>
      </c>
      <c r="F49" s="29">
        <f>IF(C49-Table_14634515[Egypt]&gt;0, C49-Table_14634515[Egypt], 0)</f>
        <v>0</v>
      </c>
      <c r="G49" s="29">
        <f>IF(C49-Table_14634515[Eritrea]&gt;0, C49-Table_14634515[Eritrea], 0)</f>
        <v>2.5706655303842751</v>
      </c>
      <c r="H49" s="29">
        <f>IF(C49-Table_14634515[Ethiopia]&gt;0, C49-Table_14634515[Ethiopia], 0)</f>
        <v>77.271527202001025</v>
      </c>
      <c r="I49" s="29">
        <f>IF(C49-Table_14634515[Kenya]&gt;0, C49-Table_14634515[Kenya], 0)</f>
        <v>27.997924092570255</v>
      </c>
      <c r="J49" s="29">
        <f>IF(C49-Table_14634515[Rwanda]&gt;0, C49-Table_14634515[Rwanda], 0)</f>
        <v>8.6453623768649699</v>
      </c>
      <c r="K49" s="29">
        <f>IF(C49-Table_14634515[South Sudan]&gt;0, C49-Table_14634515[South Sudan], 0)</f>
        <v>0</v>
      </c>
      <c r="L49" s="29">
        <f>IF(C49-Table_14634515[Sudan]&gt;0, C49-Table_14634515[Sudan], 0)</f>
        <v>0.4824253961982537</v>
      </c>
      <c r="M49" s="29">
        <f>IF(C49-Table_14634515[Tanzania]&gt;0, C49-Table_14634515[Tanzania], 0)</f>
        <v>59.430665148176516</v>
      </c>
      <c r="N49" s="29">
        <f>IF(C49-Table_14634515[Uganda]&gt;0, C49-Table_14634515[Uganda], 0)</f>
        <v>60.985914705354283</v>
      </c>
      <c r="P49" s="21" t="s">
        <v>8</v>
      </c>
      <c r="Q49" s="99">
        <f t="shared" si="4"/>
        <v>8.7938976680511802E-2</v>
      </c>
      <c r="R49" s="99">
        <f t="shared" si="3"/>
        <v>1.3479939699269132E-2</v>
      </c>
      <c r="S49" s="99">
        <f t="shared" si="3"/>
        <v>-5.2059723515563549E-3</v>
      </c>
      <c r="T49" s="99">
        <f t="shared" si="3"/>
        <v>2.1657374060751969E-2</v>
      </c>
      <c r="U49" s="99">
        <f t="shared" si="3"/>
        <v>0.98261731900729765</v>
      </c>
      <c r="V49" s="99">
        <f t="shared" si="3"/>
        <v>0.34875637186714481</v>
      </c>
      <c r="W49" s="99">
        <f t="shared" si="3"/>
        <v>9.980292976829834E-2</v>
      </c>
      <c r="X49" s="99">
        <f t="shared" si="3"/>
        <v>-5.2059723515563549E-3</v>
      </c>
      <c r="Y49" s="99">
        <f t="shared" si="3"/>
        <v>-5.2059723515563549E-3</v>
      </c>
      <c r="Z49" s="99">
        <f t="shared" si="3"/>
        <v>0.75311054447491943</v>
      </c>
      <c r="AA49" s="99">
        <f t="shared" si="3"/>
        <v>0.7731174425936268</v>
      </c>
    </row>
    <row r="50" spans="2:31" ht="12.75" customHeight="1" x14ac:dyDescent="0.25">
      <c r="B50" s="21" t="s">
        <v>8</v>
      </c>
      <c r="C50" s="97">
        <f>Annual_sorted!O28</f>
        <v>0.20175686630174622</v>
      </c>
      <c r="D50" s="29">
        <f>IF(C50-Table_14634515[Burundi]&gt;0, C50-Table_14634515[Burundi], 0)</f>
        <v>7.2406846816506611</v>
      </c>
      <c r="E50" s="29">
        <f>IF(C50-Table_14634515[Congo]&gt;0, C50-Table_14634515[Congo], 0)</f>
        <v>1.4525618249305456</v>
      </c>
      <c r="F50" s="29">
        <f>IF(C50-Table_14634515[Egypt]&gt;0, C50-Table_14634515[Egypt], 0)</f>
        <v>0</v>
      </c>
      <c r="G50" s="29">
        <f>IF(C50-Table_14634515[Eritrea]&gt;0, C50-Table_14634515[Eritrea], 0)</f>
        <v>2.0882401341860213</v>
      </c>
      <c r="H50" s="29">
        <f>IF(C50-Table_14634515[Ethiopia]&gt;0, C50-Table_14634515[Ethiopia], 0)</f>
        <v>76.789101805802773</v>
      </c>
      <c r="I50" s="29">
        <f>IF(C50-Table_14634515[Kenya]&gt;0, C50-Table_14634515[Kenya], 0)</f>
        <v>27.515498696372003</v>
      </c>
      <c r="J50" s="29">
        <f>IF(C50-Table_14634515[Rwanda]&gt;0, C50-Table_14634515[Rwanda], 0)</f>
        <v>8.162936980666716</v>
      </c>
      <c r="K50" s="29">
        <f>IF(C50-Table_14634515[South Sudan]&gt;0, C50-Table_14634515[South Sudan], 0)</f>
        <v>0</v>
      </c>
      <c r="L50" s="29">
        <f>IF(C50-Table_14634515[Sudan]&gt;0, C50-Table_14634515[Sudan], 0)</f>
        <v>0</v>
      </c>
      <c r="M50" s="29">
        <f>IF(C50-Table_14634515[Tanzania]&gt;0, C50-Table_14634515[Tanzania], 0)</f>
        <v>58.948239751978257</v>
      </c>
      <c r="N50" s="29">
        <f>IF(C50-Table_14634515[Uganda]&gt;0, C50-Table_14634515[Uganda], 0)</f>
        <v>60.503489309156024</v>
      </c>
      <c r="P50" s="21" t="s">
        <v>10</v>
      </c>
      <c r="Q50" s="99">
        <f t="shared" si="4"/>
        <v>-5.2059723515563549E-3</v>
      </c>
      <c r="R50" s="99">
        <f t="shared" si="3"/>
        <v>-5.2059723515563549E-3</v>
      </c>
      <c r="S50" s="99">
        <f t="shared" si="3"/>
        <v>-5.2059723515563549E-3</v>
      </c>
      <c r="T50" s="99">
        <f t="shared" si="3"/>
        <v>-5.2059723515563549E-3</v>
      </c>
      <c r="U50" s="99">
        <f t="shared" si="3"/>
        <v>0.22430080218082182</v>
      </c>
      <c r="V50" s="99">
        <f t="shared" si="3"/>
        <v>-5.2059723515563549E-3</v>
      </c>
      <c r="W50" s="99">
        <f t="shared" si="3"/>
        <v>-5.2059723515563549E-3</v>
      </c>
      <c r="X50" s="99">
        <f t="shared" si="3"/>
        <v>-5.2059723515563549E-3</v>
      </c>
      <c r="Y50" s="99">
        <f t="shared" si="3"/>
        <v>-5.2059723515563549E-3</v>
      </c>
      <c r="Z50" s="99">
        <f t="shared" si="3"/>
        <v>-5.2059723515563549E-3</v>
      </c>
      <c r="AA50" s="99">
        <f t="shared" si="3"/>
        <v>1.4800925767150988E-2</v>
      </c>
    </row>
    <row r="51" spans="2:31" ht="12.75" customHeight="1" thickBot="1" x14ac:dyDescent="0.3">
      <c r="B51" s="21" t="s">
        <v>10</v>
      </c>
      <c r="C51" s="97">
        <f>Annual_sorted!O29</f>
        <v>-58.746482885676514</v>
      </c>
      <c r="D51" s="29">
        <f>IF(C51-Table_14634515[Burundi]&gt;0, C51-Table_14634515[Burundi], 0)</f>
        <v>0</v>
      </c>
      <c r="E51" s="29">
        <f>IF(C51-Table_14634515[Congo]&gt;0, C51-Table_14634515[Congo], 0)</f>
        <v>0</v>
      </c>
      <c r="F51" s="29">
        <f>IF(C51-Table_14634515[Egypt]&gt;0, C51-Table_14634515[Egypt], 0)</f>
        <v>0</v>
      </c>
      <c r="G51" s="29">
        <f>IF(C51-Table_14634515[Eritrea]&gt;0, C51-Table_14634515[Eritrea], 0)</f>
        <v>0</v>
      </c>
      <c r="H51" s="29">
        <f>IF(C51-Table_14634515[Ethiopia]&gt;0, C51-Table_14634515[Ethiopia], 0)</f>
        <v>17.840862053824509</v>
      </c>
      <c r="I51" s="29">
        <f>IF(C51-Table_14634515[Kenya]&gt;0, C51-Table_14634515[Kenya], 0)</f>
        <v>0</v>
      </c>
      <c r="J51" s="29">
        <f>IF(C51-Table_14634515[Rwanda]&gt;0, C51-Table_14634515[Rwanda], 0)</f>
        <v>0</v>
      </c>
      <c r="K51" s="29">
        <f>IF(C51-Table_14634515[South Sudan]&gt;0, C51-Table_14634515[South Sudan], 0)</f>
        <v>0</v>
      </c>
      <c r="L51" s="29">
        <f>IF(C51-Table_14634515[Sudan]&gt;0, C51-Table_14634515[Sudan], 0)</f>
        <v>0</v>
      </c>
      <c r="M51" s="29">
        <f>IF(C51-Table_14634515[Tanzania]&gt;0, C51-Table_14634515[Tanzania], 0)</f>
        <v>0</v>
      </c>
      <c r="N51" s="29">
        <f>IF(C51-Table_14634515[Uganda]&gt;0, C51-Table_14634515[Uganda], 0)</f>
        <v>1.5552495571777669</v>
      </c>
      <c r="P51" s="22" t="s">
        <v>11</v>
      </c>
      <c r="Q51" s="100">
        <f t="shared" si="4"/>
        <v>-5.2059723515563549E-3</v>
      </c>
      <c r="R51" s="100">
        <f t="shared" si="3"/>
        <v>-5.2059723515563549E-3</v>
      </c>
      <c r="S51" s="100">
        <f t="shared" si="3"/>
        <v>-5.2059723515563549E-3</v>
      </c>
      <c r="T51" s="100">
        <f t="shared" si="3"/>
        <v>-5.2059723515563549E-3</v>
      </c>
      <c r="U51" s="100">
        <f t="shared" si="3"/>
        <v>0.20429390406211448</v>
      </c>
      <c r="V51" s="100">
        <f t="shared" si="3"/>
        <v>-5.2059723515563549E-3</v>
      </c>
      <c r="W51" s="100">
        <f t="shared" si="3"/>
        <v>-5.2059723515563549E-3</v>
      </c>
      <c r="X51" s="100">
        <f t="shared" si="3"/>
        <v>-5.2059723515563549E-3</v>
      </c>
      <c r="Y51" s="100">
        <f t="shared" si="3"/>
        <v>-5.2059723515563549E-3</v>
      </c>
      <c r="Z51" s="100">
        <f t="shared" si="3"/>
        <v>-5.2059723515563549E-3</v>
      </c>
      <c r="AA51" s="100">
        <f t="shared" si="3"/>
        <v>-5.2059723515563549E-3</v>
      </c>
    </row>
    <row r="52" spans="2:31" ht="12.75" customHeight="1" thickBot="1" x14ac:dyDescent="0.3">
      <c r="B52" s="22" t="s">
        <v>11</v>
      </c>
      <c r="C52" s="98">
        <f>Annual_sorted!O30</f>
        <v>-60.301732442854281</v>
      </c>
      <c r="D52" s="32">
        <f>IF(C52-Table_14634515[Burundi]&gt;0, C52-Table_14634515[Burundi], 0)</f>
        <v>0</v>
      </c>
      <c r="E52" s="32">
        <f>IF(C52-Table_14634515[Congo]&gt;0, C52-Table_14634515[Congo], 0)</f>
        <v>0</v>
      </c>
      <c r="F52" s="32">
        <f>IF(C52-Table_14634515[Egypt]&gt;0, C52-Table_14634515[Egypt], 0)</f>
        <v>0</v>
      </c>
      <c r="G52" s="32">
        <f>IF(C52-Table_14634515[Eritrea]&gt;0, C52-Table_14634515[Eritrea], 0)</f>
        <v>0</v>
      </c>
      <c r="H52" s="32">
        <f>IF(C52-Table_14634515[Ethiopia]&gt;0, C52-Table_14634515[Ethiopia], 0)</f>
        <v>16.285612496646742</v>
      </c>
      <c r="I52" s="32">
        <f>IF(C52-Table_14634515[Kenya]&gt;0, C52-Table_14634515[Kenya], 0)</f>
        <v>0</v>
      </c>
      <c r="J52" s="32">
        <f>IF(C52-Table_14634515[Rwanda]&gt;0, C52-Table_14634515[Rwanda], 0)</f>
        <v>0</v>
      </c>
      <c r="K52" s="32">
        <f>IF(C52-Table_14634515[South Sudan]&gt;0, C52-Table_14634515[South Sudan], 0)</f>
        <v>0</v>
      </c>
      <c r="L52" s="32">
        <f>IF(C52-Table_14634515[Sudan]&gt;0, C52-Table_14634515[Sudan], 0)</f>
        <v>0</v>
      </c>
      <c r="M52" s="32">
        <f>IF(C52-Table_14634515[Tanzania]&gt;0, C52-Table_14634515[Tanzania], 0)</f>
        <v>0</v>
      </c>
      <c r="N52" s="32">
        <f>IF(C52-Table_14634515[Uganda]&gt;0, C52-Table_14634515[Uganda], 0)</f>
        <v>0</v>
      </c>
    </row>
    <row r="53" spans="2:31" ht="12.75" customHeight="1" x14ac:dyDescent="0.25"/>
    <row r="54" spans="2:31" ht="12.75" customHeight="1" x14ac:dyDescent="0.25"/>
    <row r="55" spans="2:31" ht="12.75" customHeight="1" x14ac:dyDescent="0.25"/>
    <row r="56" spans="2:31" ht="12.75" customHeight="1" x14ac:dyDescent="0.25">
      <c r="B56" s="5"/>
      <c r="C56" s="5"/>
      <c r="D56" s="5"/>
      <c r="E56" s="5"/>
      <c r="F56" s="5"/>
      <c r="G56" s="5"/>
      <c r="H56" s="5"/>
      <c r="I56" s="5"/>
      <c r="J56" s="5"/>
      <c r="K56" s="5"/>
      <c r="L56" s="5"/>
      <c r="M56" s="5"/>
      <c r="N56" s="44"/>
      <c r="O56" s="5"/>
      <c r="P56" s="5"/>
      <c r="Q56" s="5"/>
      <c r="R56" s="5"/>
      <c r="S56" s="5"/>
      <c r="T56" s="5"/>
      <c r="U56" s="5"/>
      <c r="V56" s="5"/>
      <c r="W56" s="5"/>
      <c r="X56" s="5"/>
      <c r="Y56" s="5"/>
      <c r="Z56" s="5"/>
      <c r="AA56" s="5"/>
    </row>
    <row r="57" spans="2:31" ht="12.75" customHeight="1" thickBot="1" x14ac:dyDescent="0.3">
      <c r="B57" s="214" t="s">
        <v>94</v>
      </c>
      <c r="C57" s="214"/>
      <c r="D57" s="214"/>
      <c r="E57" s="214"/>
      <c r="F57" s="214"/>
      <c r="G57" s="214"/>
      <c r="H57" s="214"/>
      <c r="I57" s="214"/>
      <c r="J57" s="214"/>
      <c r="K57" s="214"/>
      <c r="L57" s="214"/>
      <c r="M57" s="214"/>
      <c r="N57" s="214"/>
      <c r="O57" s="5"/>
      <c r="P57" s="214" t="s">
        <v>95</v>
      </c>
      <c r="Q57" s="214"/>
      <c r="R57" s="214"/>
      <c r="S57" s="214"/>
      <c r="T57" s="214"/>
      <c r="U57" s="214"/>
      <c r="V57" s="214"/>
      <c r="W57" s="214"/>
      <c r="X57" s="214"/>
      <c r="Y57" s="214"/>
      <c r="Z57" s="214"/>
      <c r="AA57" s="214"/>
      <c r="AB57" s="10"/>
      <c r="AC57" s="3" t="s">
        <v>23</v>
      </c>
      <c r="AD57" s="13" t="s">
        <v>24</v>
      </c>
      <c r="AE57" s="76">
        <f t="array" ref="AE57">MIN(IF(D60:N70&gt;0,D60:N70))</f>
        <v>0.63567830925547564</v>
      </c>
    </row>
    <row r="58" spans="2:31" ht="12.75" customHeight="1" thickBot="1" x14ac:dyDescent="0.3">
      <c r="B58" s="77" t="s">
        <v>14</v>
      </c>
      <c r="C58" s="68" t="s">
        <v>15</v>
      </c>
      <c r="D58" s="69" t="s">
        <v>1</v>
      </c>
      <c r="E58" s="69" t="s">
        <v>2</v>
      </c>
      <c r="F58" s="69" t="s">
        <v>3</v>
      </c>
      <c r="G58" s="69" t="s">
        <v>4</v>
      </c>
      <c r="H58" s="69" t="s">
        <v>5</v>
      </c>
      <c r="I58" s="69" t="s">
        <v>6</v>
      </c>
      <c r="J58" s="69" t="s">
        <v>7</v>
      </c>
      <c r="K58" s="69" t="s">
        <v>9</v>
      </c>
      <c r="L58" s="69" t="s">
        <v>8</v>
      </c>
      <c r="M58" s="69" t="s">
        <v>10</v>
      </c>
      <c r="N58" s="69" t="s">
        <v>11</v>
      </c>
      <c r="P58" s="137" t="s">
        <v>20</v>
      </c>
      <c r="Q58" s="132" t="s">
        <v>1</v>
      </c>
      <c r="R58" s="132" t="s">
        <v>2</v>
      </c>
      <c r="S58" s="132" t="s">
        <v>3</v>
      </c>
      <c r="T58" s="132" t="s">
        <v>4</v>
      </c>
      <c r="U58" s="132" t="s">
        <v>5</v>
      </c>
      <c r="V58" s="132" t="s">
        <v>6</v>
      </c>
      <c r="W58" s="132" t="s">
        <v>7</v>
      </c>
      <c r="X58" s="132" t="s">
        <v>32</v>
      </c>
      <c r="Y58" s="132" t="s">
        <v>8</v>
      </c>
      <c r="Z58" s="132" t="s">
        <v>10</v>
      </c>
      <c r="AA58" s="132" t="s">
        <v>11</v>
      </c>
      <c r="AB58" s="213" t="s">
        <v>27</v>
      </c>
      <c r="AC58" s="213"/>
      <c r="AD58" s="13" t="s">
        <v>25</v>
      </c>
      <c r="AE58" s="20">
        <f>MAX(D60:N70)</f>
        <v>80.150927484225477</v>
      </c>
    </row>
    <row r="59" spans="2:31" ht="12.75" customHeight="1" x14ac:dyDescent="0.25">
      <c r="B59" s="95"/>
      <c r="C59" s="96" t="s">
        <v>83</v>
      </c>
      <c r="D59" s="97">
        <f>C60</f>
        <v>-7.0389278153489148</v>
      </c>
      <c r="E59" s="97">
        <f>C61</f>
        <v>-1.2508049586287995</v>
      </c>
      <c r="F59" s="97">
        <f>C62</f>
        <v>-54.946988843500002</v>
      </c>
      <c r="G59" s="97">
        <f>C63</f>
        <v>-1.8864832678842751</v>
      </c>
      <c r="H59" s="97">
        <f>C64</f>
        <v>-76.587344939501023</v>
      </c>
      <c r="I59" s="97">
        <f>C65</f>
        <v>-27.313741830070256</v>
      </c>
      <c r="J59" s="97">
        <f>C66</f>
        <v>-11.76118011436497</v>
      </c>
      <c r="K59" s="97">
        <f>C67</f>
        <v>-33.115817737499995</v>
      </c>
      <c r="L59" s="97">
        <f>C68</f>
        <v>-23.298243133698254</v>
      </c>
      <c r="M59" s="97">
        <f>C69</f>
        <v>-58.746482885676514</v>
      </c>
      <c r="N59" s="97">
        <f>C70</f>
        <v>-81.401732442854282</v>
      </c>
      <c r="P59" s="21" t="s">
        <v>1</v>
      </c>
      <c r="Q59" s="99">
        <f>$AE$59+(D60-$AE$57)*($AE$60-$AE$59)/($AE$58-$AE$57)</f>
        <v>-6.986425717522878E-3</v>
      </c>
      <c r="R59" s="99">
        <f t="shared" ref="R59:AA69" si="5">$AE$59+(E60-$AE$57)*($AE$60-$AE$59)/($AE$58-$AE$57)</f>
        <v>-6.986425717522878E-3</v>
      </c>
      <c r="S59" s="99">
        <f t="shared" si="5"/>
        <v>0.59491262463706596</v>
      </c>
      <c r="T59" s="99">
        <f t="shared" si="5"/>
        <v>-6.986425717522878E-3</v>
      </c>
      <c r="U59" s="99">
        <f t="shared" si="5"/>
        <v>0.86679400543150853</v>
      </c>
      <c r="V59" s="99">
        <f t="shared" si="5"/>
        <v>0.24773879253762407</v>
      </c>
      <c r="W59" s="99">
        <f t="shared" si="5"/>
        <v>5.2342194838470239E-2</v>
      </c>
      <c r="X59" s="99">
        <f t="shared" si="5"/>
        <v>0.32063391506648448</v>
      </c>
      <c r="Y59" s="99">
        <f t="shared" si="5"/>
        <v>0.19728956123548055</v>
      </c>
      <c r="Z59" s="99">
        <f t="shared" si="5"/>
        <v>0.64264805384740598</v>
      </c>
      <c r="AA59" s="99">
        <f t="shared" si="5"/>
        <v>0.92728017840779697</v>
      </c>
      <c r="AD59" s="3" t="s">
        <v>26</v>
      </c>
      <c r="AE59" s="2">
        <v>1E-3</v>
      </c>
    </row>
    <row r="60" spans="2:31" ht="12.75" customHeight="1" x14ac:dyDescent="0.25">
      <c r="B60" s="21" t="s">
        <v>1</v>
      </c>
      <c r="C60" s="97">
        <f>Annual_sorted!P20</f>
        <v>-7.0389278153489148</v>
      </c>
      <c r="D60" s="29">
        <f>IF(C60-Table_146345714[Burundi]&gt;0, C60-Table_146345714[Burundi], 0)</f>
        <v>0</v>
      </c>
      <c r="E60" s="29">
        <f>IF(C60-Table_146345714[Congo]&gt;0, C60-Table_146345714[Congo], 0)</f>
        <v>0</v>
      </c>
      <c r="F60" s="29">
        <f>IF(C60-Table_146345714[Egypt]&gt;0, C60-Table_146345714[Egypt], 0)</f>
        <v>47.908061028151089</v>
      </c>
      <c r="G60" s="29">
        <f>IF(C60-Table_146345714[Eritrea]&gt;0, C60-Table_146345714[Eritrea], 0)</f>
        <v>0</v>
      </c>
      <c r="H60" s="29">
        <f>IF(C60-Table_146345714[Ethiopia]&gt;0, C60-Table_146345714[Ethiopia], 0)</f>
        <v>69.54841712415211</v>
      </c>
      <c r="I60" s="29">
        <f>IF(C60-Table_146345714[Kenya]&gt;0, C60-Table_146345714[Kenya], 0)</f>
        <v>20.274814014721343</v>
      </c>
      <c r="J60" s="29">
        <f>IF(C60-Table_146345714[Rwanda]&gt;0, C60-Table_146345714[Rwanda], 0)</f>
        <v>4.7222522990160556</v>
      </c>
      <c r="K60" s="29">
        <f>IF(C60-Table_146345714[South Sudan]&gt;0, C60-Table_146345714[South Sudan], 0)</f>
        <v>26.076889922151082</v>
      </c>
      <c r="L60" s="29">
        <f>IF(C60-Table_146345714[Sudan]&gt;0, C60-Table_146345714[Sudan], 0)</f>
        <v>16.259315318349337</v>
      </c>
      <c r="M60" s="29">
        <f>IF(C60-Table_146345714[Tanzania]&gt;0, C60-Table_146345714[Tanzania], 0)</f>
        <v>51.707555070327601</v>
      </c>
      <c r="N60" s="29">
        <f>IF(C60-Table_146345714[Uganda]&gt;0, C60-Table_146345714[Uganda], 0)</f>
        <v>74.362804627505369</v>
      </c>
      <c r="P60" s="21" t="s">
        <v>2</v>
      </c>
      <c r="Q60" s="99">
        <f t="shared" ref="Q60:Q69" si="6">$AE$59+(D61-$AE$57)*($AE$60-$AE$59)/($AE$58-$AE$57)</f>
        <v>6.5733395874680245E-2</v>
      </c>
      <c r="R60" s="99">
        <f t="shared" si="5"/>
        <v>-6.986425717522878E-3</v>
      </c>
      <c r="S60" s="99">
        <f t="shared" si="5"/>
        <v>0.66763244622926898</v>
      </c>
      <c r="T60" s="99">
        <f t="shared" si="5"/>
        <v>1E-3</v>
      </c>
      <c r="U60" s="99">
        <f t="shared" si="5"/>
        <v>0.93951382702371167</v>
      </c>
      <c r="V60" s="99">
        <f t="shared" si="5"/>
        <v>0.32045861412982718</v>
      </c>
      <c r="W60" s="99">
        <f t="shared" si="5"/>
        <v>0.12506201643067336</v>
      </c>
      <c r="X60" s="99">
        <f t="shared" si="5"/>
        <v>0.39335373665868767</v>
      </c>
      <c r="Y60" s="99">
        <f t="shared" si="5"/>
        <v>0.27000938282768372</v>
      </c>
      <c r="Z60" s="99">
        <f t="shared" si="5"/>
        <v>0.71536787543960911</v>
      </c>
      <c r="AA60" s="99">
        <f t="shared" si="5"/>
        <v>0.99999999999999989</v>
      </c>
      <c r="AD60" s="3" t="s">
        <v>84</v>
      </c>
      <c r="AE60" s="2">
        <v>1</v>
      </c>
    </row>
    <row r="61" spans="2:31" ht="12.75" customHeight="1" x14ac:dyDescent="0.25">
      <c r="B61" s="21" t="s">
        <v>2</v>
      </c>
      <c r="C61" s="97">
        <f>Annual_sorted!P21</f>
        <v>-1.2508049586287995</v>
      </c>
      <c r="D61" s="29">
        <f>IF(C61-Table_146345714[Burundi]&gt;0, C61-Table_146345714[Burundi], 0)</f>
        <v>5.7881228567201148</v>
      </c>
      <c r="E61" s="29">
        <f>IF(C61-Table_146345714[Congo]&gt;0, C61-Table_146345714[Congo], 0)</f>
        <v>0</v>
      </c>
      <c r="F61" s="29">
        <f>IF(C61-Table_146345714[Egypt]&gt;0, C61-Table_146345714[Egypt], 0)</f>
        <v>53.696183884871203</v>
      </c>
      <c r="G61" s="29">
        <f>IF(C61-Table_146345714[Eritrea]&gt;0, C61-Table_146345714[Eritrea], 0)</f>
        <v>0.63567830925547564</v>
      </c>
      <c r="H61" s="29">
        <f>IF(C61-Table_146345714[Ethiopia]&gt;0, C61-Table_146345714[Ethiopia], 0)</f>
        <v>75.336539980872217</v>
      </c>
      <c r="I61" s="29">
        <f>IF(C61-Table_146345714[Kenya]&gt;0, C61-Table_146345714[Kenya], 0)</f>
        <v>26.062936871441458</v>
      </c>
      <c r="J61" s="29">
        <f>IF(C61-Table_146345714[Rwanda]&gt;0, C61-Table_146345714[Rwanda], 0)</f>
        <v>10.51037515573617</v>
      </c>
      <c r="K61" s="29">
        <f>IF(C61-Table_146345714[South Sudan]&gt;0, C61-Table_146345714[South Sudan], 0)</f>
        <v>31.865012778871197</v>
      </c>
      <c r="L61" s="29">
        <f>IF(C61-Table_146345714[Sudan]&gt;0, C61-Table_146345714[Sudan], 0)</f>
        <v>22.047438175069455</v>
      </c>
      <c r="M61" s="29">
        <f>IF(C61-Table_146345714[Tanzania]&gt;0, C61-Table_146345714[Tanzania], 0)</f>
        <v>57.495677927047716</v>
      </c>
      <c r="N61" s="29">
        <f>IF(C61-Table_146345714[Uganda]&gt;0, C61-Table_146345714[Uganda], 0)</f>
        <v>80.150927484225477</v>
      </c>
      <c r="P61" s="21" t="s">
        <v>3</v>
      </c>
      <c r="Q61" s="99">
        <f t="shared" si="6"/>
        <v>-6.986425717522878E-3</v>
      </c>
      <c r="R61" s="99">
        <f t="shared" si="5"/>
        <v>-6.986425717522878E-3</v>
      </c>
      <c r="S61" s="99">
        <f t="shared" si="5"/>
        <v>-6.986425717522878E-3</v>
      </c>
      <c r="T61" s="99">
        <f t="shared" si="5"/>
        <v>-6.986425717522878E-3</v>
      </c>
      <c r="U61" s="99">
        <f t="shared" si="5"/>
        <v>0.2648949550769199</v>
      </c>
      <c r="V61" s="99">
        <f t="shared" si="5"/>
        <v>-6.986425717522878E-3</v>
      </c>
      <c r="W61" s="99">
        <f t="shared" si="5"/>
        <v>-6.986425717522878E-3</v>
      </c>
      <c r="X61" s="99">
        <f t="shared" si="5"/>
        <v>-6.986425717522878E-3</v>
      </c>
      <c r="Y61" s="99">
        <f t="shared" si="5"/>
        <v>-6.986425717522878E-3</v>
      </c>
      <c r="Z61" s="99">
        <f t="shared" si="5"/>
        <v>4.0749003492817237E-2</v>
      </c>
      <c r="AA61" s="99">
        <f t="shared" si="5"/>
        <v>0.32538112805320829</v>
      </c>
    </row>
    <row r="62" spans="2:31" ht="12.75" customHeight="1" x14ac:dyDescent="0.25">
      <c r="B62" s="21" t="s">
        <v>3</v>
      </c>
      <c r="C62" s="97">
        <f>Annual_sorted!P22</f>
        <v>-54.946988843500002</v>
      </c>
      <c r="D62" s="29">
        <f>IF(C62-Table_146345714[Burundi]&gt;0, C62-Table_146345714[Burundi], 0)</f>
        <v>0</v>
      </c>
      <c r="E62" s="29">
        <f>IF(C62-Table_146345714[Congo]&gt;0, C62-Table_146345714[Congo], 0)</f>
        <v>0</v>
      </c>
      <c r="F62" s="29">
        <f>IF(C62-Table_146345714[Egypt]&gt;0, C62-Table_146345714[Egypt], 0)</f>
        <v>0</v>
      </c>
      <c r="G62" s="29">
        <f>IF(C62-Table_146345714[Eritrea]&gt;0, C62-Table_146345714[Eritrea], 0)</f>
        <v>0</v>
      </c>
      <c r="H62" s="29">
        <f>IF(C62-Table_146345714[Ethiopia]&gt;0, C62-Table_146345714[Ethiopia], 0)</f>
        <v>21.640356096001021</v>
      </c>
      <c r="I62" s="29">
        <f>IF(C62-Table_146345714[Kenya]&gt;0, C62-Table_146345714[Kenya], 0)</f>
        <v>0</v>
      </c>
      <c r="J62" s="29">
        <f>IF(C62-Table_146345714[Rwanda]&gt;0, C62-Table_146345714[Rwanda], 0)</f>
        <v>0</v>
      </c>
      <c r="K62" s="29">
        <f>IF(C62-Table_146345714[South Sudan]&gt;0, C62-Table_146345714[South Sudan], 0)</f>
        <v>0</v>
      </c>
      <c r="L62" s="29">
        <f>IF(C62-Table_146345714[Sudan]&gt;0, C62-Table_146345714[Sudan], 0)</f>
        <v>0</v>
      </c>
      <c r="M62" s="29">
        <f>IF(C62-Table_146345714[Tanzania]&gt;0, C62-Table_146345714[Tanzania], 0)</f>
        <v>3.7994940421765122</v>
      </c>
      <c r="N62" s="29">
        <f>IF(C62-Table_146345714[Uganda]&gt;0, C62-Table_146345714[Uganda], 0)</f>
        <v>26.454743599354281</v>
      </c>
      <c r="P62" s="21" t="s">
        <v>4</v>
      </c>
      <c r="Q62" s="99">
        <f t="shared" si="6"/>
        <v>5.7746970157157372E-2</v>
      </c>
      <c r="R62" s="99">
        <f t="shared" si="5"/>
        <v>-6.986425717522878E-3</v>
      </c>
      <c r="S62" s="99">
        <f t="shared" si="5"/>
        <v>0.65964602051174615</v>
      </c>
      <c r="T62" s="99">
        <f t="shared" si="5"/>
        <v>-6.986425717522878E-3</v>
      </c>
      <c r="U62" s="99">
        <f t="shared" si="5"/>
        <v>0.93152740130618883</v>
      </c>
      <c r="V62" s="99">
        <f t="shared" si="5"/>
        <v>0.31247218841230423</v>
      </c>
      <c r="W62" s="99">
        <f t="shared" si="5"/>
        <v>0.11707559071315049</v>
      </c>
      <c r="X62" s="99">
        <f t="shared" si="5"/>
        <v>0.38536731094116472</v>
      </c>
      <c r="Y62" s="99">
        <f t="shared" si="5"/>
        <v>0.26202295711016083</v>
      </c>
      <c r="Z62" s="99">
        <f t="shared" si="5"/>
        <v>0.70738144972208628</v>
      </c>
      <c r="AA62" s="99">
        <f t="shared" si="5"/>
        <v>0.99201357428247727</v>
      </c>
    </row>
    <row r="63" spans="2:31" ht="12.75" customHeight="1" x14ac:dyDescent="0.25">
      <c r="B63" s="21" t="s">
        <v>4</v>
      </c>
      <c r="C63" s="97">
        <f>Annual_sorted!P23</f>
        <v>-1.8864832678842751</v>
      </c>
      <c r="D63" s="29">
        <f>IF(C63-Table_146345714[Burundi]&gt;0, C63-Table_146345714[Burundi], 0)</f>
        <v>5.1524445474646399</v>
      </c>
      <c r="E63" s="29">
        <f>IF(C63-Table_146345714[Congo]&gt;0, C63-Table_146345714[Congo], 0)</f>
        <v>0</v>
      </c>
      <c r="F63" s="29">
        <f>IF(C63-Table_146345714[Egypt]&gt;0, C63-Table_146345714[Egypt], 0)</f>
        <v>53.060505575615728</v>
      </c>
      <c r="G63" s="29">
        <f>IF(C63-Table_146345714[Eritrea]&gt;0, C63-Table_146345714[Eritrea], 0)</f>
        <v>0</v>
      </c>
      <c r="H63" s="29">
        <f>IF(C63-Table_146345714[Ethiopia]&gt;0, C63-Table_146345714[Ethiopia], 0)</f>
        <v>74.70086167161675</v>
      </c>
      <c r="I63" s="29">
        <f>IF(C63-Table_146345714[Kenya]&gt;0, C63-Table_146345714[Kenya], 0)</f>
        <v>25.42725856218598</v>
      </c>
      <c r="J63" s="29">
        <f>IF(C63-Table_146345714[Rwanda]&gt;0, C63-Table_146345714[Rwanda], 0)</f>
        <v>9.8746968464806955</v>
      </c>
      <c r="K63" s="29">
        <f>IF(C63-Table_146345714[South Sudan]&gt;0, C63-Table_146345714[South Sudan], 0)</f>
        <v>31.229334469615718</v>
      </c>
      <c r="L63" s="29">
        <f>IF(C63-Table_146345714[Sudan]&gt;0, C63-Table_146345714[Sudan], 0)</f>
        <v>21.411759865813977</v>
      </c>
      <c r="M63" s="29">
        <f>IF(C63-Table_146345714[Tanzania]&gt;0, C63-Table_146345714[Tanzania], 0)</f>
        <v>56.859999617792241</v>
      </c>
      <c r="N63" s="29">
        <f>IF(C63-Table_146345714[Uganda]&gt;0, C63-Table_146345714[Uganda], 0)</f>
        <v>79.515249174970009</v>
      </c>
      <c r="P63" s="21" t="s">
        <v>5</v>
      </c>
      <c r="Q63" s="99">
        <f t="shared" si="6"/>
        <v>-6.986425717522878E-3</v>
      </c>
      <c r="R63" s="99">
        <f t="shared" si="5"/>
        <v>-6.986425717522878E-3</v>
      </c>
      <c r="S63" s="99">
        <f t="shared" si="5"/>
        <v>-6.986425717522878E-3</v>
      </c>
      <c r="T63" s="99">
        <f t="shared" si="5"/>
        <v>-6.986425717522878E-3</v>
      </c>
      <c r="U63" s="99">
        <f t="shared" si="5"/>
        <v>-6.986425717522878E-3</v>
      </c>
      <c r="V63" s="99">
        <f t="shared" si="5"/>
        <v>-6.986425717522878E-3</v>
      </c>
      <c r="W63" s="99">
        <f t="shared" si="5"/>
        <v>-6.986425717522878E-3</v>
      </c>
      <c r="X63" s="99">
        <f t="shared" si="5"/>
        <v>-6.986425717522878E-3</v>
      </c>
      <c r="Y63" s="99">
        <f t="shared" si="5"/>
        <v>-6.986425717522878E-3</v>
      </c>
      <c r="Z63" s="99">
        <f t="shared" si="5"/>
        <v>-6.986425717522878E-3</v>
      </c>
      <c r="AA63" s="99">
        <f t="shared" si="5"/>
        <v>5.3499747258765488E-2</v>
      </c>
    </row>
    <row r="64" spans="2:31" ht="12.75" customHeight="1" x14ac:dyDescent="0.25">
      <c r="B64" s="21" t="s">
        <v>5</v>
      </c>
      <c r="C64" s="97">
        <f>Annual_sorted!P24</f>
        <v>-76.587344939501023</v>
      </c>
      <c r="D64" s="29">
        <f>IF(C64-Table_146345714[Burundi]&gt;0, C64-Table_146345714[Burundi], 0)</f>
        <v>0</v>
      </c>
      <c r="E64" s="29">
        <f>IF(C64-Table_146345714[Congo]&gt;0, C64-Table_146345714[Congo], 0)</f>
        <v>0</v>
      </c>
      <c r="F64" s="29">
        <f>IF(C64-Table_146345714[Egypt]&gt;0, C64-Table_146345714[Egypt], 0)</f>
        <v>0</v>
      </c>
      <c r="G64" s="29">
        <f>IF(C64-Table_146345714[Eritrea]&gt;0, C64-Table_146345714[Eritrea], 0)</f>
        <v>0</v>
      </c>
      <c r="H64" s="29">
        <f>IF(C64-Table_146345714[Ethiopia]&gt;0, C64-Table_146345714[Ethiopia], 0)</f>
        <v>0</v>
      </c>
      <c r="I64" s="29">
        <f>IF(C64-Table_146345714[Kenya]&gt;0, C64-Table_146345714[Kenya], 0)</f>
        <v>0</v>
      </c>
      <c r="J64" s="29">
        <f>IF(C64-Table_146345714[Rwanda]&gt;0, C64-Table_146345714[Rwanda], 0)</f>
        <v>0</v>
      </c>
      <c r="K64" s="29">
        <f>IF(C64-Table_146345714[South Sudan]&gt;0, C64-Table_146345714[South Sudan], 0)</f>
        <v>0</v>
      </c>
      <c r="L64" s="29">
        <f>IF(C64-Table_146345714[Sudan]&gt;0, C64-Table_146345714[Sudan], 0)</f>
        <v>0</v>
      </c>
      <c r="M64" s="29">
        <f>IF(C64-Table_146345714[Tanzania]&gt;0, C64-Table_146345714[Tanzania], 0)</f>
        <v>0</v>
      </c>
      <c r="N64" s="29">
        <f>IF(C64-Table_146345714[Uganda]&gt;0, C64-Table_146345714[Uganda], 0)</f>
        <v>4.8143875033532595</v>
      </c>
      <c r="P64" s="21" t="s">
        <v>6</v>
      </c>
      <c r="Q64" s="99">
        <f t="shared" si="6"/>
        <v>-6.986425717522878E-3</v>
      </c>
      <c r="R64" s="99">
        <f t="shared" si="5"/>
        <v>-6.986425717522878E-3</v>
      </c>
      <c r="S64" s="99">
        <f t="shared" si="5"/>
        <v>0.34018740638191897</v>
      </c>
      <c r="T64" s="99">
        <f t="shared" si="5"/>
        <v>-6.986425717522878E-3</v>
      </c>
      <c r="U64" s="99">
        <f t="shared" si="5"/>
        <v>0.61206878717636182</v>
      </c>
      <c r="V64" s="99">
        <f t="shared" si="5"/>
        <v>-6.986425717522878E-3</v>
      </c>
      <c r="W64" s="99">
        <f t="shared" si="5"/>
        <v>-6.986425717522878E-3</v>
      </c>
      <c r="X64" s="99">
        <f t="shared" si="5"/>
        <v>6.5908696811337597E-2</v>
      </c>
      <c r="Y64" s="99">
        <f t="shared" si="5"/>
        <v>-6.986425717522878E-3</v>
      </c>
      <c r="Z64" s="99">
        <f t="shared" si="5"/>
        <v>0.3879228355922591</v>
      </c>
      <c r="AA64" s="99">
        <f t="shared" si="5"/>
        <v>0.67255496015265015</v>
      </c>
    </row>
    <row r="65" spans="1:31" ht="12.75" customHeight="1" x14ac:dyDescent="0.25">
      <c r="B65" s="21" t="s">
        <v>6</v>
      </c>
      <c r="C65" s="97">
        <f>Annual_sorted!P25</f>
        <v>-27.313741830070256</v>
      </c>
      <c r="D65" s="29">
        <f>IF(C65-Table_146345714[Burundi]&gt;0, C65-Table_146345714[Burundi], 0)</f>
        <v>0</v>
      </c>
      <c r="E65" s="29">
        <f>IF(C65-Table_146345714[Congo]&gt;0, C65-Table_146345714[Congo], 0)</f>
        <v>0</v>
      </c>
      <c r="F65" s="29">
        <f>IF(C65-Table_146345714[Egypt]&gt;0, C65-Table_146345714[Egypt], 0)</f>
        <v>27.633247013429745</v>
      </c>
      <c r="G65" s="29">
        <f>IF(C65-Table_146345714[Eritrea]&gt;0, C65-Table_146345714[Eritrea], 0)</f>
        <v>0</v>
      </c>
      <c r="H65" s="29">
        <f>IF(C65-Table_146345714[Ethiopia]&gt;0, C65-Table_146345714[Ethiopia], 0)</f>
        <v>49.273603109430766</v>
      </c>
      <c r="I65" s="29">
        <f>IF(C65-Table_146345714[Kenya]&gt;0, C65-Table_146345714[Kenya], 0)</f>
        <v>0</v>
      </c>
      <c r="J65" s="29">
        <f>IF(C65-Table_146345714[Rwanda]&gt;0, C65-Table_146345714[Rwanda], 0)</f>
        <v>0</v>
      </c>
      <c r="K65" s="29">
        <f>IF(C65-Table_146345714[South Sudan]&gt;0, C65-Table_146345714[South Sudan], 0)</f>
        <v>5.8020759074297388</v>
      </c>
      <c r="L65" s="29">
        <f>IF(C65-Table_146345714[Sudan]&gt;0, C65-Table_146345714[Sudan], 0)</f>
        <v>0</v>
      </c>
      <c r="M65" s="29">
        <f>IF(C65-Table_146345714[Tanzania]&gt;0, C65-Table_146345714[Tanzania], 0)</f>
        <v>31.432741055606257</v>
      </c>
      <c r="N65" s="29">
        <f>IF(C65-Table_146345714[Uganda]&gt;0, C65-Table_146345714[Uganda], 0)</f>
        <v>54.087990612784026</v>
      </c>
      <c r="P65" s="21" t="s">
        <v>7</v>
      </c>
      <c r="Q65" s="99">
        <f t="shared" si="6"/>
        <v>-6.986425717522878E-3</v>
      </c>
      <c r="R65" s="99">
        <f t="shared" si="5"/>
        <v>-6.986425717522878E-3</v>
      </c>
      <c r="S65" s="99">
        <f t="shared" si="5"/>
        <v>0.53558400408107287</v>
      </c>
      <c r="T65" s="99">
        <f t="shared" si="5"/>
        <v>-6.986425717522878E-3</v>
      </c>
      <c r="U65" s="99">
        <f t="shared" si="5"/>
        <v>0.80746538487551534</v>
      </c>
      <c r="V65" s="99">
        <f t="shared" si="5"/>
        <v>0.1884101719816309</v>
      </c>
      <c r="W65" s="99">
        <f t="shared" si="5"/>
        <v>-6.986425717522878E-3</v>
      </c>
      <c r="X65" s="99">
        <f t="shared" si="5"/>
        <v>0.26130529451049139</v>
      </c>
      <c r="Y65" s="99">
        <f t="shared" si="5"/>
        <v>0.13796094067948747</v>
      </c>
      <c r="Z65" s="99">
        <f t="shared" si="5"/>
        <v>0.58331943329141289</v>
      </c>
      <c r="AA65" s="99">
        <f t="shared" si="5"/>
        <v>0.86795155785180378</v>
      </c>
    </row>
    <row r="66" spans="1:31" ht="12.75" customHeight="1" x14ac:dyDescent="0.25">
      <c r="B66" s="21" t="s">
        <v>7</v>
      </c>
      <c r="C66" s="97">
        <f>Annual_sorted!P26</f>
        <v>-11.76118011436497</v>
      </c>
      <c r="D66" s="29">
        <f>IF(C66-Table_146345714[Burundi]&gt;0, C66-Table_146345714[Burundi], 0)</f>
        <v>0</v>
      </c>
      <c r="E66" s="29">
        <f>IF(C66-Table_146345714[Congo]&gt;0, C66-Table_146345714[Congo], 0)</f>
        <v>0</v>
      </c>
      <c r="F66" s="29">
        <f>IF(C66-Table_146345714[Egypt]&gt;0, C66-Table_146345714[Egypt], 0)</f>
        <v>43.185808729135033</v>
      </c>
      <c r="G66" s="29">
        <f>IF(C66-Table_146345714[Eritrea]&gt;0, C66-Table_146345714[Eritrea], 0)</f>
        <v>0</v>
      </c>
      <c r="H66" s="29">
        <f>IF(C66-Table_146345714[Ethiopia]&gt;0, C66-Table_146345714[Ethiopia], 0)</f>
        <v>64.826164825136047</v>
      </c>
      <c r="I66" s="29">
        <f>IF(C66-Table_146345714[Kenya]&gt;0, C66-Table_146345714[Kenya], 0)</f>
        <v>15.552561715705286</v>
      </c>
      <c r="J66" s="29">
        <f>IF(C66-Table_146345714[Rwanda]&gt;0, C66-Table_146345714[Rwanda], 0)</f>
        <v>0</v>
      </c>
      <c r="K66" s="29">
        <f>IF(C66-Table_146345714[South Sudan]&gt;0, C66-Table_146345714[South Sudan], 0)</f>
        <v>21.354637623135027</v>
      </c>
      <c r="L66" s="29">
        <f>IF(C66-Table_146345714[Sudan]&gt;0, C66-Table_146345714[Sudan], 0)</f>
        <v>11.537063019333283</v>
      </c>
      <c r="M66" s="29">
        <f>IF(C66-Table_146345714[Tanzania]&gt;0, C66-Table_146345714[Tanzania], 0)</f>
        <v>46.985302771311545</v>
      </c>
      <c r="N66" s="29">
        <f>IF(C66-Table_146345714[Uganda]&gt;0, C66-Table_146345714[Uganda], 0)</f>
        <v>69.640552328489306</v>
      </c>
      <c r="P66" s="21" t="s">
        <v>38</v>
      </c>
      <c r="Q66" s="99">
        <f t="shared" si="6"/>
        <v>-6.986425717522878E-3</v>
      </c>
      <c r="R66" s="99">
        <f t="shared" si="5"/>
        <v>-6.986425717522878E-3</v>
      </c>
      <c r="S66" s="99">
        <f t="shared" si="5"/>
        <v>0.26729228385305848</v>
      </c>
      <c r="T66" s="99">
        <f t="shared" si="5"/>
        <v>-6.986425717522878E-3</v>
      </c>
      <c r="U66" s="99">
        <f t="shared" si="5"/>
        <v>0.53917366464750138</v>
      </c>
      <c r="V66" s="99">
        <f t="shared" si="5"/>
        <v>-6.986425717522878E-3</v>
      </c>
      <c r="W66" s="99">
        <f t="shared" si="5"/>
        <v>-6.986425717522878E-3</v>
      </c>
      <c r="X66" s="99">
        <f t="shared" si="5"/>
        <v>-6.986425717522878E-3</v>
      </c>
      <c r="Y66" s="99">
        <f t="shared" si="5"/>
        <v>-6.986425717522878E-3</v>
      </c>
      <c r="Z66" s="99">
        <f t="shared" si="5"/>
        <v>0.31502771306339866</v>
      </c>
      <c r="AA66" s="99">
        <f t="shared" si="5"/>
        <v>0.5996598376237896</v>
      </c>
    </row>
    <row r="67" spans="1:31" ht="12.75" customHeight="1" x14ac:dyDescent="0.25">
      <c r="B67" s="21" t="s">
        <v>9</v>
      </c>
      <c r="C67" s="97">
        <f>Annual_sorted!P27</f>
        <v>-33.115817737499995</v>
      </c>
      <c r="D67" s="29">
        <f>IF(C67-Table_146345714[Burundi]&gt;0, C67-Table_146345714[Burundi], 0)</f>
        <v>0</v>
      </c>
      <c r="E67" s="29">
        <f>IF(C67-Table_146345714[Congo]&gt;0, C67-Table_146345714[Congo], 0)</f>
        <v>0</v>
      </c>
      <c r="F67" s="29">
        <f>IF(C67-Table_146345714[Egypt]&gt;0, C67-Table_146345714[Egypt], 0)</f>
        <v>21.831171106000006</v>
      </c>
      <c r="G67" s="29">
        <f>IF(C67-Table_146345714[Eritrea]&gt;0, C67-Table_146345714[Eritrea], 0)</f>
        <v>0</v>
      </c>
      <c r="H67" s="29">
        <f>IF(C67-Table_146345714[Ethiopia]&gt;0, C67-Table_146345714[Ethiopia], 0)</f>
        <v>43.471527202001027</v>
      </c>
      <c r="I67" s="29">
        <f>IF(C67-Table_146345714[Kenya]&gt;0, C67-Table_146345714[Kenya], 0)</f>
        <v>0</v>
      </c>
      <c r="J67" s="29">
        <f>IF(C67-Table_146345714[Rwanda]&gt;0, C67-Table_146345714[Rwanda], 0)</f>
        <v>0</v>
      </c>
      <c r="K67" s="29">
        <f>IF(C67-Table_146345714[South Sudan]&gt;0, C67-Table_146345714[South Sudan], 0)</f>
        <v>0</v>
      </c>
      <c r="L67" s="29">
        <f>IF(C67-Table_146345714[Sudan]&gt;0, C67-Table_146345714[Sudan], 0)</f>
        <v>0</v>
      </c>
      <c r="M67" s="29">
        <f>IF(C67-Table_146345714[Tanzania]&gt;0, C67-Table_146345714[Tanzania], 0)</f>
        <v>25.630665148176519</v>
      </c>
      <c r="N67" s="29">
        <f>IF(C67-Table_146345714[Uganda]&gt;0, C67-Table_146345714[Uganda], 0)</f>
        <v>48.285914705354287</v>
      </c>
      <c r="P67" s="21" t="s">
        <v>8</v>
      </c>
      <c r="Q67" s="99">
        <f t="shared" si="6"/>
        <v>-6.986425717522878E-3</v>
      </c>
      <c r="R67" s="99">
        <f t="shared" si="5"/>
        <v>-6.986425717522878E-3</v>
      </c>
      <c r="S67" s="99">
        <f t="shared" si="5"/>
        <v>0.39063663768406243</v>
      </c>
      <c r="T67" s="99">
        <f t="shared" si="5"/>
        <v>-6.986425717522878E-3</v>
      </c>
      <c r="U67" s="99">
        <f t="shared" si="5"/>
        <v>0.66251801847850533</v>
      </c>
      <c r="V67" s="99">
        <f t="shared" si="5"/>
        <v>4.3462805584620547E-2</v>
      </c>
      <c r="W67" s="99">
        <f t="shared" si="5"/>
        <v>-6.986425717522878E-3</v>
      </c>
      <c r="X67" s="99">
        <f t="shared" si="5"/>
        <v>0.11635792811348103</v>
      </c>
      <c r="Y67" s="99">
        <f t="shared" si="5"/>
        <v>-6.986425717522878E-3</v>
      </c>
      <c r="Z67" s="99">
        <f t="shared" si="5"/>
        <v>0.43837206689440261</v>
      </c>
      <c r="AA67" s="99">
        <f>$AE$59+(N68-$AE$57)*($AE$60-$AE$59)/($AE$58-$AE$57)</f>
        <v>0.72300419145479355</v>
      </c>
    </row>
    <row r="68" spans="1:31" ht="12.75" customHeight="1" x14ac:dyDescent="0.25">
      <c r="B68" s="21" t="s">
        <v>8</v>
      </c>
      <c r="C68" s="97">
        <f>Annual_sorted!P28</f>
        <v>-23.298243133698254</v>
      </c>
      <c r="D68" s="29">
        <f>IF(C68-Table_146345714[Burundi]&gt;0, C68-Table_146345714[Burundi], 0)</f>
        <v>0</v>
      </c>
      <c r="E68" s="29">
        <f>IF(C68-Table_146345714[Congo]&gt;0, C68-Table_146345714[Congo], 0)</f>
        <v>0</v>
      </c>
      <c r="F68" s="29">
        <f>IF(C68-Table_146345714[Egypt]&gt;0, C68-Table_146345714[Egypt], 0)</f>
        <v>31.648745709801748</v>
      </c>
      <c r="G68" s="29">
        <f>IF(C68-Table_146345714[Eritrea]&gt;0, C68-Table_146345714[Eritrea], 0)</f>
        <v>0</v>
      </c>
      <c r="H68" s="29">
        <f>IF(C68-Table_146345714[Ethiopia]&gt;0, C68-Table_146345714[Ethiopia], 0)</f>
        <v>53.289101805802773</v>
      </c>
      <c r="I68" s="29">
        <f>IF(C68-Table_146345714[Kenya]&gt;0, C68-Table_146345714[Kenya], 0)</f>
        <v>4.0154986963720027</v>
      </c>
      <c r="J68" s="29">
        <f>IF(C68-Table_146345714[Rwanda]&gt;0, C68-Table_146345714[Rwanda], 0)</f>
        <v>0</v>
      </c>
      <c r="K68" s="29">
        <f>IF(C68-Table_146345714[South Sudan]&gt;0, C68-Table_146345714[South Sudan], 0)</f>
        <v>9.8175746038017415</v>
      </c>
      <c r="L68" s="29">
        <f>IF(C68-Table_146345714[Sudan]&gt;0, C68-Table_146345714[Sudan], 0)</f>
        <v>0</v>
      </c>
      <c r="M68" s="29">
        <f>IF(C68-Table_146345714[Tanzania]&gt;0, C68-Table_146345714[Tanzania], 0)</f>
        <v>35.448239751978264</v>
      </c>
      <c r="N68" s="29">
        <f>IF(C68-Table_146345714[Uganda]&gt;0, C68-Table_146345714[Uganda], 0)</f>
        <v>58.103489309156032</v>
      </c>
      <c r="P68" s="21" t="s">
        <v>10</v>
      </c>
      <c r="Q68" s="99">
        <f t="shared" si="6"/>
        <v>-6.986425717522878E-3</v>
      </c>
      <c r="R68" s="99">
        <f t="shared" si="5"/>
        <v>-6.986425717522878E-3</v>
      </c>
      <c r="S68" s="99">
        <f t="shared" si="5"/>
        <v>-6.986425717522878E-3</v>
      </c>
      <c r="T68" s="99">
        <f t="shared" si="5"/>
        <v>-6.986425717522878E-3</v>
      </c>
      <c r="U68" s="99">
        <f t="shared" si="5"/>
        <v>0.2171595258665798</v>
      </c>
      <c r="V68" s="99">
        <f t="shared" si="5"/>
        <v>-6.986425717522878E-3</v>
      </c>
      <c r="W68" s="99">
        <f t="shared" si="5"/>
        <v>-6.986425717522878E-3</v>
      </c>
      <c r="X68" s="99">
        <f t="shared" si="5"/>
        <v>-6.986425717522878E-3</v>
      </c>
      <c r="Y68" s="99">
        <f t="shared" si="5"/>
        <v>-6.986425717522878E-3</v>
      </c>
      <c r="Z68" s="99">
        <f t="shared" si="5"/>
        <v>-6.986425717522878E-3</v>
      </c>
      <c r="AA68" s="99">
        <f t="shared" si="5"/>
        <v>0.27764569884286816</v>
      </c>
    </row>
    <row r="69" spans="1:31" ht="12.75" customHeight="1" thickBot="1" x14ac:dyDescent="0.3">
      <c r="B69" s="21" t="s">
        <v>10</v>
      </c>
      <c r="C69" s="97">
        <f>Annual_sorted!P29</f>
        <v>-58.746482885676514</v>
      </c>
      <c r="D69" s="29">
        <f>IF(C69-Table_146345714[Burundi]&gt;0, C69-Table_146345714[Burundi], 0)</f>
        <v>0</v>
      </c>
      <c r="E69" s="29">
        <f>IF(C69-Table_146345714[Congo]&gt;0, C69-Table_146345714[Congo], 0)</f>
        <v>0</v>
      </c>
      <c r="F69" s="29">
        <f>IF(C69-Table_146345714[Egypt]&gt;0, C69-Table_146345714[Egypt], 0)</f>
        <v>0</v>
      </c>
      <c r="G69" s="29">
        <f>IF(C69-Table_146345714[Eritrea]&gt;0, C69-Table_146345714[Eritrea], 0)</f>
        <v>0</v>
      </c>
      <c r="H69" s="29">
        <f>IF(C69-Table_146345714[Ethiopia]&gt;0, C69-Table_146345714[Ethiopia], 0)</f>
        <v>17.840862053824509</v>
      </c>
      <c r="I69" s="29">
        <f>IF(C69-Table_146345714[Kenya]&gt;0, C69-Table_146345714[Kenya], 0)</f>
        <v>0</v>
      </c>
      <c r="J69" s="29">
        <f>IF(C69-Table_146345714[Rwanda]&gt;0, C69-Table_146345714[Rwanda], 0)</f>
        <v>0</v>
      </c>
      <c r="K69" s="29">
        <f>IF(C69-Table_146345714[South Sudan]&gt;0, C69-Table_146345714[South Sudan], 0)</f>
        <v>0</v>
      </c>
      <c r="L69" s="29">
        <f>IF(C69-Table_146345714[Sudan]&gt;0, C69-Table_146345714[Sudan], 0)</f>
        <v>0</v>
      </c>
      <c r="M69" s="29">
        <f>IF(C69-Table_146345714[Tanzania]&gt;0, C69-Table_146345714[Tanzania], 0)</f>
        <v>0</v>
      </c>
      <c r="N69" s="29">
        <f>IF(C69-Table_146345714[Uganda]&gt;0, C69-Table_146345714[Uganda], 0)</f>
        <v>22.655249557177768</v>
      </c>
      <c r="P69" s="22" t="s">
        <v>11</v>
      </c>
      <c r="Q69" s="100">
        <f t="shared" si="6"/>
        <v>-6.986425717522878E-3</v>
      </c>
      <c r="R69" s="100">
        <f t="shared" si="5"/>
        <v>-6.986425717522878E-3</v>
      </c>
      <c r="S69" s="100">
        <f t="shared" si="5"/>
        <v>-6.986425717522878E-3</v>
      </c>
      <c r="T69" s="100">
        <f t="shared" si="5"/>
        <v>-6.986425717522878E-3</v>
      </c>
      <c r="U69" s="100">
        <f t="shared" si="5"/>
        <v>-6.986425717522878E-3</v>
      </c>
      <c r="V69" s="100">
        <f t="shared" si="5"/>
        <v>-6.986425717522878E-3</v>
      </c>
      <c r="W69" s="100">
        <f t="shared" si="5"/>
        <v>-6.986425717522878E-3</v>
      </c>
      <c r="X69" s="100">
        <f t="shared" si="5"/>
        <v>-6.986425717522878E-3</v>
      </c>
      <c r="Y69" s="100">
        <f t="shared" si="5"/>
        <v>-6.986425717522878E-3</v>
      </c>
      <c r="Z69" s="100">
        <f t="shared" si="5"/>
        <v>-6.986425717522878E-3</v>
      </c>
      <c r="AA69" s="100">
        <f t="shared" si="5"/>
        <v>-6.986425717522878E-3</v>
      </c>
    </row>
    <row r="70" spans="1:31" ht="12.75" customHeight="1" thickBot="1" x14ac:dyDescent="0.3">
      <c r="B70" s="22" t="s">
        <v>11</v>
      </c>
      <c r="C70" s="98">
        <f>Annual_sorted!P30</f>
        <v>-81.401732442854282</v>
      </c>
      <c r="D70" s="32">
        <f>IF(C70-Table_146345714[Burundi]&gt;0, C70-Table_146345714[Burundi], 0)</f>
        <v>0</v>
      </c>
      <c r="E70" s="32">
        <f>IF(C70-Table_146345714[Congo]&gt;0, C70-Table_146345714[Congo], 0)</f>
        <v>0</v>
      </c>
      <c r="F70" s="32">
        <f>IF(C70-Table_146345714[Egypt]&gt;0, C70-Table_146345714[Egypt], 0)</f>
        <v>0</v>
      </c>
      <c r="G70" s="32">
        <f>IF(C70-Table_146345714[Eritrea]&gt;0, C70-Table_146345714[Eritrea], 0)</f>
        <v>0</v>
      </c>
      <c r="H70" s="32">
        <f>IF(C70-Table_146345714[Ethiopia]&gt;0, C70-Table_146345714[Ethiopia], 0)</f>
        <v>0</v>
      </c>
      <c r="I70" s="32">
        <f>IF(C70-Table_146345714[Kenya]&gt;0, C70-Table_146345714[Kenya], 0)</f>
        <v>0</v>
      </c>
      <c r="J70" s="32">
        <f>IF(C70-Table_146345714[Rwanda]&gt;0, C70-Table_146345714[Rwanda], 0)</f>
        <v>0</v>
      </c>
      <c r="K70" s="32">
        <f>IF(C70-Table_146345714[South Sudan]&gt;0, C70-Table_146345714[South Sudan], 0)</f>
        <v>0</v>
      </c>
      <c r="L70" s="32">
        <f>IF(C70-Table_146345714[Sudan]&gt;0, C70-Table_146345714[Sudan], 0)</f>
        <v>0</v>
      </c>
      <c r="M70" s="32">
        <f>IF(C70-Table_146345714[Tanzania]&gt;0, C70-Table_146345714[Tanzania], 0)</f>
        <v>0</v>
      </c>
      <c r="N70" s="32">
        <f>IF(C70-Table_146345714[Uganda]&gt;0, C70-Table_146345714[Uganda], 0)</f>
        <v>0</v>
      </c>
    </row>
    <row r="71" spans="1:31" ht="12.75" customHeight="1" x14ac:dyDescent="0.25"/>
    <row r="72" spans="1:31" ht="12.75" customHeight="1" x14ac:dyDescent="0.25"/>
    <row r="73" spans="1:31" ht="12.75" customHeight="1" x14ac:dyDescent="0.25"/>
    <row r="74" spans="1:31" ht="24" customHeight="1" x14ac:dyDescent="0.25">
      <c r="A74" s="211" t="s">
        <v>97</v>
      </c>
      <c r="B74" s="211"/>
      <c r="C74" s="211"/>
      <c r="D74" s="211"/>
      <c r="E74" s="211"/>
      <c r="F74" s="211"/>
    </row>
    <row r="75" spans="1:31" ht="12.75" customHeight="1" x14ac:dyDescent="0.25"/>
    <row r="76" spans="1:31" ht="12.75" customHeight="1" x14ac:dyDescent="0.2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31" ht="12.75" customHeight="1" thickBot="1" x14ac:dyDescent="0.3">
      <c r="B77" s="214" t="s">
        <v>98</v>
      </c>
      <c r="C77" s="214"/>
      <c r="D77" s="214"/>
      <c r="E77" s="214"/>
      <c r="F77" s="214"/>
      <c r="G77" s="214"/>
      <c r="H77" s="214"/>
      <c r="I77" s="214"/>
      <c r="J77" s="214"/>
      <c r="K77" s="214"/>
      <c r="L77" s="214"/>
      <c r="M77" s="214"/>
      <c r="N77" s="214"/>
      <c r="O77" s="5"/>
      <c r="P77" s="214" t="s">
        <v>99</v>
      </c>
      <c r="Q77" s="214"/>
      <c r="R77" s="214"/>
      <c r="S77" s="214"/>
      <c r="T77" s="214"/>
      <c r="U77" s="214"/>
      <c r="V77" s="214"/>
      <c r="W77" s="214"/>
      <c r="X77" s="214"/>
      <c r="Y77" s="214"/>
      <c r="Z77" s="214"/>
      <c r="AA77" s="214"/>
      <c r="AB77" s="10"/>
      <c r="AC77" s="3" t="s">
        <v>23</v>
      </c>
      <c r="AD77" s="13" t="s">
        <v>24</v>
      </c>
      <c r="AE77" s="76">
        <f t="array" ref="AE77">MIN(IF(D80:N90&gt;0,D80:N90))</f>
        <v>6.2275836630797698</v>
      </c>
    </row>
    <row r="78" spans="1:31" ht="12.75" customHeight="1" thickBot="1" x14ac:dyDescent="0.3">
      <c r="B78" s="77" t="s">
        <v>14</v>
      </c>
      <c r="C78" s="68" t="s">
        <v>15</v>
      </c>
      <c r="D78" s="69" t="s">
        <v>1</v>
      </c>
      <c r="E78" s="69" t="s">
        <v>2</v>
      </c>
      <c r="F78" s="69" t="s">
        <v>3</v>
      </c>
      <c r="G78" s="69" t="s">
        <v>4</v>
      </c>
      <c r="H78" s="69" t="s">
        <v>5</v>
      </c>
      <c r="I78" s="69" t="s">
        <v>6</v>
      </c>
      <c r="J78" s="69" t="s">
        <v>7</v>
      </c>
      <c r="K78" s="69" t="s">
        <v>9</v>
      </c>
      <c r="L78" s="69" t="s">
        <v>8</v>
      </c>
      <c r="M78" s="69" t="s">
        <v>10</v>
      </c>
      <c r="N78" s="69" t="s">
        <v>11</v>
      </c>
      <c r="P78" s="78" t="s">
        <v>20</v>
      </c>
      <c r="Q78" s="79" t="s">
        <v>1</v>
      </c>
      <c r="R78" s="79" t="s">
        <v>2</v>
      </c>
      <c r="S78" s="79" t="s">
        <v>3</v>
      </c>
      <c r="T78" s="79" t="s">
        <v>4</v>
      </c>
      <c r="U78" s="79" t="s">
        <v>5</v>
      </c>
      <c r="V78" s="79" t="s">
        <v>6</v>
      </c>
      <c r="W78" s="79" t="s">
        <v>7</v>
      </c>
      <c r="X78" s="79" t="s">
        <v>32</v>
      </c>
      <c r="Y78" s="79" t="s">
        <v>8</v>
      </c>
      <c r="Z78" s="79" t="s">
        <v>10</v>
      </c>
      <c r="AA78" s="79" t="s">
        <v>11</v>
      </c>
      <c r="AB78" s="213" t="s">
        <v>27</v>
      </c>
      <c r="AC78" s="213"/>
      <c r="AD78" s="13" t="s">
        <v>25</v>
      </c>
      <c r="AE78" s="20">
        <f>MAX(D80:N90)</f>
        <v>1646.3233017098812</v>
      </c>
    </row>
    <row r="79" spans="1:31" ht="12.75" customHeight="1" x14ac:dyDescent="0.25">
      <c r="B79" s="95"/>
      <c r="C79" s="96" t="s">
        <v>83</v>
      </c>
      <c r="D79" s="97">
        <f>C80</f>
        <v>54.997952215514097</v>
      </c>
      <c r="E79" s="97">
        <f>C81</f>
        <v>13.958505435363101</v>
      </c>
      <c r="F79" s="97">
        <f>C82</f>
        <v>-4.1298044823100435</v>
      </c>
      <c r="G79" s="97">
        <f>C83</f>
        <v>31.368419441397421</v>
      </c>
      <c r="H79" s="97">
        <f>C84</f>
        <v>1039.9553797068711</v>
      </c>
      <c r="I79" s="97">
        <f>C85</f>
        <v>260.38919686163871</v>
      </c>
      <c r="J79" s="97">
        <f>C86</f>
        <v>98.164095330210429</v>
      </c>
      <c r="K79" s="97">
        <f>C87</f>
        <v>1072.5196557207084</v>
      </c>
      <c r="L79" s="97">
        <f>C88</f>
        <v>-573.80364598917276</v>
      </c>
      <c r="M79" s="97">
        <f>C89</f>
        <v>266.61678052471848</v>
      </c>
      <c r="N79" s="97">
        <f>C90</f>
        <v>345.60770890085467</v>
      </c>
      <c r="P79" s="21" t="s">
        <v>1</v>
      </c>
      <c r="Q79" s="99">
        <f>$AE$79+(D80-$AE$77)*($AE$80-$AE$79)/($AE$78-$AE$77)</f>
        <v>-2.7932884105238294E-3</v>
      </c>
      <c r="R79" s="99">
        <f t="shared" ref="R79:AA89" si="7">$AE$79+(E80-$AE$77)*($AE$80-$AE$79)/($AE$78-$AE$77)</f>
        <v>2.2204281476553289E-2</v>
      </c>
      <c r="S79" s="99">
        <f t="shared" si="7"/>
        <v>3.322206623686922E-2</v>
      </c>
      <c r="T79" s="99">
        <f t="shared" si="7"/>
        <v>1.159971498653092E-2</v>
      </c>
      <c r="U79" s="99">
        <f t="shared" si="7"/>
        <v>-2.7932884105238294E-3</v>
      </c>
      <c r="V79" s="99">
        <f t="shared" si="7"/>
        <v>-2.7932884105238294E-3</v>
      </c>
      <c r="W79" s="99">
        <f t="shared" si="7"/>
        <v>-2.7932884105238294E-3</v>
      </c>
      <c r="X79" s="99">
        <f t="shared" si="7"/>
        <v>-2.7932884105238294E-3</v>
      </c>
      <c r="Y79" s="99">
        <f t="shared" si="7"/>
        <v>0.38021655040216235</v>
      </c>
      <c r="Z79" s="99">
        <f t="shared" si="7"/>
        <v>-2.7932884105238294E-3</v>
      </c>
      <c r="AA79" s="99">
        <f t="shared" si="7"/>
        <v>-2.7932884105238294E-3</v>
      </c>
      <c r="AD79" s="3" t="s">
        <v>26</v>
      </c>
      <c r="AE79" s="2">
        <v>1E-3</v>
      </c>
    </row>
    <row r="80" spans="1:31" ht="12.75" customHeight="1" x14ac:dyDescent="0.25">
      <c r="B80" s="21" t="s">
        <v>1</v>
      </c>
      <c r="C80" s="97">
        <f>Annual_sorted!F20</f>
        <v>54.997952215514097</v>
      </c>
      <c r="D80" s="29">
        <f>IF(C80-Table_1463457813[Burundi]&gt;0, C80-Table_1463457813[Burundi], 0)</f>
        <v>0</v>
      </c>
      <c r="E80" s="29">
        <f>IF(C80-Table_1463457813[Congo]&gt;0, C80-Table_1463457813[Congo], 0)</f>
        <v>41.039446780150996</v>
      </c>
      <c r="F80" s="29">
        <f>IF(C80-Table_1463457813[Egypt]&gt;0, C80-Table_1463457813[Egypt], 0)</f>
        <v>59.12775669782414</v>
      </c>
      <c r="G80" s="29">
        <f>IF(C80-Table_1463457813[Eritrea]&gt;0, C80-Table_1463457813[Eritrea], 0)</f>
        <v>23.629532774116676</v>
      </c>
      <c r="H80" s="29">
        <f>IF(C80-Table_1463457813[Ethiopia]&gt;0, C80-Table_1463457813[Ethiopia], 0)</f>
        <v>0</v>
      </c>
      <c r="I80" s="29">
        <f>IF(C80-Table_1463457813[Kenya]&gt;0, C80-Table_1463457813[Kenya], 0)</f>
        <v>0</v>
      </c>
      <c r="J80" s="29">
        <f>IF(C80-Table_1463457813[Rwanda]&gt;0, C80-Table_1463457813[Rwanda], 0)</f>
        <v>0</v>
      </c>
      <c r="K80" s="29">
        <f>IF(C80-Table_1463457813[South Sudan]&gt;0, C80-Table_1463457813[South Sudan], 0)</f>
        <v>0</v>
      </c>
      <c r="L80" s="29">
        <f>IF(C80-Table_1463457813[Sudan]&gt;0, C80-Table_1463457813[Sudan], 0)</f>
        <v>628.80159820468691</v>
      </c>
      <c r="M80" s="29">
        <f>IF(C80-Table_1463457813[Tanzania]&gt;0, C80-Table_1463457813[Tanzania], 0)</f>
        <v>0</v>
      </c>
      <c r="N80" s="29">
        <f>IF(C80-Table_1463457813[Uganda]&gt;0, C80-Table_1463457813[Uganda], 0)</f>
        <v>0</v>
      </c>
      <c r="P80" s="21" t="s">
        <v>2</v>
      </c>
      <c r="Q80" s="99">
        <f t="shared" ref="Q80:Q89" si="8">$AE$79+(D81-$AE$77)*($AE$80-$AE$79)/($AE$78-$AE$77)</f>
        <v>-2.7932884105238294E-3</v>
      </c>
      <c r="R80" s="99">
        <f t="shared" si="7"/>
        <v>-2.7932884105238294E-3</v>
      </c>
      <c r="S80" s="99">
        <f t="shared" si="7"/>
        <v>8.2244963497921063E-3</v>
      </c>
      <c r="T80" s="99">
        <f t="shared" si="7"/>
        <v>-2.7932884105238294E-3</v>
      </c>
      <c r="U80" s="99">
        <f t="shared" si="7"/>
        <v>-2.7932884105238294E-3</v>
      </c>
      <c r="V80" s="99">
        <f t="shared" si="7"/>
        <v>-2.7932884105238294E-3</v>
      </c>
      <c r="W80" s="99">
        <f t="shared" si="7"/>
        <v>-2.7932884105238294E-3</v>
      </c>
      <c r="X80" s="99">
        <f t="shared" si="7"/>
        <v>-2.7932884105238294E-3</v>
      </c>
      <c r="Y80" s="99">
        <f t="shared" si="7"/>
        <v>0.35521898051508527</v>
      </c>
      <c r="Z80" s="99">
        <f t="shared" si="7"/>
        <v>-2.7932884105238294E-3</v>
      </c>
      <c r="AA80" s="99">
        <f t="shared" si="7"/>
        <v>-2.7932884105238294E-3</v>
      </c>
      <c r="AD80" s="3" t="s">
        <v>84</v>
      </c>
      <c r="AE80" s="2">
        <v>1</v>
      </c>
    </row>
    <row r="81" spans="2:31" ht="12.75" customHeight="1" x14ac:dyDescent="0.25">
      <c r="B81" s="21" t="s">
        <v>2</v>
      </c>
      <c r="C81" s="97">
        <f>Annual_sorted!F21</f>
        <v>13.958505435363101</v>
      </c>
      <c r="D81" s="29">
        <f>IF(C81-Table_1463457813[Burundi]&gt;0, C81-Table_1463457813[Burundi], 0)</f>
        <v>0</v>
      </c>
      <c r="E81" s="29">
        <f>IF(C81-Table_1463457813[Congo]&gt;0, C81-Table_1463457813[Congo], 0)</f>
        <v>0</v>
      </c>
      <c r="F81" s="29">
        <f>IF(C81-Table_1463457813[Egypt]&gt;0, C81-Table_1463457813[Egypt], 0)</f>
        <v>18.088309917673143</v>
      </c>
      <c r="G81" s="29">
        <f>IF(C81-Table_1463457813[Eritrea]&gt;0, C81-Table_1463457813[Eritrea], 0)</f>
        <v>0</v>
      </c>
      <c r="H81" s="29">
        <f>IF(C81-Table_1463457813[Ethiopia]&gt;0, C81-Table_1463457813[Ethiopia], 0)</f>
        <v>0</v>
      </c>
      <c r="I81" s="29">
        <f>IF(C81-Table_1463457813[Kenya]&gt;0, C81-Table_1463457813[Kenya], 0)</f>
        <v>0</v>
      </c>
      <c r="J81" s="29">
        <f>IF(C81-Table_1463457813[Rwanda]&gt;0, C81-Table_1463457813[Rwanda], 0)</f>
        <v>0</v>
      </c>
      <c r="K81" s="29">
        <f>IF(C81-Table_1463457813[South Sudan]&gt;0, C81-Table_1463457813[South Sudan], 0)</f>
        <v>0</v>
      </c>
      <c r="L81" s="29">
        <f>IF(C81-Table_1463457813[Sudan]&gt;0, C81-Table_1463457813[Sudan], 0)</f>
        <v>587.76215142453589</v>
      </c>
      <c r="M81" s="29">
        <f>IF(C81-Table_1463457813[Tanzania]&gt;0, C81-Table_1463457813[Tanzania], 0)</f>
        <v>0</v>
      </c>
      <c r="N81" s="29">
        <f>IF(C81-Table_1463457813[Uganda]&gt;0, C81-Table_1463457813[Uganda], 0)</f>
        <v>0</v>
      </c>
      <c r="P81" s="21" t="s">
        <v>3</v>
      </c>
      <c r="Q81" s="99">
        <f t="shared" si="8"/>
        <v>-2.7932884105238294E-3</v>
      </c>
      <c r="R81" s="99">
        <f t="shared" si="7"/>
        <v>-2.7932884105238294E-3</v>
      </c>
      <c r="S81" s="99">
        <f t="shared" si="7"/>
        <v>-2.7932884105238294E-3</v>
      </c>
      <c r="T81" s="99">
        <f t="shared" si="7"/>
        <v>-2.7932884105238294E-3</v>
      </c>
      <c r="U81" s="99">
        <f t="shared" si="7"/>
        <v>-2.7932884105238294E-3</v>
      </c>
      <c r="V81" s="99">
        <f t="shared" si="7"/>
        <v>-2.7932884105238294E-3</v>
      </c>
      <c r="W81" s="99">
        <f t="shared" si="7"/>
        <v>-2.7932884105238294E-3</v>
      </c>
      <c r="X81" s="99">
        <f t="shared" si="7"/>
        <v>-2.7932884105238294E-3</v>
      </c>
      <c r="Y81" s="99">
        <f t="shared" si="7"/>
        <v>0.34420119575476921</v>
      </c>
      <c r="Z81" s="99">
        <f t="shared" si="7"/>
        <v>-2.7932884105238294E-3</v>
      </c>
      <c r="AA81" s="99">
        <f t="shared" si="7"/>
        <v>-2.7932884105238294E-3</v>
      </c>
    </row>
    <row r="82" spans="2:31" ht="12.75" customHeight="1" x14ac:dyDescent="0.25">
      <c r="B82" s="21" t="s">
        <v>3</v>
      </c>
      <c r="C82" s="97">
        <f>Annual_sorted!F22</f>
        <v>-4.1298044823100435</v>
      </c>
      <c r="D82" s="29">
        <f>IF(C82-Table_1463457813[Burundi]&gt;0, C82-Table_1463457813[Burundi], 0)</f>
        <v>0</v>
      </c>
      <c r="E82" s="29">
        <f>IF(C82-Table_1463457813[Congo]&gt;0, C82-Table_1463457813[Congo], 0)</f>
        <v>0</v>
      </c>
      <c r="F82" s="29">
        <f>IF(C82-Table_1463457813[Egypt]&gt;0, C82-Table_1463457813[Egypt], 0)</f>
        <v>0</v>
      </c>
      <c r="G82" s="29">
        <f>IF(C82-Table_1463457813[Eritrea]&gt;0, C82-Table_1463457813[Eritrea], 0)</f>
        <v>0</v>
      </c>
      <c r="H82" s="29">
        <f>IF(C82-Table_1463457813[Ethiopia]&gt;0, C82-Table_1463457813[Ethiopia], 0)</f>
        <v>0</v>
      </c>
      <c r="I82" s="29">
        <f>IF(C82-Table_1463457813[Kenya]&gt;0, C82-Table_1463457813[Kenya], 0)</f>
        <v>0</v>
      </c>
      <c r="J82" s="29">
        <f>IF(C82-Table_1463457813[Rwanda]&gt;0, C82-Table_1463457813[Rwanda], 0)</f>
        <v>0</v>
      </c>
      <c r="K82" s="29">
        <f>IF(C82-Table_1463457813[South Sudan]&gt;0, C82-Table_1463457813[South Sudan], 0)</f>
        <v>0</v>
      </c>
      <c r="L82" s="29">
        <f>IF(C82-Table_1463457813[Sudan]&gt;0, C82-Table_1463457813[Sudan], 0)</f>
        <v>569.67384150686269</v>
      </c>
      <c r="M82" s="29">
        <f>IF(C82-Table_1463457813[Tanzania]&gt;0, C82-Table_1463457813[Tanzania], 0)</f>
        <v>0</v>
      </c>
      <c r="N82" s="29">
        <f>IF(C82-Table_1463457813[Uganda]&gt;0, C82-Table_1463457813[Uganda], 0)</f>
        <v>0</v>
      </c>
      <c r="P82" s="21" t="s">
        <v>4</v>
      </c>
      <c r="Q82" s="99">
        <f t="shared" si="8"/>
        <v>-2.7932884105238294E-3</v>
      </c>
      <c r="R82" s="99">
        <f t="shared" si="7"/>
        <v>7.8112780794985393E-3</v>
      </c>
      <c r="S82" s="99">
        <f t="shared" si="7"/>
        <v>1.8829062839814475E-2</v>
      </c>
      <c r="T82" s="99">
        <f t="shared" si="7"/>
        <v>-2.7932884105238294E-3</v>
      </c>
      <c r="U82" s="99">
        <f t="shared" si="7"/>
        <v>-2.7932884105238294E-3</v>
      </c>
      <c r="V82" s="99">
        <f t="shared" si="7"/>
        <v>-2.7932884105238294E-3</v>
      </c>
      <c r="W82" s="99">
        <f t="shared" si="7"/>
        <v>-2.7932884105238294E-3</v>
      </c>
      <c r="X82" s="99">
        <f t="shared" si="7"/>
        <v>-2.7932884105238294E-3</v>
      </c>
      <c r="Y82" s="99">
        <f t="shared" si="7"/>
        <v>0.36582354700510761</v>
      </c>
      <c r="Z82" s="99">
        <f t="shared" si="7"/>
        <v>-2.7932884105238294E-3</v>
      </c>
      <c r="AA82" s="99">
        <f t="shared" si="7"/>
        <v>-2.7932884105238294E-3</v>
      </c>
    </row>
    <row r="83" spans="2:31" ht="12.75" customHeight="1" x14ac:dyDescent="0.25">
      <c r="B83" s="21" t="s">
        <v>4</v>
      </c>
      <c r="C83" s="97">
        <f>Annual_sorted!F23</f>
        <v>31.368419441397421</v>
      </c>
      <c r="D83" s="29">
        <f>IF(C83-Table_1463457813[Burundi]&gt;0, C83-Table_1463457813[Burundi], 0)</f>
        <v>0</v>
      </c>
      <c r="E83" s="29">
        <f>IF(C83-Table_1463457813[Congo]&gt;0, C83-Table_1463457813[Congo], 0)</f>
        <v>17.40991400603432</v>
      </c>
      <c r="F83" s="29">
        <f>IF(C83-Table_1463457813[Egypt]&gt;0, C83-Table_1463457813[Egypt], 0)</f>
        <v>35.498223923707464</v>
      </c>
      <c r="G83" s="29">
        <f>IF(C83-Table_1463457813[Eritrea]&gt;0, C83-Table_1463457813[Eritrea], 0)</f>
        <v>0</v>
      </c>
      <c r="H83" s="29">
        <f>IF(C83-Table_1463457813[Ethiopia]&gt;0, C83-Table_1463457813[Ethiopia], 0)</f>
        <v>0</v>
      </c>
      <c r="I83" s="29">
        <f>IF(C83-Table_1463457813[Kenya]&gt;0, C83-Table_1463457813[Kenya], 0)</f>
        <v>0</v>
      </c>
      <c r="J83" s="29">
        <f>IF(C83-Table_1463457813[Rwanda]&gt;0, C83-Table_1463457813[Rwanda], 0)</f>
        <v>0</v>
      </c>
      <c r="K83" s="29">
        <f>IF(C83-Table_1463457813[South Sudan]&gt;0, C83-Table_1463457813[South Sudan], 0)</f>
        <v>0</v>
      </c>
      <c r="L83" s="29">
        <f>IF(C83-Table_1463457813[Sudan]&gt;0, C83-Table_1463457813[Sudan], 0)</f>
        <v>605.17206543057023</v>
      </c>
      <c r="M83" s="29">
        <f>IF(C83-Table_1463457813[Tanzania]&gt;0, C83-Table_1463457813[Tanzania], 0)</f>
        <v>0</v>
      </c>
      <c r="N83" s="29">
        <f>IF(C83-Table_1463457813[Uganda]&gt;0, C83-Table_1463457813[Uganda], 0)</f>
        <v>0</v>
      </c>
      <c r="P83" s="21" t="s">
        <v>5</v>
      </c>
      <c r="Q83" s="99">
        <f t="shared" si="8"/>
        <v>0.59715490926886738</v>
      </c>
      <c r="R83" s="99">
        <f t="shared" si="7"/>
        <v>0.62215247915594463</v>
      </c>
      <c r="S83" s="99">
        <f t="shared" si="7"/>
        <v>0.63317026391626041</v>
      </c>
      <c r="T83" s="99">
        <f t="shared" si="7"/>
        <v>0.61154791266592223</v>
      </c>
      <c r="U83" s="99">
        <f t="shared" si="7"/>
        <v>-2.7932884105238294E-3</v>
      </c>
      <c r="V83" s="99">
        <f t="shared" si="7"/>
        <v>0.47204888579492327</v>
      </c>
      <c r="W83" s="99">
        <f t="shared" si="7"/>
        <v>0.57086194569541393</v>
      </c>
      <c r="X83" s="99">
        <f t="shared" si="7"/>
        <v>-2.7932884105238294E-3</v>
      </c>
      <c r="Y83" s="99">
        <f t="shared" si="7"/>
        <v>0.98016474808155363</v>
      </c>
      <c r="Z83" s="99">
        <f t="shared" si="7"/>
        <v>0.46825559738439948</v>
      </c>
      <c r="AA83" s="99">
        <f t="shared" si="7"/>
        <v>0.42014137052589834</v>
      </c>
    </row>
    <row r="84" spans="2:31" ht="12.75" customHeight="1" x14ac:dyDescent="0.25">
      <c r="B84" s="21" t="s">
        <v>5</v>
      </c>
      <c r="C84" s="97">
        <f>Annual_sorted!F24</f>
        <v>1039.9553797068711</v>
      </c>
      <c r="D84" s="29">
        <f>IF(C84-Table_1463457813[Burundi]&gt;0, C84-Table_1463457813[Burundi], 0)</f>
        <v>984.95742749135695</v>
      </c>
      <c r="E84" s="29">
        <f>IF(C84-Table_1463457813[Congo]&gt;0, C84-Table_1463457813[Congo], 0)</f>
        <v>1025.996874271508</v>
      </c>
      <c r="F84" s="29">
        <f>IF(C84-Table_1463457813[Egypt]&gt;0, C84-Table_1463457813[Egypt], 0)</f>
        <v>1044.0851841891811</v>
      </c>
      <c r="G84" s="29">
        <f>IF(C84-Table_1463457813[Eritrea]&gt;0, C84-Table_1463457813[Eritrea], 0)</f>
        <v>1008.5869602654736</v>
      </c>
      <c r="H84" s="29">
        <f>IF(C84-Table_1463457813[Ethiopia]&gt;0, C84-Table_1463457813[Ethiopia], 0)</f>
        <v>0</v>
      </c>
      <c r="I84" s="29">
        <f>IF(C84-Table_1463457813[Kenya]&gt;0, C84-Table_1463457813[Kenya], 0)</f>
        <v>779.56618284523233</v>
      </c>
      <c r="J84" s="29">
        <f>IF(C84-Table_1463457813[Rwanda]&gt;0, C84-Table_1463457813[Rwanda], 0)</f>
        <v>941.79128437666066</v>
      </c>
      <c r="K84" s="29">
        <f>IF(C84-Table_1463457813[South Sudan]&gt;0, C84-Table_1463457813[South Sudan], 0)</f>
        <v>0</v>
      </c>
      <c r="L84" s="29">
        <f>IF(C84-Table_1463457813[Sudan]&gt;0, C84-Table_1463457813[Sudan], 0)</f>
        <v>1613.7590256960439</v>
      </c>
      <c r="M84" s="29">
        <f>IF(C84-Table_1463457813[Tanzania]&gt;0, C84-Table_1463457813[Tanzania], 0)</f>
        <v>773.33859918215262</v>
      </c>
      <c r="N84" s="29">
        <f>IF(C84-Table_1463457813[Uganda]&gt;0, C84-Table_1463457813[Uganda], 0)</f>
        <v>694.34767080601637</v>
      </c>
      <c r="P84" s="21" t="s">
        <v>6</v>
      </c>
      <c r="Q84" s="99">
        <f t="shared" si="8"/>
        <v>0.12231273506342037</v>
      </c>
      <c r="R84" s="99">
        <f t="shared" si="7"/>
        <v>0.14731030495049749</v>
      </c>
      <c r="S84" s="99">
        <f t="shared" si="7"/>
        <v>0.15832808971081339</v>
      </c>
      <c r="T84" s="99">
        <f t="shared" si="7"/>
        <v>0.13670573846047512</v>
      </c>
      <c r="U84" s="99">
        <f t="shared" si="7"/>
        <v>-2.7932884105238294E-3</v>
      </c>
      <c r="V84" s="99">
        <f t="shared" si="7"/>
        <v>-2.7932884105238294E-3</v>
      </c>
      <c r="W84" s="99">
        <f t="shared" si="7"/>
        <v>9.6019771489966835E-2</v>
      </c>
      <c r="X84" s="99">
        <f t="shared" si="7"/>
        <v>-2.7932884105238294E-3</v>
      </c>
      <c r="Y84" s="99">
        <f t="shared" si="7"/>
        <v>0.50532257387610657</v>
      </c>
      <c r="Z84" s="99">
        <f t="shared" si="7"/>
        <v>-2.7932884105238294E-3</v>
      </c>
      <c r="AA84" s="99">
        <f t="shared" si="7"/>
        <v>-2.7932884105238294E-3</v>
      </c>
    </row>
    <row r="85" spans="2:31" ht="12.75" customHeight="1" x14ac:dyDescent="0.25">
      <c r="B85" s="21" t="s">
        <v>6</v>
      </c>
      <c r="C85" s="97">
        <f>Annual_sorted!F25</f>
        <v>260.38919686163871</v>
      </c>
      <c r="D85" s="29">
        <f>IF(C85-Table_1463457813[Burundi]&gt;0, C85-Table_1463457813[Burundi], 0)</f>
        <v>205.39124464612462</v>
      </c>
      <c r="E85" s="29">
        <f>IF(C85-Table_1463457813[Congo]&gt;0, C85-Table_1463457813[Congo], 0)</f>
        <v>246.43069142627562</v>
      </c>
      <c r="F85" s="29">
        <f>IF(C85-Table_1463457813[Egypt]&gt;0, C85-Table_1463457813[Egypt], 0)</f>
        <v>264.51900134394873</v>
      </c>
      <c r="G85" s="29">
        <f>IF(C85-Table_1463457813[Eritrea]&gt;0, C85-Table_1463457813[Eritrea], 0)</f>
        <v>229.0207774202413</v>
      </c>
      <c r="H85" s="29">
        <f>IF(C85-Table_1463457813[Ethiopia]&gt;0, C85-Table_1463457813[Ethiopia], 0)</f>
        <v>0</v>
      </c>
      <c r="I85" s="29">
        <f>IF(C85-Table_1463457813[Kenya]&gt;0, C85-Table_1463457813[Kenya], 0)</f>
        <v>0</v>
      </c>
      <c r="J85" s="29">
        <f>IF(C85-Table_1463457813[Rwanda]&gt;0, C85-Table_1463457813[Rwanda], 0)</f>
        <v>162.22510153142827</v>
      </c>
      <c r="K85" s="29">
        <f>IF(C85-Table_1463457813[South Sudan]&gt;0, C85-Table_1463457813[South Sudan], 0)</f>
        <v>0</v>
      </c>
      <c r="L85" s="29">
        <f>IF(C85-Table_1463457813[Sudan]&gt;0, C85-Table_1463457813[Sudan], 0)</f>
        <v>834.19284285081153</v>
      </c>
      <c r="M85" s="29">
        <f>IF(C85-Table_1463457813[Tanzania]&gt;0, C85-Table_1463457813[Tanzania], 0)</f>
        <v>0</v>
      </c>
      <c r="N85" s="29">
        <f>IF(C85-Table_1463457813[Uganda]&gt;0, C85-Table_1463457813[Uganda], 0)</f>
        <v>0</v>
      </c>
      <c r="P85" s="21" t="s">
        <v>7</v>
      </c>
      <c r="Q85" s="99">
        <f t="shared" si="8"/>
        <v>2.3499675162929688E-2</v>
      </c>
      <c r="R85" s="99">
        <f t="shared" si="7"/>
        <v>4.8497245050006792E-2</v>
      </c>
      <c r="S85" s="99">
        <f t="shared" si="7"/>
        <v>5.9515029810322737E-2</v>
      </c>
      <c r="T85" s="99">
        <f t="shared" si="7"/>
        <v>3.7892678559984433E-2</v>
      </c>
      <c r="U85" s="99">
        <f t="shared" si="7"/>
        <v>-2.7932884105238294E-3</v>
      </c>
      <c r="V85" s="99">
        <f t="shared" si="7"/>
        <v>-2.7932884105238294E-3</v>
      </c>
      <c r="W85" s="99">
        <f t="shared" si="7"/>
        <v>-2.7932884105238294E-3</v>
      </c>
      <c r="X85" s="99">
        <f t="shared" si="7"/>
        <v>-2.7932884105238294E-3</v>
      </c>
      <c r="Y85" s="99">
        <f t="shared" si="7"/>
        <v>0.4065095139756158</v>
      </c>
      <c r="Z85" s="99">
        <f t="shared" si="7"/>
        <v>-2.7932884105238294E-3</v>
      </c>
      <c r="AA85" s="99">
        <f t="shared" si="7"/>
        <v>-2.7932884105238294E-3</v>
      </c>
    </row>
    <row r="86" spans="2:31" ht="12.75" customHeight="1" x14ac:dyDescent="0.25">
      <c r="B86" s="21" t="s">
        <v>7</v>
      </c>
      <c r="C86" s="97">
        <f>Annual_sorted!F26</f>
        <v>98.164095330210429</v>
      </c>
      <c r="D86" s="29">
        <f>IF(C86-Table_1463457813[Burundi]&gt;0, C86-Table_1463457813[Burundi], 0)</f>
        <v>43.166143114696332</v>
      </c>
      <c r="E86" s="29">
        <f>IF(C86-Table_1463457813[Congo]&gt;0, C86-Table_1463457813[Congo], 0)</f>
        <v>84.205589894847321</v>
      </c>
      <c r="F86" s="29">
        <f>IF(C86-Table_1463457813[Egypt]&gt;0, C86-Table_1463457813[Egypt], 0)</f>
        <v>102.29389981252048</v>
      </c>
      <c r="G86" s="29">
        <f>IF(C86-Table_1463457813[Eritrea]&gt;0, C86-Table_1463457813[Eritrea], 0)</f>
        <v>66.795675888813008</v>
      </c>
      <c r="H86" s="29">
        <f>IF(C86-Table_1463457813[Ethiopia]&gt;0, C86-Table_1463457813[Ethiopia], 0)</f>
        <v>0</v>
      </c>
      <c r="I86" s="29">
        <f>IF(C86-Table_1463457813[Kenya]&gt;0, C86-Table_1463457813[Kenya], 0)</f>
        <v>0</v>
      </c>
      <c r="J86" s="29">
        <f>IF(C86-Table_1463457813[Rwanda]&gt;0, C86-Table_1463457813[Rwanda], 0)</f>
        <v>0</v>
      </c>
      <c r="K86" s="29">
        <f>IF(C86-Table_1463457813[South Sudan]&gt;0, C86-Table_1463457813[South Sudan], 0)</f>
        <v>0</v>
      </c>
      <c r="L86" s="29">
        <f>IF(C86-Table_1463457813[Sudan]&gt;0, C86-Table_1463457813[Sudan], 0)</f>
        <v>671.96774131938321</v>
      </c>
      <c r="M86" s="29">
        <f>IF(C86-Table_1463457813[Tanzania]&gt;0, C86-Table_1463457813[Tanzania], 0)</f>
        <v>0</v>
      </c>
      <c r="N86" s="29">
        <f>IF(C86-Table_1463457813[Uganda]&gt;0, C86-Table_1463457813[Uganda], 0)</f>
        <v>0</v>
      </c>
      <c r="P86" s="21" t="s">
        <v>38</v>
      </c>
      <c r="Q86" s="99">
        <f t="shared" si="8"/>
        <v>0.61699016118731376</v>
      </c>
      <c r="R86" s="99">
        <f t="shared" si="7"/>
        <v>0.64198773107439089</v>
      </c>
      <c r="S86" s="99">
        <f t="shared" si="7"/>
        <v>0.6530055158347069</v>
      </c>
      <c r="T86" s="99">
        <f t="shared" si="7"/>
        <v>0.63138316458436861</v>
      </c>
      <c r="U86" s="99">
        <f t="shared" si="7"/>
        <v>1.7041963507922548E-2</v>
      </c>
      <c r="V86" s="99">
        <f t="shared" si="7"/>
        <v>0.49188413771336964</v>
      </c>
      <c r="W86" s="99">
        <f t="shared" si="7"/>
        <v>0.5906971976138603</v>
      </c>
      <c r="X86" s="99">
        <f t="shared" si="7"/>
        <v>-2.7932884105238294E-3</v>
      </c>
      <c r="Y86" s="99">
        <f t="shared" si="7"/>
        <v>1</v>
      </c>
      <c r="Z86" s="99">
        <f t="shared" si="7"/>
        <v>0.48809084930284585</v>
      </c>
      <c r="AA86" s="99">
        <f t="shared" si="7"/>
        <v>0.43997662244434471</v>
      </c>
    </row>
    <row r="87" spans="2:31" ht="12.75" customHeight="1" x14ac:dyDescent="0.25">
      <c r="B87" s="21" t="s">
        <v>9</v>
      </c>
      <c r="C87" s="97">
        <f>Annual_sorted!F27</f>
        <v>1072.5196557207084</v>
      </c>
      <c r="D87" s="29">
        <f>IF(C87-Table_1463457813[Burundi]&gt;0, C87-Table_1463457813[Burundi], 0)</f>
        <v>1017.5217035051943</v>
      </c>
      <c r="E87" s="29">
        <f>IF(C87-Table_1463457813[Congo]&gt;0, C87-Table_1463457813[Congo], 0)</f>
        <v>1058.5611502853453</v>
      </c>
      <c r="F87" s="29">
        <f>IF(C87-Table_1463457813[Egypt]&gt;0, C87-Table_1463457813[Egypt], 0)</f>
        <v>1076.6494602030184</v>
      </c>
      <c r="G87" s="29">
        <f>IF(C87-Table_1463457813[Eritrea]&gt;0, C87-Table_1463457813[Eritrea], 0)</f>
        <v>1041.151236279311</v>
      </c>
      <c r="H87" s="29">
        <f>IF(C87-Table_1463457813[Ethiopia]&gt;0, C87-Table_1463457813[Ethiopia], 0)</f>
        <v>32.564276013837343</v>
      </c>
      <c r="I87" s="29">
        <f>IF(C87-Table_1463457813[Kenya]&gt;0, C87-Table_1463457813[Kenya], 0)</f>
        <v>812.13045885906968</v>
      </c>
      <c r="J87" s="29">
        <f>IF(C87-Table_1463457813[Rwanda]&gt;0, C87-Table_1463457813[Rwanda], 0)</f>
        <v>974.355560390498</v>
      </c>
      <c r="K87" s="29">
        <f>IF(C87-Table_1463457813[South Sudan]&gt;0, C87-Table_1463457813[South Sudan], 0)</f>
        <v>0</v>
      </c>
      <c r="L87" s="29">
        <f>IF(C87-Table_1463457813[Sudan]&gt;0, C87-Table_1463457813[Sudan], 0)</f>
        <v>1646.3233017098812</v>
      </c>
      <c r="M87" s="29">
        <f>IF(C87-Table_1463457813[Tanzania]&gt;0, C87-Table_1463457813[Tanzania], 0)</f>
        <v>805.90287519598996</v>
      </c>
      <c r="N87" s="29">
        <f>IF(C87-Table_1463457813[Uganda]&gt;0, C87-Table_1463457813[Uganda], 0)</f>
        <v>726.91194681985371</v>
      </c>
      <c r="P87" s="21" t="s">
        <v>8</v>
      </c>
      <c r="Q87" s="99">
        <f t="shared" si="8"/>
        <v>-2.7932884105238294E-3</v>
      </c>
      <c r="R87" s="99">
        <f t="shared" si="7"/>
        <v>-2.7932884105238294E-3</v>
      </c>
      <c r="S87" s="99">
        <f t="shared" si="7"/>
        <v>-2.7932884105238294E-3</v>
      </c>
      <c r="T87" s="99">
        <f t="shared" si="7"/>
        <v>-2.7932884105238294E-3</v>
      </c>
      <c r="U87" s="99">
        <f t="shared" si="7"/>
        <v>-2.7932884105238294E-3</v>
      </c>
      <c r="V87" s="99">
        <f t="shared" si="7"/>
        <v>-2.7932884105238294E-3</v>
      </c>
      <c r="W87" s="99">
        <f t="shared" si="7"/>
        <v>-2.7932884105238294E-3</v>
      </c>
      <c r="X87" s="99">
        <f t="shared" si="7"/>
        <v>-2.7932884105238294E-3</v>
      </c>
      <c r="Y87" s="99">
        <f t="shared" si="7"/>
        <v>-2.7932884105238294E-3</v>
      </c>
      <c r="Z87" s="99">
        <f t="shared" si="7"/>
        <v>-2.7932884105238294E-3</v>
      </c>
      <c r="AA87" s="99">
        <f t="shared" si="7"/>
        <v>-2.7932884105238294E-3</v>
      </c>
    </row>
    <row r="88" spans="2:31" ht="12.75" customHeight="1" x14ac:dyDescent="0.25">
      <c r="B88" s="21" t="s">
        <v>8</v>
      </c>
      <c r="C88" s="97">
        <f>Annual_sorted!F28</f>
        <v>-573.80364598917276</v>
      </c>
      <c r="D88" s="29">
        <f>IF(C88-Table_1463457813[Burundi]&gt;0, C88-Table_1463457813[Burundi], 0)</f>
        <v>0</v>
      </c>
      <c r="E88" s="29">
        <f>IF(C88-Table_1463457813[Congo]&gt;0, C88-Table_1463457813[Congo], 0)</f>
        <v>0</v>
      </c>
      <c r="F88" s="29">
        <f>IF(C88-Table_1463457813[Egypt]&gt;0, C88-Table_1463457813[Egypt], 0)</f>
        <v>0</v>
      </c>
      <c r="G88" s="29">
        <f>IF(C88-Table_1463457813[Eritrea]&gt;0, C88-Table_1463457813[Eritrea], 0)</f>
        <v>0</v>
      </c>
      <c r="H88" s="29">
        <f>IF(C88-Table_1463457813[Ethiopia]&gt;0, C88-Table_1463457813[Ethiopia], 0)</f>
        <v>0</v>
      </c>
      <c r="I88" s="29">
        <f>IF(C88-Table_1463457813[Kenya]&gt;0, C88-Table_1463457813[Kenya], 0)</f>
        <v>0</v>
      </c>
      <c r="J88" s="29">
        <f>IF(C88-Table_1463457813[Rwanda]&gt;0, C88-Table_1463457813[Rwanda], 0)</f>
        <v>0</v>
      </c>
      <c r="K88" s="29">
        <f>IF(C88-Table_1463457813[South Sudan]&gt;0, C88-Table_1463457813[South Sudan], 0)</f>
        <v>0</v>
      </c>
      <c r="L88" s="29">
        <f>IF(C88-Table_1463457813[Sudan]&gt;0, C88-Table_1463457813[Sudan], 0)</f>
        <v>0</v>
      </c>
      <c r="M88" s="29">
        <f>IF(C88-Table_1463457813[Tanzania]&gt;0, C88-Table_1463457813[Tanzania], 0)</f>
        <v>0</v>
      </c>
      <c r="N88" s="29">
        <f>IF(C88-Table_1463457813[Uganda]&gt;0, C88-Table_1463457813[Uganda], 0)</f>
        <v>0</v>
      </c>
      <c r="P88" s="21" t="s">
        <v>10</v>
      </c>
      <c r="Q88" s="99">
        <f t="shared" si="8"/>
        <v>0.12610602347394417</v>
      </c>
      <c r="R88" s="99">
        <f t="shared" si="7"/>
        <v>0.1511035933610213</v>
      </c>
      <c r="S88" s="99">
        <f t="shared" si="7"/>
        <v>0.16212137812133723</v>
      </c>
      <c r="T88" s="99">
        <f t="shared" si="7"/>
        <v>0.14049902687099894</v>
      </c>
      <c r="U88" s="99">
        <f t="shared" si="7"/>
        <v>-2.7932884105238294E-3</v>
      </c>
      <c r="V88" s="99">
        <f t="shared" si="7"/>
        <v>1E-3</v>
      </c>
      <c r="W88" s="99">
        <f t="shared" si="7"/>
        <v>9.9813059900490664E-2</v>
      </c>
      <c r="X88" s="99">
        <f t="shared" si="7"/>
        <v>-2.7932884105238294E-3</v>
      </c>
      <c r="Y88" s="99">
        <f t="shared" si="7"/>
        <v>0.50911586228663031</v>
      </c>
      <c r="Z88" s="99">
        <f t="shared" si="7"/>
        <v>-2.7932884105238294E-3</v>
      </c>
      <c r="AA88" s="99">
        <f t="shared" si="7"/>
        <v>-2.7932884105238294E-3</v>
      </c>
    </row>
    <row r="89" spans="2:31" ht="12.75" customHeight="1" thickBot="1" x14ac:dyDescent="0.3">
      <c r="B89" s="21" t="s">
        <v>10</v>
      </c>
      <c r="C89" s="97">
        <f>Annual_sorted!F29</f>
        <v>266.61678052471848</v>
      </c>
      <c r="D89" s="29">
        <f>IF(C89-Table_1463457813[Burundi]&gt;0, C89-Table_1463457813[Burundi], 0)</f>
        <v>211.61882830920439</v>
      </c>
      <c r="E89" s="29">
        <f>IF(C89-Table_1463457813[Congo]&gt;0, C89-Table_1463457813[Congo], 0)</f>
        <v>252.65827508935539</v>
      </c>
      <c r="F89" s="29">
        <f>IF(C89-Table_1463457813[Egypt]&gt;0, C89-Table_1463457813[Egypt], 0)</f>
        <v>270.7465850070285</v>
      </c>
      <c r="G89" s="29">
        <f>IF(C89-Table_1463457813[Eritrea]&gt;0, C89-Table_1463457813[Eritrea], 0)</f>
        <v>235.24836108332107</v>
      </c>
      <c r="H89" s="29">
        <f>IF(C89-Table_1463457813[Ethiopia]&gt;0, C89-Table_1463457813[Ethiopia], 0)</f>
        <v>0</v>
      </c>
      <c r="I89" s="29">
        <f>IF(C89-Table_1463457813[Kenya]&gt;0, C89-Table_1463457813[Kenya], 0)</f>
        <v>6.2275836630797698</v>
      </c>
      <c r="J89" s="29">
        <f>IF(C89-Table_1463457813[Rwanda]&gt;0, C89-Table_1463457813[Rwanda], 0)</f>
        <v>168.45268519450804</v>
      </c>
      <c r="K89" s="29">
        <f>IF(C89-Table_1463457813[South Sudan]&gt;0, C89-Table_1463457813[South Sudan], 0)</f>
        <v>0</v>
      </c>
      <c r="L89" s="29">
        <f>IF(C89-Table_1463457813[Sudan]&gt;0, C89-Table_1463457813[Sudan], 0)</f>
        <v>840.42042651389124</v>
      </c>
      <c r="M89" s="29">
        <f>IF(C89-Table_1463457813[Tanzania]&gt;0, C89-Table_1463457813[Tanzania], 0)</f>
        <v>0</v>
      </c>
      <c r="N89" s="29">
        <f>IF(C89-Table_1463457813[Uganda]&gt;0, C89-Table_1463457813[Uganda], 0)</f>
        <v>0</v>
      </c>
      <c r="P89" s="22" t="s">
        <v>11</v>
      </c>
      <c r="Q89" s="100">
        <f t="shared" si="8"/>
        <v>0.17422025033244529</v>
      </c>
      <c r="R89" s="100">
        <f t="shared" si="7"/>
        <v>0.19921782021952239</v>
      </c>
      <c r="S89" s="100">
        <f t="shared" si="7"/>
        <v>0.21023560497983831</v>
      </c>
      <c r="T89" s="100">
        <f t="shared" si="7"/>
        <v>0.18861325372950002</v>
      </c>
      <c r="U89" s="100">
        <f t="shared" si="7"/>
        <v>-2.7932884105238294E-3</v>
      </c>
      <c r="V89" s="100">
        <f t="shared" si="7"/>
        <v>4.9114226858501094E-2</v>
      </c>
      <c r="W89" s="100">
        <f t="shared" si="7"/>
        <v>0.14792728675899175</v>
      </c>
      <c r="X89" s="100">
        <f t="shared" si="7"/>
        <v>-2.7932884105238294E-3</v>
      </c>
      <c r="Y89" s="100">
        <f t="shared" si="7"/>
        <v>0.5572300891451315</v>
      </c>
      <c r="Z89" s="100">
        <f t="shared" si="7"/>
        <v>4.5320938447977271E-2</v>
      </c>
      <c r="AA89" s="100">
        <f t="shared" si="7"/>
        <v>-2.7932884105238294E-3</v>
      </c>
    </row>
    <row r="90" spans="2:31" ht="12.75" customHeight="1" thickBot="1" x14ac:dyDescent="0.3">
      <c r="B90" s="22" t="s">
        <v>11</v>
      </c>
      <c r="C90" s="98">
        <f>Annual_sorted!F30</f>
        <v>345.60770890085467</v>
      </c>
      <c r="D90" s="32">
        <f>IF(C90-Table_1463457813[Burundi]&gt;0, C90-Table_1463457813[Burundi], 0)</f>
        <v>290.60975668534059</v>
      </c>
      <c r="E90" s="32">
        <f>IF(C90-Table_1463457813[Congo]&gt;0, C90-Table_1463457813[Congo], 0)</f>
        <v>331.64920346549155</v>
      </c>
      <c r="F90" s="32">
        <f>IF(C90-Table_1463457813[Egypt]&gt;0, C90-Table_1463457813[Egypt], 0)</f>
        <v>349.7375133831647</v>
      </c>
      <c r="G90" s="32">
        <f>IF(C90-Table_1463457813[Eritrea]&gt;0, C90-Table_1463457813[Eritrea], 0)</f>
        <v>314.23928945945727</v>
      </c>
      <c r="H90" s="32">
        <f>IF(C90-Table_1463457813[Ethiopia]&gt;0, C90-Table_1463457813[Ethiopia], 0)</f>
        <v>0</v>
      </c>
      <c r="I90" s="32">
        <f>IF(C90-Table_1463457813[Kenya]&gt;0, C90-Table_1463457813[Kenya], 0)</f>
        <v>85.218512039215966</v>
      </c>
      <c r="J90" s="32">
        <f>IF(C90-Table_1463457813[Rwanda]&gt;0, C90-Table_1463457813[Rwanda], 0)</f>
        <v>247.44361357064423</v>
      </c>
      <c r="K90" s="32">
        <f>IF(C90-Table_1463457813[South Sudan]&gt;0, C90-Table_1463457813[South Sudan], 0)</f>
        <v>0</v>
      </c>
      <c r="L90" s="32">
        <f>IF(C90-Table_1463457813[Sudan]&gt;0, C90-Table_1463457813[Sudan], 0)</f>
        <v>919.4113548900275</v>
      </c>
      <c r="M90" s="32">
        <f>IF(C90-Table_1463457813[Tanzania]&gt;0, C90-Table_1463457813[Tanzania], 0)</f>
        <v>78.990928376136196</v>
      </c>
      <c r="N90" s="32">
        <f>IF(C90-Table_1463457813[Uganda]&gt;0, C90-Table_1463457813[Uganda], 0)</f>
        <v>0</v>
      </c>
    </row>
    <row r="91" spans="2:31" ht="12.75" customHeight="1" x14ac:dyDescent="0.25"/>
    <row r="92" spans="2:31" ht="12.75" customHeight="1" x14ac:dyDescent="0.25"/>
    <row r="93" spans="2:31" ht="12.75" customHeight="1" x14ac:dyDescent="0.2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31" ht="12.75" customHeight="1" x14ac:dyDescent="0.2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31" ht="12.75" customHeight="1" thickBot="1" x14ac:dyDescent="0.3">
      <c r="B95" s="214" t="s">
        <v>100</v>
      </c>
      <c r="C95" s="214"/>
      <c r="D95" s="214"/>
      <c r="E95" s="214"/>
      <c r="F95" s="214"/>
      <c r="G95" s="214"/>
      <c r="H95" s="214"/>
      <c r="I95" s="214"/>
      <c r="J95" s="214"/>
      <c r="K95" s="214"/>
      <c r="L95" s="214"/>
      <c r="M95" s="214"/>
      <c r="N95" s="214"/>
      <c r="O95" s="5"/>
      <c r="P95" s="214" t="s">
        <v>102</v>
      </c>
      <c r="Q95" s="214"/>
      <c r="R95" s="214"/>
      <c r="S95" s="214"/>
      <c r="T95" s="214"/>
      <c r="U95" s="214"/>
      <c r="V95" s="214"/>
      <c r="W95" s="214"/>
      <c r="X95" s="214"/>
      <c r="Y95" s="214"/>
      <c r="Z95" s="214"/>
      <c r="AA95" s="214"/>
      <c r="AB95" s="10"/>
      <c r="AC95" s="3" t="s">
        <v>23</v>
      </c>
      <c r="AD95" s="13" t="s">
        <v>24</v>
      </c>
      <c r="AE95" s="76">
        <f t="array" ref="AE95">MIN(IF(D98:N108&gt;0,D98:N108))</f>
        <v>2.8305562900110388</v>
      </c>
    </row>
    <row r="96" spans="2:31" ht="12.75" customHeight="1" thickBot="1" x14ac:dyDescent="0.3">
      <c r="B96" s="77" t="s">
        <v>14</v>
      </c>
      <c r="C96" s="68" t="s">
        <v>15</v>
      </c>
      <c r="D96" s="69" t="s">
        <v>1</v>
      </c>
      <c r="E96" s="69" t="s">
        <v>2</v>
      </c>
      <c r="F96" s="69" t="s">
        <v>3</v>
      </c>
      <c r="G96" s="69" t="s">
        <v>4</v>
      </c>
      <c r="H96" s="69" t="s">
        <v>5</v>
      </c>
      <c r="I96" s="69" t="s">
        <v>6</v>
      </c>
      <c r="J96" s="69" t="s">
        <v>7</v>
      </c>
      <c r="K96" s="69" t="s">
        <v>9</v>
      </c>
      <c r="L96" s="69" t="s">
        <v>8</v>
      </c>
      <c r="M96" s="69" t="s">
        <v>10</v>
      </c>
      <c r="N96" s="69" t="s">
        <v>11</v>
      </c>
      <c r="P96" s="78" t="s">
        <v>20</v>
      </c>
      <c r="Q96" s="79" t="s">
        <v>1</v>
      </c>
      <c r="R96" s="79" t="s">
        <v>2</v>
      </c>
      <c r="S96" s="79" t="s">
        <v>3</v>
      </c>
      <c r="T96" s="79" t="s">
        <v>4</v>
      </c>
      <c r="U96" s="79" t="s">
        <v>5</v>
      </c>
      <c r="V96" s="79" t="s">
        <v>6</v>
      </c>
      <c r="W96" s="79" t="s">
        <v>7</v>
      </c>
      <c r="X96" s="79" t="s">
        <v>32</v>
      </c>
      <c r="Y96" s="79" t="s">
        <v>8</v>
      </c>
      <c r="Z96" s="79" t="s">
        <v>10</v>
      </c>
      <c r="AA96" s="79" t="s">
        <v>11</v>
      </c>
      <c r="AB96" s="213" t="s">
        <v>27</v>
      </c>
      <c r="AC96" s="213"/>
      <c r="AD96" s="13" t="s">
        <v>25</v>
      </c>
      <c r="AE96" s="20">
        <f>MAX(D98:N108)</f>
        <v>959.83029636314677</v>
      </c>
    </row>
    <row r="97" spans="2:31" ht="12.75" customHeight="1" x14ac:dyDescent="0.25">
      <c r="B97" s="95"/>
      <c r="C97" s="96" t="s">
        <v>83</v>
      </c>
      <c r="D97" s="97">
        <f>C98</f>
        <v>-19.637738099516472</v>
      </c>
      <c r="E97" s="97">
        <f>C99</f>
        <v>-22.468294389527511</v>
      </c>
      <c r="F97" s="97">
        <f>C100</f>
        <v>322.83760097360033</v>
      </c>
      <c r="G97" s="97">
        <f>C101</f>
        <v>-12.673235608365742</v>
      </c>
      <c r="H97" s="97">
        <f>C102</f>
        <v>-439.21949711542334</v>
      </c>
      <c r="I97" s="97">
        <f>C103</f>
        <v>-81.814579996392141</v>
      </c>
      <c r="J97" s="97">
        <f>C104</f>
        <v>-26.599271885155385</v>
      </c>
      <c r="K97" s="97">
        <f>C105</f>
        <v>-117.14723806909365</v>
      </c>
      <c r="L97" s="97">
        <f>C106</f>
        <v>-636.9926953895465</v>
      </c>
      <c r="M97" s="97">
        <f>C107</f>
        <v>-159.8629094389045</v>
      </c>
      <c r="N97" s="97">
        <f>C108</f>
        <v>-313.42388905904795</v>
      </c>
      <c r="P97" s="21" t="s">
        <v>1</v>
      </c>
      <c r="Q97" s="99">
        <f>$AE$97+(D98-$AE$95)*($AE$98-$AE$97)/($AE$96-$AE$95)</f>
        <v>-1.9547821334882786E-3</v>
      </c>
      <c r="R97" s="99">
        <f t="shared" ref="R97:AA107" si="9">$AE$97+(E98-$AE$95)*($AE$98-$AE$97)/($AE$96-$AE$95)</f>
        <v>1E-3</v>
      </c>
      <c r="S97" s="99">
        <f t="shared" si="9"/>
        <v>-1.9547821334882786E-3</v>
      </c>
      <c r="T97" s="99">
        <f t="shared" si="9"/>
        <v>-1.9547821334882786E-3</v>
      </c>
      <c r="U97" s="99">
        <f t="shared" si="9"/>
        <v>0.43604134232194552</v>
      </c>
      <c r="V97" s="99">
        <f t="shared" si="9"/>
        <v>6.2950841613318459E-2</v>
      </c>
      <c r="W97" s="99">
        <f t="shared" si="9"/>
        <v>5.3122754848573582E-3</v>
      </c>
      <c r="X97" s="99">
        <f t="shared" si="9"/>
        <v>9.9834159274336129E-2</v>
      </c>
      <c r="Y97" s="99">
        <f t="shared" si="9"/>
        <v>0.64249429816156778</v>
      </c>
      <c r="Z97" s="99">
        <f t="shared" si="9"/>
        <v>0.14442451171808904</v>
      </c>
      <c r="AA97" s="99">
        <f t="shared" si="9"/>
        <v>0.3047248882143247</v>
      </c>
      <c r="AD97" s="3" t="s">
        <v>26</v>
      </c>
      <c r="AE97" s="2">
        <v>1E-3</v>
      </c>
    </row>
    <row r="98" spans="2:31" ht="12.75" customHeight="1" x14ac:dyDescent="0.25">
      <c r="B98" s="21" t="s">
        <v>1</v>
      </c>
      <c r="C98" s="97">
        <f>Annual_sorted!G20</f>
        <v>-19.637738099516472</v>
      </c>
      <c r="D98" s="29">
        <f>IF(C98-Table_146345781116[Burundi]&gt;0, C98-Table_146345781116[Burundi], 0)</f>
        <v>0</v>
      </c>
      <c r="E98" s="29">
        <f>IF(C98-Table_146345781116[Congo]&gt;0, C98-Table_146345781116[Congo], 0)</f>
        <v>2.8305562900110388</v>
      </c>
      <c r="F98" s="29">
        <f>IF(C98-Table_146345781116[Egypt]&gt;0, C98-Table_146345781116[Egypt], 0)</f>
        <v>0</v>
      </c>
      <c r="G98" s="29">
        <f>IF(C98-Table_146345781116[Eritrea]&gt;0, C98-Table_146345781116[Eritrea], 0)</f>
        <v>0</v>
      </c>
      <c r="H98" s="29">
        <f>IF(C98-Table_146345781116[Ethiopia]&gt;0, C98-Table_146345781116[Ethiopia], 0)</f>
        <v>419.58175901590687</v>
      </c>
      <c r="I98" s="29">
        <f>IF(C98-Table_146345781116[Kenya]&gt;0, C98-Table_146345781116[Kenya], 0)</f>
        <v>62.176841896875672</v>
      </c>
      <c r="J98" s="29">
        <f>IF(C98-Table_146345781116[Rwanda]&gt;0, C98-Table_146345781116[Rwanda], 0)</f>
        <v>6.9615337856389132</v>
      </c>
      <c r="K98" s="29">
        <f>IF(C98-Table_146345781116[South Sudan]&gt;0, C98-Table_146345781116[South Sudan], 0)</f>
        <v>97.509499969577178</v>
      </c>
      <c r="L98" s="29">
        <f>IF(C98-Table_146345781116[Sudan]&gt;0, C98-Table_146345781116[Sudan], 0)</f>
        <v>617.35495729003003</v>
      </c>
      <c r="M98" s="29">
        <f>IF(C98-Table_146345781116[Tanzania]&gt;0, C98-Table_146345781116[Tanzania], 0)</f>
        <v>140.22517133938803</v>
      </c>
      <c r="N98" s="29">
        <f>IF(C98-Table_146345781116[Uganda]&gt;0, C98-Table_146345781116[Uganda], 0)</f>
        <v>293.78615095953148</v>
      </c>
      <c r="P98" s="21" t="s">
        <v>2</v>
      </c>
      <c r="Q98" s="99">
        <f t="shared" ref="Q98:Q107" si="10">$AE$97+(D99-$AE$95)*($AE$98-$AE$97)/($AE$96-$AE$95)</f>
        <v>-1.9547821334882786E-3</v>
      </c>
      <c r="R98" s="99">
        <f t="shared" si="9"/>
        <v>-1.9547821334882786E-3</v>
      </c>
      <c r="S98" s="99">
        <f t="shared" si="9"/>
        <v>-1.9547821334882786E-3</v>
      </c>
      <c r="T98" s="99">
        <f t="shared" si="9"/>
        <v>-1.9547821334882786E-3</v>
      </c>
      <c r="U98" s="99">
        <f t="shared" si="9"/>
        <v>0.43308656018845726</v>
      </c>
      <c r="V98" s="99">
        <f t="shared" si="9"/>
        <v>5.9996059479830173E-2</v>
      </c>
      <c r="W98" s="99">
        <f t="shared" si="9"/>
        <v>2.3574933513690792E-3</v>
      </c>
      <c r="X98" s="99">
        <f t="shared" si="9"/>
        <v>9.6879377140847836E-2</v>
      </c>
      <c r="Y98" s="99">
        <f t="shared" si="9"/>
        <v>0.63953951602807957</v>
      </c>
      <c r="Z98" s="99">
        <f t="shared" si="9"/>
        <v>0.14146972958460077</v>
      </c>
      <c r="AA98" s="99">
        <f t="shared" si="9"/>
        <v>0.30177010608083638</v>
      </c>
      <c r="AD98" s="3" t="s">
        <v>84</v>
      </c>
      <c r="AE98" s="2">
        <v>1</v>
      </c>
    </row>
    <row r="99" spans="2:31" ht="12.75" customHeight="1" x14ac:dyDescent="0.25">
      <c r="B99" s="21" t="s">
        <v>2</v>
      </c>
      <c r="C99" s="97">
        <f>Annual_sorted!G21</f>
        <v>-22.468294389527511</v>
      </c>
      <c r="D99" s="29">
        <f>IF(C99-Table_146345781116[Burundi]&gt;0, C99-Table_146345781116[Burundi], 0)</f>
        <v>0</v>
      </c>
      <c r="E99" s="29">
        <f>IF(C99-Table_146345781116[Congo]&gt;0, C99-Table_146345781116[Congo], 0)</f>
        <v>0</v>
      </c>
      <c r="F99" s="29">
        <f>IF(C99-Table_146345781116[Egypt]&gt;0, C99-Table_146345781116[Egypt], 0)</f>
        <v>0</v>
      </c>
      <c r="G99" s="29">
        <f>IF(C99-Table_146345781116[Eritrea]&gt;0, C99-Table_146345781116[Eritrea], 0)</f>
        <v>0</v>
      </c>
      <c r="H99" s="29">
        <f>IF(C99-Table_146345781116[Ethiopia]&gt;0, C99-Table_146345781116[Ethiopia], 0)</f>
        <v>416.75120272589584</v>
      </c>
      <c r="I99" s="29">
        <f>IF(C99-Table_146345781116[Kenya]&gt;0, C99-Table_146345781116[Kenya], 0)</f>
        <v>59.346285606864626</v>
      </c>
      <c r="J99" s="29">
        <f>IF(C99-Table_146345781116[Rwanda]&gt;0, C99-Table_146345781116[Rwanda], 0)</f>
        <v>4.1309774956278744</v>
      </c>
      <c r="K99" s="29">
        <f>IF(C99-Table_146345781116[South Sudan]&gt;0, C99-Table_146345781116[South Sudan], 0)</f>
        <v>94.678943679566132</v>
      </c>
      <c r="L99" s="29">
        <f>IF(C99-Table_146345781116[Sudan]&gt;0, C99-Table_146345781116[Sudan], 0)</f>
        <v>614.524401000019</v>
      </c>
      <c r="M99" s="29">
        <f>IF(C99-Table_146345781116[Tanzania]&gt;0, C99-Table_146345781116[Tanzania], 0)</f>
        <v>137.39461504937699</v>
      </c>
      <c r="N99" s="29">
        <f>IF(C99-Table_146345781116[Uganda]&gt;0, C99-Table_146345781116[Uganda], 0)</f>
        <v>290.95559466952045</v>
      </c>
      <c r="P99" s="21" t="s">
        <v>3</v>
      </c>
      <c r="Q99" s="99">
        <f t="shared" si="10"/>
        <v>0.35555091970494401</v>
      </c>
      <c r="R99" s="99">
        <f t="shared" si="9"/>
        <v>0.35850570183843228</v>
      </c>
      <c r="S99" s="99">
        <f t="shared" si="9"/>
        <v>-1.9547821334882786E-3</v>
      </c>
      <c r="T99" s="99">
        <f t="shared" si="9"/>
        <v>0.34828076309222866</v>
      </c>
      <c r="U99" s="99">
        <f t="shared" si="9"/>
        <v>0.7935470441603778</v>
      </c>
      <c r="V99" s="99">
        <f t="shared" si="9"/>
        <v>0.42045654345175076</v>
      </c>
      <c r="W99" s="99">
        <f t="shared" si="9"/>
        <v>0.36281797732328963</v>
      </c>
      <c r="X99" s="99">
        <f t="shared" si="9"/>
        <v>0.45733986111276848</v>
      </c>
      <c r="Y99" s="99">
        <f t="shared" si="9"/>
        <v>1</v>
      </c>
      <c r="Z99" s="99">
        <f t="shared" si="9"/>
        <v>0.50193021355652134</v>
      </c>
      <c r="AA99" s="99">
        <f t="shared" si="9"/>
        <v>0.66223059005275697</v>
      </c>
    </row>
    <row r="100" spans="2:31" ht="12.75" customHeight="1" x14ac:dyDescent="0.25">
      <c r="B100" s="21" t="s">
        <v>3</v>
      </c>
      <c r="C100" s="97">
        <f>Annual_sorted!G22</f>
        <v>322.83760097360033</v>
      </c>
      <c r="D100" s="29">
        <f>IF(C100-Table_146345781116[Burundi]&gt;0, C100-Table_146345781116[Burundi], 0)</f>
        <v>342.4753390731168</v>
      </c>
      <c r="E100" s="29">
        <f>IF(C100-Table_146345781116[Congo]&gt;0, C100-Table_146345781116[Congo], 0)</f>
        <v>345.30589536312783</v>
      </c>
      <c r="F100" s="29">
        <f>IF(C100-Table_146345781116[Egypt]&gt;0, C100-Table_146345781116[Egypt], 0)</f>
        <v>0</v>
      </c>
      <c r="G100" s="29">
        <f>IF(C100-Table_146345781116[Eritrea]&gt;0, C100-Table_146345781116[Eritrea], 0)</f>
        <v>335.51083658196609</v>
      </c>
      <c r="H100" s="29">
        <f>IF(C100-Table_146345781116[Ethiopia]&gt;0, C100-Table_146345781116[Ethiopia], 0)</f>
        <v>762.05709808902361</v>
      </c>
      <c r="I100" s="29">
        <f>IF(C100-Table_146345781116[Kenya]&gt;0, C100-Table_146345781116[Kenya], 0)</f>
        <v>404.65218096999246</v>
      </c>
      <c r="J100" s="29">
        <f>IF(C100-Table_146345781116[Rwanda]&gt;0, C100-Table_146345781116[Rwanda], 0)</f>
        <v>349.43687285875569</v>
      </c>
      <c r="K100" s="29">
        <f>IF(C100-Table_146345781116[South Sudan]&gt;0, C100-Table_146345781116[South Sudan], 0)</f>
        <v>439.98483904269398</v>
      </c>
      <c r="L100" s="29">
        <f>IF(C100-Table_146345781116[Sudan]&gt;0, C100-Table_146345781116[Sudan], 0)</f>
        <v>959.83029636314677</v>
      </c>
      <c r="M100" s="29">
        <f>IF(C100-Table_146345781116[Tanzania]&gt;0, C100-Table_146345781116[Tanzania], 0)</f>
        <v>482.70051041250485</v>
      </c>
      <c r="N100" s="29">
        <f>IF(C100-Table_146345781116[Uganda]&gt;0, C100-Table_146345781116[Uganda], 0)</f>
        <v>636.26149003264823</v>
      </c>
      <c r="P100" s="21" t="s">
        <v>4</v>
      </c>
      <c r="Q100" s="99">
        <f t="shared" si="10"/>
        <v>5.3153744792270724E-3</v>
      </c>
      <c r="R100" s="99">
        <f t="shared" si="9"/>
        <v>8.2701566127153514E-3</v>
      </c>
      <c r="S100" s="99">
        <f t="shared" si="9"/>
        <v>-1.9547821334882786E-3</v>
      </c>
      <c r="T100" s="99">
        <f t="shared" si="9"/>
        <v>-1.9547821334882786E-3</v>
      </c>
      <c r="U100" s="99">
        <f t="shared" si="9"/>
        <v>0.44331149893466087</v>
      </c>
      <c r="V100" s="99">
        <f t="shared" si="9"/>
        <v>7.0220998226033809E-2</v>
      </c>
      <c r="W100" s="99">
        <f t="shared" si="9"/>
        <v>1.2582432097572708E-2</v>
      </c>
      <c r="X100" s="99">
        <f t="shared" si="9"/>
        <v>0.10710431588705147</v>
      </c>
      <c r="Y100" s="99">
        <f t="shared" si="9"/>
        <v>0.64976445477428313</v>
      </c>
      <c r="Z100" s="99">
        <f t="shared" si="9"/>
        <v>0.15169466833080442</v>
      </c>
      <c r="AA100" s="99">
        <f t="shared" si="9"/>
        <v>0.31199504482703999</v>
      </c>
    </row>
    <row r="101" spans="2:31" ht="12.75" customHeight="1" x14ac:dyDescent="0.25">
      <c r="B101" s="21" t="s">
        <v>4</v>
      </c>
      <c r="C101" s="97">
        <f>Annual_sorted!G23</f>
        <v>-12.673235608365742</v>
      </c>
      <c r="D101" s="29">
        <f>IF(C101-Table_146345781116[Burundi]&gt;0, C101-Table_146345781116[Burundi], 0)</f>
        <v>6.9645024911507303</v>
      </c>
      <c r="E101" s="29">
        <f>IF(C101-Table_146345781116[Congo]&gt;0, C101-Table_146345781116[Congo], 0)</f>
        <v>9.7950587811617691</v>
      </c>
      <c r="F101" s="29">
        <f>IF(C101-Table_146345781116[Egypt]&gt;0, C101-Table_146345781116[Egypt], 0)</f>
        <v>0</v>
      </c>
      <c r="G101" s="29">
        <f>IF(C101-Table_146345781116[Eritrea]&gt;0, C101-Table_146345781116[Eritrea], 0)</f>
        <v>0</v>
      </c>
      <c r="H101" s="29">
        <f>IF(C101-Table_146345781116[Ethiopia]&gt;0, C101-Table_146345781116[Ethiopia], 0)</f>
        <v>426.54626150705758</v>
      </c>
      <c r="I101" s="29">
        <f>IF(C101-Table_146345781116[Kenya]&gt;0, C101-Table_146345781116[Kenya], 0)</f>
        <v>69.141344388026397</v>
      </c>
      <c r="J101" s="29">
        <f>IF(C101-Table_146345781116[Rwanda]&gt;0, C101-Table_146345781116[Rwanda], 0)</f>
        <v>13.926036276789644</v>
      </c>
      <c r="K101" s="29">
        <f>IF(C101-Table_146345781116[South Sudan]&gt;0, C101-Table_146345781116[South Sudan], 0)</f>
        <v>104.4740024607279</v>
      </c>
      <c r="L101" s="29">
        <f>IF(C101-Table_146345781116[Sudan]&gt;0, C101-Table_146345781116[Sudan], 0)</f>
        <v>624.31945978118074</v>
      </c>
      <c r="M101" s="29">
        <f>IF(C101-Table_146345781116[Tanzania]&gt;0, C101-Table_146345781116[Tanzania], 0)</f>
        <v>147.18967383053877</v>
      </c>
      <c r="N101" s="29">
        <f>IF(C101-Table_146345781116[Uganda]&gt;0, C101-Table_146345781116[Uganda], 0)</f>
        <v>300.75065345068219</v>
      </c>
      <c r="P101" s="21" t="s">
        <v>5</v>
      </c>
      <c r="Q101" s="99">
        <f t="shared" si="10"/>
        <v>-1.9547821334882786E-3</v>
      </c>
      <c r="R101" s="99">
        <f t="shared" si="9"/>
        <v>-1.9547821334882786E-3</v>
      </c>
      <c r="S101" s="99">
        <f t="shared" si="9"/>
        <v>-1.9547821334882786E-3</v>
      </c>
      <c r="T101" s="99">
        <f t="shared" si="9"/>
        <v>-1.9547821334882786E-3</v>
      </c>
      <c r="U101" s="99">
        <f t="shared" si="9"/>
        <v>-1.9547821334882786E-3</v>
      </c>
      <c r="V101" s="99">
        <f t="shared" si="9"/>
        <v>-1.9547821334882786E-3</v>
      </c>
      <c r="W101" s="99">
        <f t="shared" si="9"/>
        <v>-1.9547821334882786E-3</v>
      </c>
      <c r="X101" s="99">
        <f t="shared" si="9"/>
        <v>-1.9547821334882786E-3</v>
      </c>
      <c r="Y101" s="99">
        <f t="shared" si="9"/>
        <v>0.20449817370613396</v>
      </c>
      <c r="Z101" s="99">
        <f t="shared" si="9"/>
        <v>-1.9547821334882786E-3</v>
      </c>
      <c r="AA101" s="99">
        <f t="shared" si="9"/>
        <v>-1.9547821334882786E-3</v>
      </c>
    </row>
    <row r="102" spans="2:31" ht="12.75" customHeight="1" x14ac:dyDescent="0.25">
      <c r="B102" s="21" t="s">
        <v>5</v>
      </c>
      <c r="C102" s="97">
        <f>Annual_sorted!G24</f>
        <v>-439.21949711542334</v>
      </c>
      <c r="D102" s="29">
        <f>IF(C102-Table_146345781116[Burundi]&gt;0, C102-Table_146345781116[Burundi], 0)</f>
        <v>0</v>
      </c>
      <c r="E102" s="29">
        <f>IF(C102-Table_146345781116[Congo]&gt;0, C102-Table_146345781116[Congo], 0)</f>
        <v>0</v>
      </c>
      <c r="F102" s="29">
        <f>IF(C102-Table_146345781116[Egypt]&gt;0, C102-Table_146345781116[Egypt], 0)</f>
        <v>0</v>
      </c>
      <c r="G102" s="29">
        <f>IF(C102-Table_146345781116[Eritrea]&gt;0, C102-Table_146345781116[Eritrea], 0)</f>
        <v>0</v>
      </c>
      <c r="H102" s="29">
        <f>IF(C102-Table_146345781116[Ethiopia]&gt;0, C102-Table_146345781116[Ethiopia], 0)</f>
        <v>0</v>
      </c>
      <c r="I102" s="29">
        <f>IF(C102-Table_146345781116[Kenya]&gt;0, C102-Table_146345781116[Kenya], 0)</f>
        <v>0</v>
      </c>
      <c r="J102" s="29">
        <f>IF(C102-Table_146345781116[Rwanda]&gt;0, C102-Table_146345781116[Rwanda], 0)</f>
        <v>0</v>
      </c>
      <c r="K102" s="29">
        <f>IF(C102-Table_146345781116[South Sudan]&gt;0, C102-Table_146345781116[South Sudan], 0)</f>
        <v>0</v>
      </c>
      <c r="L102" s="29">
        <f>IF(C102-Table_146345781116[Sudan]&gt;0, C102-Table_146345781116[Sudan], 0)</f>
        <v>197.77319827412316</v>
      </c>
      <c r="M102" s="29">
        <f>IF(C102-Table_146345781116[Tanzania]&gt;0, C102-Table_146345781116[Tanzania], 0)</f>
        <v>0</v>
      </c>
      <c r="N102" s="29">
        <f>IF(C102-Table_146345781116[Uganda]&gt;0, C102-Table_146345781116[Uganda], 0)</f>
        <v>0</v>
      </c>
      <c r="P102" s="21" t="s">
        <v>6</v>
      </c>
      <c r="Q102" s="99">
        <f t="shared" si="10"/>
        <v>-1.9547821334882786E-3</v>
      </c>
      <c r="R102" s="99">
        <f t="shared" si="9"/>
        <v>-1.9547821334882786E-3</v>
      </c>
      <c r="S102" s="99">
        <f t="shared" si="9"/>
        <v>-1.9547821334882786E-3</v>
      </c>
      <c r="T102" s="99">
        <f t="shared" si="9"/>
        <v>-1.9547821334882786E-3</v>
      </c>
      <c r="U102" s="99">
        <f t="shared" si="9"/>
        <v>0.37113571857513883</v>
      </c>
      <c r="V102" s="99">
        <f t="shared" si="9"/>
        <v>-1.9547821334882786E-3</v>
      </c>
      <c r="W102" s="99">
        <f t="shared" si="9"/>
        <v>-1.9547821334882786E-3</v>
      </c>
      <c r="X102" s="99">
        <f t="shared" si="9"/>
        <v>3.4928535527529392E-2</v>
      </c>
      <c r="Y102" s="99">
        <f t="shared" si="9"/>
        <v>0.57758867441476103</v>
      </c>
      <c r="Z102" s="99">
        <f t="shared" si="9"/>
        <v>7.9518887971282287E-2</v>
      </c>
      <c r="AA102" s="99">
        <f t="shared" si="9"/>
        <v>0.23981926446751795</v>
      </c>
    </row>
    <row r="103" spans="2:31" ht="12.75" customHeight="1" x14ac:dyDescent="0.25">
      <c r="B103" s="21" t="s">
        <v>6</v>
      </c>
      <c r="C103" s="97">
        <f>Annual_sorted!G25</f>
        <v>-81.814579996392141</v>
      </c>
      <c r="D103" s="29">
        <f>IF(C103-Table_146345781116[Burundi]&gt;0, C103-Table_146345781116[Burundi], 0)</f>
        <v>0</v>
      </c>
      <c r="E103" s="29">
        <f>IF(C103-Table_146345781116[Congo]&gt;0, C103-Table_146345781116[Congo], 0)</f>
        <v>0</v>
      </c>
      <c r="F103" s="29">
        <f>IF(C103-Table_146345781116[Egypt]&gt;0, C103-Table_146345781116[Egypt], 0)</f>
        <v>0</v>
      </c>
      <c r="G103" s="29">
        <f>IF(C103-Table_146345781116[Eritrea]&gt;0, C103-Table_146345781116[Eritrea], 0)</f>
        <v>0</v>
      </c>
      <c r="H103" s="29">
        <f>IF(C103-Table_146345781116[Ethiopia]&gt;0, C103-Table_146345781116[Ethiopia], 0)</f>
        <v>357.40491711903121</v>
      </c>
      <c r="I103" s="29">
        <f>IF(C103-Table_146345781116[Kenya]&gt;0, C103-Table_146345781116[Kenya], 0)</f>
        <v>0</v>
      </c>
      <c r="J103" s="29">
        <f>IF(C103-Table_146345781116[Rwanda]&gt;0, C103-Table_146345781116[Rwanda], 0)</f>
        <v>0</v>
      </c>
      <c r="K103" s="29">
        <f>IF(C103-Table_146345781116[South Sudan]&gt;0, C103-Table_146345781116[South Sudan], 0)</f>
        <v>35.332658072701506</v>
      </c>
      <c r="L103" s="29">
        <f>IF(C103-Table_146345781116[Sudan]&gt;0, C103-Table_146345781116[Sudan], 0)</f>
        <v>555.17811539315437</v>
      </c>
      <c r="M103" s="29">
        <f>IF(C103-Table_146345781116[Tanzania]&gt;0, C103-Table_146345781116[Tanzania], 0)</f>
        <v>78.048329442512355</v>
      </c>
      <c r="N103" s="29">
        <f>IF(C103-Table_146345781116[Uganda]&gt;0, C103-Table_146345781116[Uganda], 0)</f>
        <v>231.60930906265583</v>
      </c>
      <c r="P103" s="21" t="s">
        <v>7</v>
      </c>
      <c r="Q103" s="99">
        <f t="shared" si="10"/>
        <v>-1.9547821334882786E-3</v>
      </c>
      <c r="R103" s="99">
        <f t="shared" si="9"/>
        <v>-1.9547821334882786E-3</v>
      </c>
      <c r="S103" s="99">
        <f t="shared" si="9"/>
        <v>-1.9547821334882786E-3</v>
      </c>
      <c r="T103" s="99">
        <f t="shared" si="9"/>
        <v>-1.9547821334882786E-3</v>
      </c>
      <c r="U103" s="99">
        <f t="shared" si="9"/>
        <v>0.42877428470359991</v>
      </c>
      <c r="V103" s="99">
        <f t="shared" si="9"/>
        <v>5.5683783994972813E-2</v>
      </c>
      <c r="W103" s="99">
        <f t="shared" si="9"/>
        <v>-1.9547821334882786E-3</v>
      </c>
      <c r="X103" s="99">
        <f t="shared" si="9"/>
        <v>9.2567101655990497E-2</v>
      </c>
      <c r="Y103" s="99">
        <f t="shared" si="9"/>
        <v>0.6352272405432221</v>
      </c>
      <c r="Z103" s="99">
        <f t="shared" si="9"/>
        <v>0.13715745409974339</v>
      </c>
      <c r="AA103" s="99">
        <f t="shared" si="9"/>
        <v>0.29745783059597908</v>
      </c>
    </row>
    <row r="104" spans="2:31" ht="12.75" customHeight="1" x14ac:dyDescent="0.25">
      <c r="B104" s="21" t="s">
        <v>7</v>
      </c>
      <c r="C104" s="97">
        <f>Annual_sorted!G26</f>
        <v>-26.599271885155385</v>
      </c>
      <c r="D104" s="29">
        <f>IF(C104-Table_146345781116[Burundi]&gt;0, C104-Table_146345781116[Burundi], 0)</f>
        <v>0</v>
      </c>
      <c r="E104" s="29">
        <f>IF(C104-Table_146345781116[Congo]&gt;0, C104-Table_146345781116[Congo], 0)</f>
        <v>0</v>
      </c>
      <c r="F104" s="29">
        <f>IF(C104-Table_146345781116[Egypt]&gt;0, C104-Table_146345781116[Egypt], 0)</f>
        <v>0</v>
      </c>
      <c r="G104" s="29">
        <f>IF(C104-Table_146345781116[Eritrea]&gt;0, C104-Table_146345781116[Eritrea], 0)</f>
        <v>0</v>
      </c>
      <c r="H104" s="29">
        <f>IF(C104-Table_146345781116[Ethiopia]&gt;0, C104-Table_146345781116[Ethiopia], 0)</f>
        <v>412.62022523026798</v>
      </c>
      <c r="I104" s="29">
        <f>IF(C104-Table_146345781116[Kenya]&gt;0, C104-Table_146345781116[Kenya], 0)</f>
        <v>55.215308111236752</v>
      </c>
      <c r="J104" s="29">
        <f>IF(C104-Table_146345781116[Rwanda]&gt;0, C104-Table_146345781116[Rwanda], 0)</f>
        <v>0</v>
      </c>
      <c r="K104" s="29">
        <f>IF(C104-Table_146345781116[South Sudan]&gt;0, C104-Table_146345781116[South Sudan], 0)</f>
        <v>90.547966183938257</v>
      </c>
      <c r="L104" s="29">
        <f>IF(C104-Table_146345781116[Sudan]&gt;0, C104-Table_146345781116[Sudan], 0)</f>
        <v>610.39342350439108</v>
      </c>
      <c r="M104" s="29">
        <f>IF(C104-Table_146345781116[Tanzania]&gt;0, C104-Table_146345781116[Tanzania], 0)</f>
        <v>133.26363755374911</v>
      </c>
      <c r="N104" s="29">
        <f>IF(C104-Table_146345781116[Uganda]&gt;0, C104-Table_146345781116[Uganda], 0)</f>
        <v>286.82461717389259</v>
      </c>
      <c r="P104" s="21" t="s">
        <v>38</v>
      </c>
      <c r="Q104" s="99">
        <f t="shared" si="10"/>
        <v>-1.9547821334882786E-3</v>
      </c>
      <c r="R104" s="99">
        <f t="shared" si="9"/>
        <v>-1.9547821334882786E-3</v>
      </c>
      <c r="S104" s="99">
        <f t="shared" si="9"/>
        <v>-1.9547821334882786E-3</v>
      </c>
      <c r="T104" s="99">
        <f t="shared" si="9"/>
        <v>-1.9547821334882786E-3</v>
      </c>
      <c r="U104" s="99">
        <f t="shared" si="9"/>
        <v>0.33425240091412117</v>
      </c>
      <c r="V104" s="99">
        <f t="shared" si="9"/>
        <v>-1.9547821334882786E-3</v>
      </c>
      <c r="W104" s="99">
        <f t="shared" si="9"/>
        <v>-1.9547821334882786E-3</v>
      </c>
      <c r="X104" s="99">
        <f t="shared" si="9"/>
        <v>-1.9547821334882786E-3</v>
      </c>
      <c r="Y104" s="99">
        <f t="shared" si="9"/>
        <v>0.54070535675374343</v>
      </c>
      <c r="Z104" s="99">
        <f t="shared" si="9"/>
        <v>4.2635570310264624E-2</v>
      </c>
      <c r="AA104" s="99">
        <f t="shared" si="9"/>
        <v>0.20293594680650029</v>
      </c>
    </row>
    <row r="105" spans="2:31" ht="12.75" customHeight="1" x14ac:dyDescent="0.25">
      <c r="B105" s="21" t="s">
        <v>9</v>
      </c>
      <c r="C105" s="97">
        <f>Annual_sorted!G27</f>
        <v>-117.14723806909365</v>
      </c>
      <c r="D105" s="29">
        <f>IF(C105-Table_146345781116[Burundi]&gt;0, C105-Table_146345781116[Burundi], 0)</f>
        <v>0</v>
      </c>
      <c r="E105" s="29">
        <f>IF(C105-Table_146345781116[Congo]&gt;0, C105-Table_146345781116[Congo], 0)</f>
        <v>0</v>
      </c>
      <c r="F105" s="29">
        <f>IF(C105-Table_146345781116[Egypt]&gt;0, C105-Table_146345781116[Egypt], 0)</f>
        <v>0</v>
      </c>
      <c r="G105" s="29">
        <f>IF(C105-Table_146345781116[Eritrea]&gt;0, C105-Table_146345781116[Eritrea], 0)</f>
        <v>0</v>
      </c>
      <c r="H105" s="29">
        <f>IF(C105-Table_146345781116[Ethiopia]&gt;0, C105-Table_146345781116[Ethiopia], 0)</f>
        <v>322.07225904632969</v>
      </c>
      <c r="I105" s="29">
        <f>IF(C105-Table_146345781116[Kenya]&gt;0, C105-Table_146345781116[Kenya], 0)</f>
        <v>0</v>
      </c>
      <c r="J105" s="29">
        <f>IF(C105-Table_146345781116[Rwanda]&gt;0, C105-Table_146345781116[Rwanda], 0)</f>
        <v>0</v>
      </c>
      <c r="K105" s="29">
        <f>IF(C105-Table_146345781116[South Sudan]&gt;0, C105-Table_146345781116[South Sudan], 0)</f>
        <v>0</v>
      </c>
      <c r="L105" s="29">
        <f>IF(C105-Table_146345781116[Sudan]&gt;0, C105-Table_146345781116[Sudan], 0)</f>
        <v>519.84545732045285</v>
      </c>
      <c r="M105" s="29">
        <f>IF(C105-Table_146345781116[Tanzania]&gt;0, C105-Table_146345781116[Tanzania], 0)</f>
        <v>42.715671369810849</v>
      </c>
      <c r="N105" s="29">
        <f>IF(C105-Table_146345781116[Uganda]&gt;0, C105-Table_146345781116[Uganda], 0)</f>
        <v>196.27665098995431</v>
      </c>
      <c r="P105" s="21" t="s">
        <v>8</v>
      </c>
      <c r="Q105" s="99">
        <f t="shared" si="10"/>
        <v>-1.9547821334882786E-3</v>
      </c>
      <c r="R105" s="99">
        <f t="shared" si="9"/>
        <v>-1.9547821334882786E-3</v>
      </c>
      <c r="S105" s="99">
        <f t="shared" si="9"/>
        <v>-1.9547821334882786E-3</v>
      </c>
      <c r="T105" s="99">
        <f t="shared" si="9"/>
        <v>-1.9547821334882786E-3</v>
      </c>
      <c r="U105" s="99">
        <f t="shared" si="9"/>
        <v>-1.9547821334882786E-3</v>
      </c>
      <c r="V105" s="99">
        <f t="shared" si="9"/>
        <v>-1.9547821334882786E-3</v>
      </c>
      <c r="W105" s="99">
        <f t="shared" si="9"/>
        <v>-1.9547821334882786E-3</v>
      </c>
      <c r="X105" s="99">
        <f t="shared" si="9"/>
        <v>-1.9547821334882786E-3</v>
      </c>
      <c r="Y105" s="99">
        <f t="shared" si="9"/>
        <v>-1.9547821334882786E-3</v>
      </c>
      <c r="Z105" s="99">
        <f t="shared" si="9"/>
        <v>-1.9547821334882786E-3</v>
      </c>
      <c r="AA105" s="99">
        <f t="shared" si="9"/>
        <v>-1.9547821334882786E-3</v>
      </c>
    </row>
    <row r="106" spans="2:31" ht="12.75" customHeight="1" x14ac:dyDescent="0.25">
      <c r="B106" s="21" t="s">
        <v>8</v>
      </c>
      <c r="C106" s="97">
        <f>Annual_sorted!G28</f>
        <v>-636.9926953895465</v>
      </c>
      <c r="D106" s="29">
        <f>IF(C106-Table_146345781116[Burundi]&gt;0, C106-Table_146345781116[Burundi], 0)</f>
        <v>0</v>
      </c>
      <c r="E106" s="29">
        <f>IF(C106-Table_146345781116[Congo]&gt;0, C106-Table_146345781116[Congo], 0)</f>
        <v>0</v>
      </c>
      <c r="F106" s="29">
        <f>IF(C106-Table_146345781116[Egypt]&gt;0, C106-Table_146345781116[Egypt], 0)</f>
        <v>0</v>
      </c>
      <c r="G106" s="29">
        <f>IF(C106-Table_146345781116[Eritrea]&gt;0, C106-Table_146345781116[Eritrea], 0)</f>
        <v>0</v>
      </c>
      <c r="H106" s="29">
        <f>IF(C106-Table_146345781116[Ethiopia]&gt;0, C106-Table_146345781116[Ethiopia], 0)</f>
        <v>0</v>
      </c>
      <c r="I106" s="29">
        <f>IF(C106-Table_146345781116[Kenya]&gt;0, C106-Table_146345781116[Kenya], 0)</f>
        <v>0</v>
      </c>
      <c r="J106" s="29">
        <f>IF(C106-Table_146345781116[Rwanda]&gt;0, C106-Table_146345781116[Rwanda], 0)</f>
        <v>0</v>
      </c>
      <c r="K106" s="29">
        <f>IF(C106-Table_146345781116[South Sudan]&gt;0, C106-Table_146345781116[South Sudan], 0)</f>
        <v>0</v>
      </c>
      <c r="L106" s="29">
        <f>IF(C106-Table_146345781116[Sudan]&gt;0, C106-Table_146345781116[Sudan], 0)</f>
        <v>0</v>
      </c>
      <c r="M106" s="29">
        <f>IF(C106-Table_146345781116[Tanzania]&gt;0, C106-Table_146345781116[Tanzania], 0)</f>
        <v>0</v>
      </c>
      <c r="N106" s="29">
        <f>IF(C106-Table_146345781116[Uganda]&gt;0, C106-Table_146345781116[Uganda], 0)</f>
        <v>0</v>
      </c>
      <c r="P106" s="21" t="s">
        <v>10</v>
      </c>
      <c r="Q106" s="99">
        <f t="shared" si="10"/>
        <v>-1.9547821334882786E-3</v>
      </c>
      <c r="R106" s="99">
        <f t="shared" si="9"/>
        <v>-1.9547821334882786E-3</v>
      </c>
      <c r="S106" s="99">
        <f t="shared" si="9"/>
        <v>-1.9547821334882786E-3</v>
      </c>
      <c r="T106" s="99">
        <f t="shared" si="9"/>
        <v>-1.9547821334882786E-3</v>
      </c>
      <c r="U106" s="99">
        <f t="shared" si="9"/>
        <v>0.28966204847036831</v>
      </c>
      <c r="V106" s="99">
        <f t="shared" si="9"/>
        <v>-1.9547821334882786E-3</v>
      </c>
      <c r="W106" s="99">
        <f t="shared" si="9"/>
        <v>-1.9547821334882786E-3</v>
      </c>
      <c r="X106" s="99">
        <f t="shared" si="9"/>
        <v>-1.9547821334882786E-3</v>
      </c>
      <c r="Y106" s="99">
        <f t="shared" si="9"/>
        <v>0.4961150043099905</v>
      </c>
      <c r="Z106" s="99">
        <f t="shared" si="9"/>
        <v>-1.9547821334882786E-3</v>
      </c>
      <c r="AA106" s="99">
        <f t="shared" si="9"/>
        <v>0.15834559436274737</v>
      </c>
    </row>
    <row r="107" spans="2:31" ht="12.75" customHeight="1" thickBot="1" x14ac:dyDescent="0.3">
      <c r="B107" s="21" t="s">
        <v>10</v>
      </c>
      <c r="C107" s="97">
        <f>Annual_sorted!G29</f>
        <v>-159.8629094389045</v>
      </c>
      <c r="D107" s="29">
        <f>IF(C107-Table_146345781116[Burundi]&gt;0, C107-Table_146345781116[Burundi], 0)</f>
        <v>0</v>
      </c>
      <c r="E107" s="29">
        <f>IF(C107-Table_146345781116[Congo]&gt;0, C107-Table_146345781116[Congo], 0)</f>
        <v>0</v>
      </c>
      <c r="F107" s="29">
        <f>IF(C107-Table_146345781116[Egypt]&gt;0, C107-Table_146345781116[Egypt], 0)</f>
        <v>0</v>
      </c>
      <c r="G107" s="29">
        <f>IF(C107-Table_146345781116[Eritrea]&gt;0, C107-Table_146345781116[Eritrea], 0)</f>
        <v>0</v>
      </c>
      <c r="H107" s="29">
        <f>IF(C107-Table_146345781116[Ethiopia]&gt;0, C107-Table_146345781116[Ethiopia], 0)</f>
        <v>279.35658767651887</v>
      </c>
      <c r="I107" s="29">
        <f>IF(C107-Table_146345781116[Kenya]&gt;0, C107-Table_146345781116[Kenya], 0)</f>
        <v>0</v>
      </c>
      <c r="J107" s="29">
        <f>IF(C107-Table_146345781116[Rwanda]&gt;0, C107-Table_146345781116[Rwanda], 0)</f>
        <v>0</v>
      </c>
      <c r="K107" s="29">
        <f>IF(C107-Table_146345781116[South Sudan]&gt;0, C107-Table_146345781116[South Sudan], 0)</f>
        <v>0</v>
      </c>
      <c r="L107" s="29">
        <f>IF(C107-Table_146345781116[Sudan]&gt;0, C107-Table_146345781116[Sudan], 0)</f>
        <v>477.12978595064203</v>
      </c>
      <c r="M107" s="29">
        <f>IF(C107-Table_146345781116[Tanzania]&gt;0, C107-Table_146345781116[Tanzania], 0)</f>
        <v>0</v>
      </c>
      <c r="N107" s="29">
        <f>IF(C107-Table_146345781116[Uganda]&gt;0, C107-Table_146345781116[Uganda], 0)</f>
        <v>153.56097962014346</v>
      </c>
      <c r="P107" s="22" t="s">
        <v>11</v>
      </c>
      <c r="Q107" s="100">
        <f t="shared" si="10"/>
        <v>-1.9547821334882786E-3</v>
      </c>
      <c r="R107" s="100">
        <f t="shared" si="9"/>
        <v>-1.9547821334882786E-3</v>
      </c>
      <c r="S107" s="100">
        <f t="shared" si="9"/>
        <v>-1.9547821334882786E-3</v>
      </c>
      <c r="T107" s="100">
        <f t="shared" si="9"/>
        <v>-1.9547821334882786E-3</v>
      </c>
      <c r="U107" s="100">
        <f t="shared" si="9"/>
        <v>0.12936167197413256</v>
      </c>
      <c r="V107" s="100">
        <f t="shared" si="9"/>
        <v>-1.9547821334882786E-3</v>
      </c>
      <c r="W107" s="100">
        <f t="shared" si="9"/>
        <v>-1.9547821334882786E-3</v>
      </c>
      <c r="X107" s="100">
        <f t="shared" si="9"/>
        <v>-1.9547821334882786E-3</v>
      </c>
      <c r="Y107" s="100">
        <f t="shared" si="9"/>
        <v>0.33581462781375476</v>
      </c>
      <c r="Z107" s="100">
        <f t="shared" si="9"/>
        <v>-1.9547821334882786E-3</v>
      </c>
      <c r="AA107" s="100">
        <f t="shared" si="9"/>
        <v>-1.9547821334882786E-3</v>
      </c>
    </row>
    <row r="108" spans="2:31" ht="12.75" customHeight="1" thickBot="1" x14ac:dyDescent="0.3">
      <c r="B108" s="22" t="s">
        <v>11</v>
      </c>
      <c r="C108" s="98">
        <f>Annual_sorted!G30</f>
        <v>-313.42388905904795</v>
      </c>
      <c r="D108" s="32">
        <f>IF(C108-Table_146345781116[Burundi]&gt;0, C108-Table_146345781116[Burundi], 0)</f>
        <v>0</v>
      </c>
      <c r="E108" s="32">
        <f>IF(C108-Table_146345781116[Congo]&gt;0, C108-Table_146345781116[Congo], 0)</f>
        <v>0</v>
      </c>
      <c r="F108" s="32">
        <f>IF(C108-Table_146345781116[Egypt]&gt;0, C108-Table_146345781116[Egypt], 0)</f>
        <v>0</v>
      </c>
      <c r="G108" s="32">
        <f>IF(C108-Table_146345781116[Eritrea]&gt;0, C108-Table_146345781116[Eritrea], 0)</f>
        <v>0</v>
      </c>
      <c r="H108" s="32">
        <f>IF(C108-Table_146345781116[Ethiopia]&gt;0, C108-Table_146345781116[Ethiopia], 0)</f>
        <v>125.79560805637539</v>
      </c>
      <c r="I108" s="32">
        <f>IF(C108-Table_146345781116[Kenya]&gt;0, C108-Table_146345781116[Kenya], 0)</f>
        <v>0</v>
      </c>
      <c r="J108" s="32">
        <f>IF(C108-Table_146345781116[Rwanda]&gt;0, C108-Table_146345781116[Rwanda], 0)</f>
        <v>0</v>
      </c>
      <c r="K108" s="32">
        <f>IF(C108-Table_146345781116[South Sudan]&gt;0, C108-Table_146345781116[South Sudan], 0)</f>
        <v>0</v>
      </c>
      <c r="L108" s="32">
        <f>IF(C108-Table_146345781116[Sudan]&gt;0, C108-Table_146345781116[Sudan], 0)</f>
        <v>323.56880633049855</v>
      </c>
      <c r="M108" s="32">
        <f>IF(C108-Table_146345781116[Tanzania]&gt;0, C108-Table_146345781116[Tanzania], 0)</f>
        <v>0</v>
      </c>
      <c r="N108" s="32">
        <f>IF(C108-Table_146345781116[Uganda]&gt;0, C108-Table_146345781116[Uganda], 0)</f>
        <v>0</v>
      </c>
    </row>
    <row r="109" spans="2:31" ht="12.75" customHeight="1" x14ac:dyDescent="0.25"/>
    <row r="110" spans="2:31" ht="12.75" customHeight="1" x14ac:dyDescent="0.25"/>
    <row r="111" spans="2:31" ht="12.75" customHeight="1" x14ac:dyDescent="0.25">
      <c r="B111" s="5"/>
      <c r="C111" s="5"/>
      <c r="D111" s="5"/>
      <c r="E111" s="5"/>
      <c r="F111" s="5"/>
      <c r="G111" s="5"/>
      <c r="H111" s="5"/>
      <c r="I111" s="5"/>
      <c r="J111" s="5"/>
      <c r="K111" s="5"/>
      <c r="L111" s="5"/>
      <c r="M111" s="5"/>
      <c r="N111" s="5"/>
    </row>
    <row r="112" spans="2:31" ht="12.75" customHeight="1" x14ac:dyDescent="0.25">
      <c r="B112" s="5"/>
      <c r="C112" s="5"/>
      <c r="D112" s="5"/>
      <c r="E112" s="5"/>
      <c r="F112" s="5"/>
      <c r="G112" s="5"/>
      <c r="H112" s="5"/>
      <c r="I112" s="5"/>
      <c r="J112" s="5"/>
      <c r="K112" s="5"/>
      <c r="L112" s="5"/>
      <c r="M112" s="5"/>
      <c r="N112" s="5"/>
      <c r="P112" s="5"/>
      <c r="Q112" s="5"/>
      <c r="R112" s="5"/>
      <c r="S112" s="5"/>
      <c r="T112" s="5"/>
      <c r="U112" s="5"/>
      <c r="V112" s="5"/>
      <c r="W112" s="5"/>
      <c r="X112" s="5"/>
      <c r="Y112" s="5"/>
      <c r="Z112" s="5"/>
      <c r="AA112" s="5"/>
    </row>
    <row r="113" spans="2:31" ht="12.75" customHeight="1" thickBot="1" x14ac:dyDescent="0.3">
      <c r="B113" s="214" t="s">
        <v>101</v>
      </c>
      <c r="C113" s="214"/>
      <c r="D113" s="214"/>
      <c r="E113" s="214"/>
      <c r="F113" s="214"/>
      <c r="G113" s="214"/>
      <c r="H113" s="214"/>
      <c r="I113" s="214"/>
      <c r="J113" s="214"/>
      <c r="K113" s="214"/>
      <c r="L113" s="214"/>
      <c r="M113" s="214"/>
      <c r="N113" s="214"/>
      <c r="P113" s="214" t="s">
        <v>103</v>
      </c>
      <c r="Q113" s="214"/>
      <c r="R113" s="214"/>
      <c r="S113" s="214"/>
      <c r="T113" s="214"/>
      <c r="U113" s="214"/>
      <c r="V113" s="214"/>
      <c r="W113" s="214"/>
      <c r="X113" s="214"/>
      <c r="Y113" s="214"/>
      <c r="Z113" s="214"/>
      <c r="AA113" s="214"/>
      <c r="AB113" s="10"/>
      <c r="AC113" s="3" t="s">
        <v>23</v>
      </c>
      <c r="AD113" s="13" t="s">
        <v>24</v>
      </c>
      <c r="AE113" s="76">
        <f t="array" ref="AE113">MIN(IF(D116:N126&gt;0,D116:N126))</f>
        <v>2.9179123531199558E-2</v>
      </c>
    </row>
    <row r="114" spans="2:31" ht="12.75" customHeight="1" thickBot="1" x14ac:dyDescent="0.3">
      <c r="B114" s="77" t="s">
        <v>14</v>
      </c>
      <c r="C114" s="68" t="s">
        <v>15</v>
      </c>
      <c r="D114" s="69" t="s">
        <v>1</v>
      </c>
      <c r="E114" s="69" t="s">
        <v>2</v>
      </c>
      <c r="F114" s="69" t="s">
        <v>3</v>
      </c>
      <c r="G114" s="69" t="s">
        <v>4</v>
      </c>
      <c r="H114" s="69" t="s">
        <v>5</v>
      </c>
      <c r="I114" s="69" t="s">
        <v>6</v>
      </c>
      <c r="J114" s="69" t="s">
        <v>7</v>
      </c>
      <c r="K114" s="69" t="s">
        <v>9</v>
      </c>
      <c r="L114" s="69" t="s">
        <v>8</v>
      </c>
      <c r="M114" s="69" t="s">
        <v>10</v>
      </c>
      <c r="N114" s="69" t="s">
        <v>11</v>
      </c>
      <c r="P114" s="78" t="s">
        <v>20</v>
      </c>
      <c r="Q114" s="79" t="s">
        <v>1</v>
      </c>
      <c r="R114" s="79" t="s">
        <v>2</v>
      </c>
      <c r="S114" s="79" t="s">
        <v>3</v>
      </c>
      <c r="T114" s="79" t="s">
        <v>4</v>
      </c>
      <c r="U114" s="79" t="s">
        <v>5</v>
      </c>
      <c r="V114" s="79" t="s">
        <v>6</v>
      </c>
      <c r="W114" s="79" t="s">
        <v>7</v>
      </c>
      <c r="X114" s="79" t="s">
        <v>32</v>
      </c>
      <c r="Y114" s="79" t="s">
        <v>8</v>
      </c>
      <c r="Z114" s="79" t="s">
        <v>10</v>
      </c>
      <c r="AA114" s="79" t="s">
        <v>11</v>
      </c>
      <c r="AB114" s="213" t="s">
        <v>27</v>
      </c>
      <c r="AC114" s="213"/>
      <c r="AD114" s="13" t="s">
        <v>25</v>
      </c>
      <c r="AE114" s="20">
        <f>MAX(D116:N126)</f>
        <v>395.35895801487771</v>
      </c>
    </row>
    <row r="115" spans="2:31" ht="12.75" customHeight="1" x14ac:dyDescent="0.25">
      <c r="B115" s="95"/>
      <c r="C115" s="96" t="s">
        <v>83</v>
      </c>
      <c r="D115" s="97">
        <f>C116</f>
        <v>-6.9797979705865894</v>
      </c>
      <c r="E115" s="97">
        <f>C117</f>
        <v>3.2092074908436903</v>
      </c>
      <c r="F115" s="97">
        <f>C118</f>
        <v>327.32968091907202</v>
      </c>
      <c r="G115" s="97">
        <f>C119</f>
        <v>-0.23366743531473522</v>
      </c>
      <c r="H115" s="97">
        <f>C120</f>
        <v>-68.029277095805696</v>
      </c>
      <c r="I115" s="97">
        <f>C121</f>
        <v>-26.065197687203078</v>
      </c>
      <c r="J115" s="97">
        <f>C122</f>
        <v>-7.0089770941177889</v>
      </c>
      <c r="K115" s="97">
        <f>C123</f>
        <v>299.65584925157799</v>
      </c>
      <c r="L115" s="97">
        <f>C124</f>
        <v>10.468507913800099</v>
      </c>
      <c r="M115" s="97">
        <f>C125</f>
        <v>-56.073607015549506</v>
      </c>
      <c r="N115" s="97">
        <f>C126</f>
        <v>-43.53891917793198</v>
      </c>
      <c r="P115" s="21" t="s">
        <v>1</v>
      </c>
      <c r="Q115" s="99">
        <f>$AE$115+(D116-$AE$113)*($AE$116-$AE$115)/($AE$114-$AE$113)</f>
        <v>9.2626423314374204E-4</v>
      </c>
      <c r="R115" s="99">
        <f t="shared" ref="R115:AA125" si="11">$AE$115+(E116-$AE$113)*($AE$116-$AE$115)/($AE$114-$AE$113)</f>
        <v>9.2626423314374204E-4</v>
      </c>
      <c r="S115" s="99">
        <f t="shared" si="11"/>
        <v>9.2626423314374204E-4</v>
      </c>
      <c r="T115" s="99">
        <f t="shared" si="11"/>
        <v>9.2626423314374204E-4</v>
      </c>
      <c r="U115" s="99">
        <f t="shared" si="11"/>
        <v>0.15519855259231669</v>
      </c>
      <c r="V115" s="99">
        <f t="shared" si="11"/>
        <v>4.915514891359709E-2</v>
      </c>
      <c r="W115" s="99">
        <f t="shared" si="11"/>
        <v>1E-3</v>
      </c>
      <c r="X115" s="99">
        <f t="shared" si="11"/>
        <v>9.2626423314374204E-4</v>
      </c>
      <c r="Y115" s="99">
        <f t="shared" si="11"/>
        <v>9.2626423314374204E-4</v>
      </c>
      <c r="Z115" s="99">
        <f t="shared" si="11"/>
        <v>0.12498652443782095</v>
      </c>
      <c r="AA115" s="99">
        <f t="shared" si="11"/>
        <v>9.3311315995652136E-2</v>
      </c>
      <c r="AD115" s="3" t="s">
        <v>26</v>
      </c>
      <c r="AE115" s="2">
        <v>1E-3</v>
      </c>
    </row>
    <row r="116" spans="2:31" ht="12.75" customHeight="1" x14ac:dyDescent="0.25">
      <c r="B116" s="21" t="s">
        <v>1</v>
      </c>
      <c r="C116" s="97">
        <f>Annual_sorted!H20</f>
        <v>-6.9797979705865894</v>
      </c>
      <c r="D116" s="29">
        <f>IF(C116-Table_1463457811217[Burundi]&gt;0, C116-Table_1463457811217[Burundi], 0)</f>
        <v>0</v>
      </c>
      <c r="E116" s="29">
        <f>IF(C116-Table_1463457811217[Congo]&gt;0, C116-Table_1463457811217[Congo], 0)</f>
        <v>0</v>
      </c>
      <c r="F116" s="29">
        <f>IF(C116-Table_1463457811217[Egypt]&gt;0, C116-Table_1463457811217[Egypt], 0)</f>
        <v>0</v>
      </c>
      <c r="G116" s="29">
        <f>IF(C116-Table_1463457811217[Eritrea]&gt;0, C116-Table_1463457811217[Eritrea], 0)</f>
        <v>0</v>
      </c>
      <c r="H116" s="29">
        <f>IF(C116-Table_1463457811217[Ethiopia]&gt;0, C116-Table_1463457811217[Ethiopia], 0)</f>
        <v>61.049479125219108</v>
      </c>
      <c r="I116" s="29">
        <f>IF(C116-Table_1463457811217[Kenya]&gt;0, C116-Table_1463457811217[Kenya], 0)</f>
        <v>19.085399716616489</v>
      </c>
      <c r="J116" s="29">
        <f>IF(C116-Table_1463457811217[Rwanda]&gt;0, C116-Table_1463457811217[Rwanda], 0)</f>
        <v>2.9179123531199558E-2</v>
      </c>
      <c r="K116" s="29">
        <f>IF(C116-Table_1463457811217[South Sudan]&gt;0, C116-Table_1463457811217[South Sudan], 0)</f>
        <v>0</v>
      </c>
      <c r="L116" s="29">
        <f>IF(C116-Table_1463457811217[Sudan]&gt;0, C116-Table_1463457811217[Sudan], 0)</f>
        <v>0</v>
      </c>
      <c r="M116" s="29">
        <f>IF(C116-Table_1463457811217[Tanzania]&gt;0, C116-Table_1463457811217[Tanzania], 0)</f>
        <v>49.093809044962917</v>
      </c>
      <c r="N116" s="29">
        <f>IF(C116-Table_1463457811217[Uganda]&gt;0, C116-Table_1463457811217[Uganda], 0)</f>
        <v>36.559121207345392</v>
      </c>
      <c r="P116" s="21" t="s">
        <v>2</v>
      </c>
      <c r="Q116" s="99">
        <f t="shared" ref="Q116:Q125" si="12">$AE$115+(D117-$AE$113)*($AE$116-$AE$115)/($AE$114-$AE$113)</f>
        <v>2.6673923527907931E-2</v>
      </c>
      <c r="R116" s="99">
        <f t="shared" si="11"/>
        <v>9.2626423314374204E-4</v>
      </c>
      <c r="S116" s="99">
        <f t="shared" si="11"/>
        <v>9.2626423314374204E-4</v>
      </c>
      <c r="T116" s="99">
        <f t="shared" si="11"/>
        <v>9.6264235302190304E-3</v>
      </c>
      <c r="U116" s="99">
        <f t="shared" si="11"/>
        <v>0.1809462118870809</v>
      </c>
      <c r="V116" s="99">
        <f t="shared" si="11"/>
        <v>7.4902808208361288E-2</v>
      </c>
      <c r="W116" s="99">
        <f t="shared" si="11"/>
        <v>2.6747659294764189E-2</v>
      </c>
      <c r="X116" s="99">
        <f t="shared" si="11"/>
        <v>9.2626423314374204E-4</v>
      </c>
      <c r="Y116" s="99">
        <f t="shared" si="11"/>
        <v>9.2626423314374204E-4</v>
      </c>
      <c r="Z116" s="99">
        <f t="shared" si="11"/>
        <v>0.15073418373258513</v>
      </c>
      <c r="AA116" s="99">
        <f t="shared" si="11"/>
        <v>0.11905897529041631</v>
      </c>
      <c r="AD116" s="3" t="s">
        <v>84</v>
      </c>
      <c r="AE116" s="2">
        <v>1</v>
      </c>
    </row>
    <row r="117" spans="2:31" ht="12.75" customHeight="1" x14ac:dyDescent="0.25">
      <c r="B117" s="21" t="s">
        <v>2</v>
      </c>
      <c r="C117" s="97">
        <f>Annual_sorted!H21</f>
        <v>3.2092074908436903</v>
      </c>
      <c r="D117" s="29">
        <f>IF(C117-Table_1463457811217[Burundi]&gt;0, C117-Table_1463457811217[Burundi], 0)</f>
        <v>10.189005461430281</v>
      </c>
      <c r="E117" s="29">
        <f>IF(C117-Table_1463457811217[Congo]&gt;0, C117-Table_1463457811217[Congo], 0)</f>
        <v>0</v>
      </c>
      <c r="F117" s="29">
        <f>IF(C117-Table_1463457811217[Egypt]&gt;0, C117-Table_1463457811217[Egypt], 0)</f>
        <v>0</v>
      </c>
      <c r="G117" s="29">
        <f>IF(C117-Table_1463457811217[Eritrea]&gt;0, C117-Table_1463457811217[Eritrea], 0)</f>
        <v>3.4428749261584253</v>
      </c>
      <c r="H117" s="29">
        <f>IF(C117-Table_1463457811217[Ethiopia]&gt;0, C117-Table_1463457811217[Ethiopia], 0)</f>
        <v>71.238484586649392</v>
      </c>
      <c r="I117" s="29">
        <f>IF(C117-Table_1463457811217[Kenya]&gt;0, C117-Table_1463457811217[Kenya], 0)</f>
        <v>29.27440517804677</v>
      </c>
      <c r="J117" s="29">
        <f>IF(C117-Table_1463457811217[Rwanda]&gt;0, C117-Table_1463457811217[Rwanda], 0)</f>
        <v>10.218184584961479</v>
      </c>
      <c r="K117" s="29">
        <f>IF(C117-Table_1463457811217[South Sudan]&gt;0, C117-Table_1463457811217[South Sudan], 0)</f>
        <v>0</v>
      </c>
      <c r="L117" s="29">
        <f>IF(C117-Table_1463457811217[Sudan]&gt;0, C117-Table_1463457811217[Sudan], 0)</f>
        <v>0</v>
      </c>
      <c r="M117" s="29">
        <f>IF(C117-Table_1463457811217[Tanzania]&gt;0, C117-Table_1463457811217[Tanzania], 0)</f>
        <v>59.282814506393194</v>
      </c>
      <c r="N117" s="29">
        <f>IF(C117-Table_1463457811217[Uganda]&gt;0, C117-Table_1463457811217[Uganda], 0)</f>
        <v>46.748126668775669</v>
      </c>
      <c r="P117" s="21" t="s">
        <v>3</v>
      </c>
      <c r="Q117" s="99">
        <f t="shared" si="12"/>
        <v>0.84572771164082716</v>
      </c>
      <c r="R117" s="99">
        <f t="shared" si="11"/>
        <v>0.81998005234606275</v>
      </c>
      <c r="S117" s="99">
        <f t="shared" si="11"/>
        <v>9.2626423314374204E-4</v>
      </c>
      <c r="T117" s="99">
        <f t="shared" si="11"/>
        <v>0.82868021164313821</v>
      </c>
      <c r="U117" s="99">
        <f t="shared" si="11"/>
        <v>1</v>
      </c>
      <c r="V117" s="99">
        <f t="shared" si="11"/>
        <v>0.89395659632128033</v>
      </c>
      <c r="W117" s="99">
        <f t="shared" si="11"/>
        <v>0.84580144740768326</v>
      </c>
      <c r="X117" s="99">
        <f t="shared" si="11"/>
        <v>7.0858152271926877E-2</v>
      </c>
      <c r="Y117" s="99">
        <f t="shared" si="11"/>
        <v>0.8016357699019957</v>
      </c>
      <c r="Z117" s="99">
        <f t="shared" si="11"/>
        <v>0.96978797184550425</v>
      </c>
      <c r="AA117" s="99">
        <f t="shared" si="11"/>
        <v>0.93811276340333538</v>
      </c>
    </row>
    <row r="118" spans="2:31" ht="12.75" customHeight="1" x14ac:dyDescent="0.25">
      <c r="B118" s="21" t="s">
        <v>3</v>
      </c>
      <c r="C118" s="97">
        <f>Annual_sorted!H22</f>
        <v>327.32968091907202</v>
      </c>
      <c r="D118" s="29">
        <f>IF(C118-Table_1463457811217[Burundi]&gt;0, C118-Table_1463457811217[Burundi], 0)</f>
        <v>334.30947888965864</v>
      </c>
      <c r="E118" s="29">
        <f>IF(C118-Table_1463457811217[Congo]&gt;0, C118-Table_1463457811217[Congo], 0)</f>
        <v>324.12047342822831</v>
      </c>
      <c r="F118" s="29">
        <f>IF(C118-Table_1463457811217[Egypt]&gt;0, C118-Table_1463457811217[Egypt], 0)</f>
        <v>0</v>
      </c>
      <c r="G118" s="29">
        <f>IF(C118-Table_1463457811217[Eritrea]&gt;0, C118-Table_1463457811217[Eritrea], 0)</f>
        <v>327.56334835438673</v>
      </c>
      <c r="H118" s="29">
        <f>IF(C118-Table_1463457811217[Ethiopia]&gt;0, C118-Table_1463457811217[Ethiopia], 0)</f>
        <v>395.35895801487771</v>
      </c>
      <c r="I118" s="29">
        <f>IF(C118-Table_1463457811217[Kenya]&gt;0, C118-Table_1463457811217[Kenya], 0)</f>
        <v>353.39487860627509</v>
      </c>
      <c r="J118" s="29">
        <f>IF(C118-Table_1463457811217[Rwanda]&gt;0, C118-Table_1463457811217[Rwanda], 0)</f>
        <v>334.33865801318979</v>
      </c>
      <c r="K118" s="29">
        <f>IF(C118-Table_1463457811217[South Sudan]&gt;0, C118-Table_1463457811217[South Sudan], 0)</f>
        <v>27.673831667494028</v>
      </c>
      <c r="L118" s="29">
        <f>IF(C118-Table_1463457811217[Sudan]&gt;0, C118-Table_1463457811217[Sudan], 0)</f>
        <v>316.86117300527189</v>
      </c>
      <c r="M118" s="29">
        <f>IF(C118-Table_1463457811217[Tanzania]&gt;0, C118-Table_1463457811217[Tanzania], 0)</f>
        <v>383.40328793462152</v>
      </c>
      <c r="N118" s="29">
        <f>IF(C118-Table_1463457811217[Uganda]&gt;0, C118-Table_1463457811217[Uganda], 0)</f>
        <v>370.86860009700399</v>
      </c>
      <c r="P118" s="21" t="s">
        <v>4</v>
      </c>
      <c r="Q118" s="99">
        <f t="shared" si="12"/>
        <v>1.7973764230832641E-2</v>
      </c>
      <c r="R118" s="99">
        <f t="shared" si="11"/>
        <v>9.2626423314374204E-4</v>
      </c>
      <c r="S118" s="99">
        <f t="shared" si="11"/>
        <v>9.2626423314374204E-4</v>
      </c>
      <c r="T118" s="99">
        <f t="shared" si="11"/>
        <v>9.2626423314374204E-4</v>
      </c>
      <c r="U118" s="99">
        <f t="shared" si="11"/>
        <v>0.17224605259000561</v>
      </c>
      <c r="V118" s="99">
        <f t="shared" si="11"/>
        <v>6.620264891128598E-2</v>
      </c>
      <c r="W118" s="99">
        <f t="shared" si="11"/>
        <v>1.8047499997688898E-2</v>
      </c>
      <c r="X118" s="99">
        <f t="shared" si="11"/>
        <v>9.2626423314374204E-4</v>
      </c>
      <c r="Y118" s="99">
        <f t="shared" si="11"/>
        <v>9.2626423314374204E-4</v>
      </c>
      <c r="Z118" s="99">
        <f t="shared" si="11"/>
        <v>0.14203402443550986</v>
      </c>
      <c r="AA118" s="99">
        <f t="shared" si="11"/>
        <v>0.11035881599334103</v>
      </c>
    </row>
    <row r="119" spans="2:31" ht="12.75" customHeight="1" x14ac:dyDescent="0.25">
      <c r="B119" s="21" t="s">
        <v>4</v>
      </c>
      <c r="C119" s="97">
        <f>Annual_sorted!H23</f>
        <v>-0.23366743531473522</v>
      </c>
      <c r="D119" s="29">
        <f>IF(C119-Table_1463457811217[Burundi]&gt;0, C119-Table_1463457811217[Burundi], 0)</f>
        <v>6.7461305352718544</v>
      </c>
      <c r="E119" s="29">
        <f>IF(C119-Table_1463457811217[Congo]&gt;0, C119-Table_1463457811217[Congo], 0)</f>
        <v>0</v>
      </c>
      <c r="F119" s="29">
        <f>IF(C119-Table_1463457811217[Egypt]&gt;0, C119-Table_1463457811217[Egypt], 0)</f>
        <v>0</v>
      </c>
      <c r="G119" s="29">
        <f>IF(C119-Table_1463457811217[Eritrea]&gt;0, C119-Table_1463457811217[Eritrea], 0)</f>
        <v>0</v>
      </c>
      <c r="H119" s="29">
        <f>IF(C119-Table_1463457811217[Ethiopia]&gt;0, C119-Table_1463457811217[Ethiopia], 0)</f>
        <v>67.795609660490967</v>
      </c>
      <c r="I119" s="29">
        <f>IF(C119-Table_1463457811217[Kenya]&gt;0, C119-Table_1463457811217[Kenya], 0)</f>
        <v>25.831530251888342</v>
      </c>
      <c r="J119" s="29">
        <f>IF(C119-Table_1463457811217[Rwanda]&gt;0, C119-Table_1463457811217[Rwanda], 0)</f>
        <v>6.7753096588030539</v>
      </c>
      <c r="K119" s="29">
        <f>IF(C119-Table_1463457811217[South Sudan]&gt;0, C119-Table_1463457811217[South Sudan], 0)</f>
        <v>0</v>
      </c>
      <c r="L119" s="29">
        <f>IF(C119-Table_1463457811217[Sudan]&gt;0, C119-Table_1463457811217[Sudan], 0)</f>
        <v>0</v>
      </c>
      <c r="M119" s="29">
        <f>IF(C119-Table_1463457811217[Tanzania]&gt;0, C119-Table_1463457811217[Tanzania], 0)</f>
        <v>55.83993958023477</v>
      </c>
      <c r="N119" s="29">
        <f>IF(C119-Table_1463457811217[Uganda]&gt;0, C119-Table_1463457811217[Uganda], 0)</f>
        <v>43.305251742617244</v>
      </c>
      <c r="P119" s="21" t="s">
        <v>5</v>
      </c>
      <c r="Q119" s="99">
        <f t="shared" si="12"/>
        <v>9.2626423314374204E-4</v>
      </c>
      <c r="R119" s="99">
        <f t="shared" si="11"/>
        <v>9.2626423314374204E-4</v>
      </c>
      <c r="S119" s="99">
        <f t="shared" si="11"/>
        <v>9.2626423314374204E-4</v>
      </c>
      <c r="T119" s="99">
        <f t="shared" si="11"/>
        <v>9.2626423314374204E-4</v>
      </c>
      <c r="U119" s="99">
        <f t="shared" si="11"/>
        <v>9.2626423314374204E-4</v>
      </c>
      <c r="V119" s="99">
        <f t="shared" si="11"/>
        <v>9.2626423314374204E-4</v>
      </c>
      <c r="W119" s="99">
        <f t="shared" si="11"/>
        <v>9.2626423314374204E-4</v>
      </c>
      <c r="X119" s="99">
        <f t="shared" si="11"/>
        <v>9.2626423314374204E-4</v>
      </c>
      <c r="Y119" s="99">
        <f t="shared" si="11"/>
        <v>9.2626423314374204E-4</v>
      </c>
      <c r="Z119" s="99">
        <f t="shared" si="11"/>
        <v>9.2626423314374204E-4</v>
      </c>
      <c r="AA119" s="99">
        <f t="shared" si="11"/>
        <v>9.2626423314374204E-4</v>
      </c>
    </row>
    <row r="120" spans="2:31" ht="12.75" customHeight="1" x14ac:dyDescent="0.25">
      <c r="B120" s="21" t="s">
        <v>5</v>
      </c>
      <c r="C120" s="97">
        <f>Annual_sorted!H24</f>
        <v>-68.029277095805696</v>
      </c>
      <c r="D120" s="29">
        <f>IF(C120-Table_1463457811217[Burundi]&gt;0, C120-Table_1463457811217[Burundi], 0)</f>
        <v>0</v>
      </c>
      <c r="E120" s="29">
        <f>IF(C120-Table_1463457811217[Congo]&gt;0, C120-Table_1463457811217[Congo], 0)</f>
        <v>0</v>
      </c>
      <c r="F120" s="29">
        <f>IF(C120-Table_1463457811217[Egypt]&gt;0, C120-Table_1463457811217[Egypt], 0)</f>
        <v>0</v>
      </c>
      <c r="G120" s="29">
        <f>IF(C120-Table_1463457811217[Eritrea]&gt;0, C120-Table_1463457811217[Eritrea], 0)</f>
        <v>0</v>
      </c>
      <c r="H120" s="29">
        <f>IF(C120-Table_1463457811217[Ethiopia]&gt;0, C120-Table_1463457811217[Ethiopia], 0)</f>
        <v>0</v>
      </c>
      <c r="I120" s="29">
        <f>IF(C120-Table_1463457811217[Kenya]&gt;0, C120-Table_1463457811217[Kenya], 0)</f>
        <v>0</v>
      </c>
      <c r="J120" s="29">
        <f>IF(C120-Table_1463457811217[Rwanda]&gt;0, C120-Table_1463457811217[Rwanda], 0)</f>
        <v>0</v>
      </c>
      <c r="K120" s="29">
        <f>IF(C120-Table_1463457811217[South Sudan]&gt;0, C120-Table_1463457811217[South Sudan], 0)</f>
        <v>0</v>
      </c>
      <c r="L120" s="29">
        <f>IF(C120-Table_1463457811217[Sudan]&gt;0, C120-Table_1463457811217[Sudan], 0)</f>
        <v>0</v>
      </c>
      <c r="M120" s="29">
        <f>IF(C120-Table_1463457811217[Tanzania]&gt;0, C120-Table_1463457811217[Tanzania], 0)</f>
        <v>0</v>
      </c>
      <c r="N120" s="29">
        <f>IF(C120-Table_1463457811217[Uganda]&gt;0, C120-Table_1463457811217[Uganda], 0)</f>
        <v>0</v>
      </c>
      <c r="P120" s="21" t="s">
        <v>6</v>
      </c>
      <c r="Q120" s="99">
        <f t="shared" si="12"/>
        <v>9.2626423314374204E-4</v>
      </c>
      <c r="R120" s="99">
        <f t="shared" si="11"/>
        <v>9.2626423314374204E-4</v>
      </c>
      <c r="S120" s="99">
        <f t="shared" si="11"/>
        <v>9.2626423314374204E-4</v>
      </c>
      <c r="T120" s="99">
        <f t="shared" si="11"/>
        <v>9.2626423314374204E-4</v>
      </c>
      <c r="U120" s="99">
        <f t="shared" si="11"/>
        <v>0.10696966791186333</v>
      </c>
      <c r="V120" s="99">
        <f t="shared" si="11"/>
        <v>9.2626423314374204E-4</v>
      </c>
      <c r="W120" s="99">
        <f t="shared" si="11"/>
        <v>9.2626423314374204E-4</v>
      </c>
      <c r="X120" s="99">
        <f t="shared" si="11"/>
        <v>9.2626423314374204E-4</v>
      </c>
      <c r="Y120" s="99">
        <f t="shared" si="11"/>
        <v>9.2626423314374204E-4</v>
      </c>
      <c r="Z120" s="99">
        <f t="shared" si="11"/>
        <v>7.6757639757367588E-2</v>
      </c>
      <c r="AA120" s="99">
        <f t="shared" si="11"/>
        <v>4.5082431315198783E-2</v>
      </c>
    </row>
    <row r="121" spans="2:31" ht="12.75" customHeight="1" x14ac:dyDescent="0.25">
      <c r="B121" s="21" t="s">
        <v>6</v>
      </c>
      <c r="C121" s="97">
        <f>Annual_sorted!H25</f>
        <v>-26.065197687203078</v>
      </c>
      <c r="D121" s="29">
        <f>IF(C121-Table_1463457811217[Burundi]&gt;0, C121-Table_1463457811217[Burundi], 0)</f>
        <v>0</v>
      </c>
      <c r="E121" s="29">
        <f>IF(C121-Table_1463457811217[Congo]&gt;0, C121-Table_1463457811217[Congo], 0)</f>
        <v>0</v>
      </c>
      <c r="F121" s="29">
        <f>IF(C121-Table_1463457811217[Egypt]&gt;0, C121-Table_1463457811217[Egypt], 0)</f>
        <v>0</v>
      </c>
      <c r="G121" s="29">
        <f>IF(C121-Table_1463457811217[Eritrea]&gt;0, C121-Table_1463457811217[Eritrea], 0)</f>
        <v>0</v>
      </c>
      <c r="H121" s="29">
        <f>IF(C121-Table_1463457811217[Ethiopia]&gt;0, C121-Table_1463457811217[Ethiopia], 0)</f>
        <v>41.964079408602615</v>
      </c>
      <c r="I121" s="29">
        <f>IF(C121-Table_1463457811217[Kenya]&gt;0, C121-Table_1463457811217[Kenya], 0)</f>
        <v>0</v>
      </c>
      <c r="J121" s="29">
        <f>IF(C121-Table_1463457811217[Rwanda]&gt;0, C121-Table_1463457811217[Rwanda], 0)</f>
        <v>0</v>
      </c>
      <c r="K121" s="29">
        <f>IF(C121-Table_1463457811217[South Sudan]&gt;0, C121-Table_1463457811217[South Sudan], 0)</f>
        <v>0</v>
      </c>
      <c r="L121" s="29">
        <f>IF(C121-Table_1463457811217[Sudan]&gt;0, C121-Table_1463457811217[Sudan], 0)</f>
        <v>0</v>
      </c>
      <c r="M121" s="29">
        <f>IF(C121-Table_1463457811217[Tanzania]&gt;0, C121-Table_1463457811217[Tanzania], 0)</f>
        <v>30.008409328346428</v>
      </c>
      <c r="N121" s="29">
        <f>IF(C121-Table_1463457811217[Uganda]&gt;0, C121-Table_1463457811217[Uganda], 0)</f>
        <v>17.473721490728902</v>
      </c>
      <c r="P121" s="21" t="s">
        <v>7</v>
      </c>
      <c r="Q121" s="99">
        <f t="shared" si="12"/>
        <v>9.2626423314374204E-4</v>
      </c>
      <c r="R121" s="99">
        <f t="shared" si="11"/>
        <v>9.2626423314374204E-4</v>
      </c>
      <c r="S121" s="99">
        <f t="shared" si="11"/>
        <v>9.2626423314374204E-4</v>
      </c>
      <c r="T121" s="99">
        <f t="shared" si="11"/>
        <v>9.2626423314374204E-4</v>
      </c>
      <c r="U121" s="99">
        <f t="shared" si="11"/>
        <v>0.15512481682546042</v>
      </c>
      <c r="V121" s="99">
        <f t="shared" si="11"/>
        <v>4.9081413146740839E-2</v>
      </c>
      <c r="W121" s="99">
        <f t="shared" si="11"/>
        <v>9.2626423314374204E-4</v>
      </c>
      <c r="X121" s="99">
        <f t="shared" si="11"/>
        <v>9.2626423314374204E-4</v>
      </c>
      <c r="Y121" s="99">
        <f t="shared" si="11"/>
        <v>9.2626423314374204E-4</v>
      </c>
      <c r="Z121" s="99">
        <f t="shared" si="11"/>
        <v>0.12491278867096468</v>
      </c>
      <c r="AA121" s="99">
        <f t="shared" si="11"/>
        <v>9.3237580228795885E-2</v>
      </c>
    </row>
    <row r="122" spans="2:31" ht="12.75" customHeight="1" x14ac:dyDescent="0.25">
      <c r="B122" s="21" t="s">
        <v>7</v>
      </c>
      <c r="C122" s="97">
        <f>Annual_sorted!H26</f>
        <v>-7.0089770941177889</v>
      </c>
      <c r="D122" s="29">
        <f>IF(C122-Table_1463457811217[Burundi]&gt;0, C122-Table_1463457811217[Burundi], 0)</f>
        <v>0</v>
      </c>
      <c r="E122" s="29">
        <f>IF(C122-Table_1463457811217[Congo]&gt;0, C122-Table_1463457811217[Congo], 0)</f>
        <v>0</v>
      </c>
      <c r="F122" s="29">
        <f>IF(C122-Table_1463457811217[Egypt]&gt;0, C122-Table_1463457811217[Egypt], 0)</f>
        <v>0</v>
      </c>
      <c r="G122" s="29">
        <f>IF(C122-Table_1463457811217[Eritrea]&gt;0, C122-Table_1463457811217[Eritrea], 0)</f>
        <v>0</v>
      </c>
      <c r="H122" s="29">
        <f>IF(C122-Table_1463457811217[Ethiopia]&gt;0, C122-Table_1463457811217[Ethiopia], 0)</f>
        <v>61.020300001687907</v>
      </c>
      <c r="I122" s="29">
        <f>IF(C122-Table_1463457811217[Kenya]&gt;0, C122-Table_1463457811217[Kenya], 0)</f>
        <v>19.056220593085289</v>
      </c>
      <c r="J122" s="29">
        <f>IF(C122-Table_1463457811217[Rwanda]&gt;0, C122-Table_1463457811217[Rwanda], 0)</f>
        <v>0</v>
      </c>
      <c r="K122" s="29">
        <f>IF(C122-Table_1463457811217[South Sudan]&gt;0, C122-Table_1463457811217[South Sudan], 0)</f>
        <v>0</v>
      </c>
      <c r="L122" s="29">
        <f>IF(C122-Table_1463457811217[Sudan]&gt;0, C122-Table_1463457811217[Sudan], 0)</f>
        <v>0</v>
      </c>
      <c r="M122" s="29">
        <f>IF(C122-Table_1463457811217[Tanzania]&gt;0, C122-Table_1463457811217[Tanzania], 0)</f>
        <v>49.064629921431717</v>
      </c>
      <c r="N122" s="29">
        <f>IF(C122-Table_1463457811217[Uganda]&gt;0, C122-Table_1463457811217[Uganda], 0)</f>
        <v>36.529942083814191</v>
      </c>
      <c r="P122" s="21" t="s">
        <v>38</v>
      </c>
      <c r="Q122" s="99">
        <f t="shared" si="12"/>
        <v>0.77579582360204402</v>
      </c>
      <c r="R122" s="99">
        <f t="shared" si="11"/>
        <v>0.75004816430727972</v>
      </c>
      <c r="S122" s="99">
        <f t="shared" si="11"/>
        <v>9.2626423314374204E-4</v>
      </c>
      <c r="T122" s="99">
        <f t="shared" si="11"/>
        <v>0.75874832360435496</v>
      </c>
      <c r="U122" s="99">
        <f t="shared" si="11"/>
        <v>0.93006811196121686</v>
      </c>
      <c r="V122" s="99">
        <f t="shared" si="11"/>
        <v>0.8240247082824973</v>
      </c>
      <c r="W122" s="99">
        <f t="shared" si="11"/>
        <v>0.77586955936890012</v>
      </c>
      <c r="X122" s="99">
        <f t="shared" si="11"/>
        <v>9.2626423314374204E-4</v>
      </c>
      <c r="Y122" s="99">
        <f>$AE$115+(L123-$AE$113)*($AE$116-$AE$115)/($AE$114-$AE$113)</f>
        <v>0.73170388186321267</v>
      </c>
      <c r="Z122" s="99">
        <f t="shared" si="11"/>
        <v>0.89985608380672122</v>
      </c>
      <c r="AA122" s="99">
        <f t="shared" si="11"/>
        <v>0.86818087536455235</v>
      </c>
    </row>
    <row r="123" spans="2:31" ht="12.75" customHeight="1" x14ac:dyDescent="0.25">
      <c r="B123" s="21" t="s">
        <v>9</v>
      </c>
      <c r="C123" s="97">
        <f>Annual_sorted!H27</f>
        <v>299.65584925157799</v>
      </c>
      <c r="D123" s="29">
        <f>IF(C123-Table_1463457811217[Burundi]&gt;0, C123-Table_1463457811217[Burundi], 0)</f>
        <v>306.63564722216461</v>
      </c>
      <c r="E123" s="29">
        <f>IF(C123-Table_1463457811217[Congo]&gt;0, C123-Table_1463457811217[Congo], 0)</f>
        <v>296.44664176073428</v>
      </c>
      <c r="F123" s="29">
        <f>IF(C123-Table_1463457811217[Egypt]&gt;0, C123-Table_1463457811217[Egypt], 0)</f>
        <v>0</v>
      </c>
      <c r="G123" s="29">
        <f>IF(C123-Table_1463457811217[Eritrea]&gt;0, C123-Table_1463457811217[Eritrea], 0)</f>
        <v>299.8895166868927</v>
      </c>
      <c r="H123" s="29">
        <f>IF(C123-Table_1463457811217[Ethiopia]&gt;0, C123-Table_1463457811217[Ethiopia], 0)</f>
        <v>367.68512634738369</v>
      </c>
      <c r="I123" s="29">
        <f>IF(C123-Table_1463457811217[Kenya]&gt;0, C123-Table_1463457811217[Kenya], 0)</f>
        <v>325.72104693878106</v>
      </c>
      <c r="J123" s="29">
        <f>IF(C123-Table_1463457811217[Rwanda]&gt;0, C123-Table_1463457811217[Rwanda], 0)</f>
        <v>306.66482634569576</v>
      </c>
      <c r="K123" s="29">
        <f>IF(C123-Table_1463457811217[South Sudan]&gt;0, C123-Table_1463457811217[South Sudan], 0)</f>
        <v>0</v>
      </c>
      <c r="L123" s="29">
        <f>IF(C123-Table_1463457811217[Sudan]&gt;0, C123-Table_1463457811217[Sudan], 0)</f>
        <v>289.18734133777787</v>
      </c>
      <c r="M123" s="29">
        <f>IF(C123-Table_1463457811217[Tanzania]&gt;0, C123-Table_1463457811217[Tanzania], 0)</f>
        <v>355.72945626712749</v>
      </c>
      <c r="N123" s="29">
        <f>IF(C123-Table_1463457811217[Uganda]&gt;0, C123-Table_1463457811217[Uganda], 0)</f>
        <v>343.19476842950996</v>
      </c>
      <c r="P123" s="21" t="s">
        <v>8</v>
      </c>
      <c r="Q123" s="99">
        <f t="shared" si="12"/>
        <v>4.5018205971975013E-2</v>
      </c>
      <c r="R123" s="99">
        <f t="shared" si="11"/>
        <v>1.9270546677210832E-2</v>
      </c>
      <c r="S123" s="99">
        <f t="shared" si="11"/>
        <v>9.2626423314374204E-4</v>
      </c>
      <c r="T123" s="99">
        <f t="shared" si="11"/>
        <v>2.7970705974286126E-2</v>
      </c>
      <c r="U123" s="99">
        <f t="shared" si="11"/>
        <v>0.19929049433114798</v>
      </c>
      <c r="V123" s="99">
        <f t="shared" si="11"/>
        <v>9.3247090652428366E-2</v>
      </c>
      <c r="W123" s="99">
        <f t="shared" si="11"/>
        <v>4.5091941738831277E-2</v>
      </c>
      <c r="X123" s="99">
        <f t="shared" si="11"/>
        <v>9.2626423314374204E-4</v>
      </c>
      <c r="Y123" s="99">
        <f t="shared" si="11"/>
        <v>9.2626423314374204E-4</v>
      </c>
      <c r="Z123" s="99">
        <f t="shared" si="11"/>
        <v>0.16907846617665226</v>
      </c>
      <c r="AA123" s="99">
        <f t="shared" si="11"/>
        <v>0.13740325773448342</v>
      </c>
    </row>
    <row r="124" spans="2:31" ht="12.75" customHeight="1" x14ac:dyDescent="0.25">
      <c r="B124" s="21" t="s">
        <v>8</v>
      </c>
      <c r="C124" s="97">
        <f>Annual_sorted!H28</f>
        <v>10.468507913800099</v>
      </c>
      <c r="D124" s="29">
        <f>IF(C124-Table_1463457811217[Burundi]&gt;0, C124-Table_1463457811217[Burundi], 0)</f>
        <v>17.448305884386688</v>
      </c>
      <c r="E124" s="29">
        <f>IF(C124-Table_1463457811217[Congo]&gt;0, C124-Table_1463457811217[Congo], 0)</f>
        <v>7.2593004229564091</v>
      </c>
      <c r="F124" s="29">
        <f>IF(C124-Table_1463457811217[Egypt]&gt;0, C124-Table_1463457811217[Egypt], 0)</f>
        <v>0</v>
      </c>
      <c r="G124" s="29">
        <f>IF(C124-Table_1463457811217[Eritrea]&gt;0, C124-Table_1463457811217[Eritrea], 0)</f>
        <v>10.702175349114835</v>
      </c>
      <c r="H124" s="29">
        <f>IF(C124-Table_1463457811217[Ethiopia]&gt;0, C124-Table_1463457811217[Ethiopia], 0)</f>
        <v>78.497785009605792</v>
      </c>
      <c r="I124" s="29">
        <f>IF(C124-Table_1463457811217[Kenya]&gt;0, C124-Table_1463457811217[Kenya], 0)</f>
        <v>36.533705601003177</v>
      </c>
      <c r="J124" s="29">
        <f>IF(C124-Table_1463457811217[Rwanda]&gt;0, C124-Table_1463457811217[Rwanda], 0)</f>
        <v>17.477485007917888</v>
      </c>
      <c r="K124" s="29">
        <f>IF(C124-Table_1463457811217[South Sudan]&gt;0, C124-Table_1463457811217[South Sudan], 0)</f>
        <v>0</v>
      </c>
      <c r="L124" s="29">
        <f>IF(C124-Table_1463457811217[Sudan]&gt;0, C124-Table_1463457811217[Sudan], 0)</f>
        <v>0</v>
      </c>
      <c r="M124" s="29">
        <f>IF(C124-Table_1463457811217[Tanzania]&gt;0, C124-Table_1463457811217[Tanzania], 0)</f>
        <v>66.542114929349609</v>
      </c>
      <c r="N124" s="29">
        <f>IF(C124-Table_1463457811217[Uganda]&gt;0, C124-Table_1463457811217[Uganda], 0)</f>
        <v>54.007427091732083</v>
      </c>
      <c r="P124" s="21" t="s">
        <v>10</v>
      </c>
      <c r="Q124" s="99">
        <f t="shared" si="12"/>
        <v>9.2626423314374204E-4</v>
      </c>
      <c r="R124" s="99">
        <f t="shared" si="11"/>
        <v>9.2626423314374204E-4</v>
      </c>
      <c r="S124" s="99">
        <f t="shared" si="11"/>
        <v>9.2626423314374204E-4</v>
      </c>
      <c r="T124" s="99">
        <f t="shared" si="11"/>
        <v>9.2626423314374204E-4</v>
      </c>
      <c r="U124" s="99">
        <f t="shared" si="11"/>
        <v>3.1138292387639478E-2</v>
      </c>
      <c r="V124" s="99">
        <f t="shared" si="11"/>
        <v>9.2626423314374204E-4</v>
      </c>
      <c r="W124" s="99">
        <f t="shared" si="11"/>
        <v>9.2626423314374204E-4</v>
      </c>
      <c r="X124" s="99">
        <f t="shared" si="11"/>
        <v>9.2626423314374204E-4</v>
      </c>
      <c r="Y124" s="99">
        <f t="shared" si="11"/>
        <v>9.2626423314374204E-4</v>
      </c>
      <c r="Z124" s="99">
        <f t="shared" si="11"/>
        <v>9.2626423314374204E-4</v>
      </c>
      <c r="AA124" s="99">
        <f t="shared" si="11"/>
        <v>9.2626423314374204E-4</v>
      </c>
    </row>
    <row r="125" spans="2:31" ht="12.75" customHeight="1" thickBot="1" x14ac:dyDescent="0.3">
      <c r="B125" s="21" t="s">
        <v>10</v>
      </c>
      <c r="C125" s="97">
        <f>Annual_sorted!H29</f>
        <v>-56.073607015549506</v>
      </c>
      <c r="D125" s="29">
        <f>IF(C125-Table_1463457811217[Burundi]&gt;0, C125-Table_1463457811217[Burundi], 0)</f>
        <v>0</v>
      </c>
      <c r="E125" s="29">
        <f>IF(C125-Table_1463457811217[Congo]&gt;0, C125-Table_1463457811217[Congo], 0)</f>
        <v>0</v>
      </c>
      <c r="F125" s="29">
        <f>IF(C125-Table_1463457811217[Egypt]&gt;0, C125-Table_1463457811217[Egypt], 0)</f>
        <v>0</v>
      </c>
      <c r="G125" s="29">
        <f>IF(C125-Table_1463457811217[Eritrea]&gt;0, C125-Table_1463457811217[Eritrea], 0)</f>
        <v>0</v>
      </c>
      <c r="H125" s="29">
        <f>IF(C125-Table_1463457811217[Ethiopia]&gt;0, C125-Table_1463457811217[Ethiopia], 0)</f>
        <v>11.955670080256191</v>
      </c>
      <c r="I125" s="29">
        <f>IF(C125-Table_1463457811217[Kenya]&gt;0, C125-Table_1463457811217[Kenya], 0)</f>
        <v>0</v>
      </c>
      <c r="J125" s="29">
        <f>IF(C125-Table_1463457811217[Rwanda]&gt;0, C125-Table_1463457811217[Rwanda], 0)</f>
        <v>0</v>
      </c>
      <c r="K125" s="29">
        <f>IF(C125-Table_1463457811217[South Sudan]&gt;0, C125-Table_1463457811217[South Sudan], 0)</f>
        <v>0</v>
      </c>
      <c r="L125" s="29">
        <f>IF(C125-Table_1463457811217[Sudan]&gt;0, C125-Table_1463457811217[Sudan], 0)</f>
        <v>0</v>
      </c>
      <c r="M125" s="29">
        <f>IF(C125-Table_1463457811217[Tanzania]&gt;0, C125-Table_1463457811217[Tanzania], 0)</f>
        <v>0</v>
      </c>
      <c r="N125" s="29">
        <f>IF(C125-Table_1463457811217[Uganda]&gt;0, C125-Table_1463457811217[Uganda], 0)</f>
        <v>0</v>
      </c>
      <c r="P125" s="22" t="s">
        <v>11</v>
      </c>
      <c r="Q125" s="100">
        <f t="shared" si="12"/>
        <v>9.2626423314374204E-4</v>
      </c>
      <c r="R125" s="100">
        <f t="shared" si="11"/>
        <v>9.2626423314374204E-4</v>
      </c>
      <c r="S125" s="100">
        <f t="shared" si="11"/>
        <v>9.2626423314374204E-4</v>
      </c>
      <c r="T125" s="100">
        <f t="shared" si="11"/>
        <v>9.2626423314374204E-4</v>
      </c>
      <c r="U125" s="100">
        <f t="shared" si="11"/>
        <v>6.2813500829808286E-2</v>
      </c>
      <c r="V125" s="100">
        <f t="shared" si="11"/>
        <v>9.2626423314374204E-4</v>
      </c>
      <c r="W125" s="100">
        <f t="shared" si="11"/>
        <v>9.2626423314374204E-4</v>
      </c>
      <c r="X125" s="100">
        <f t="shared" si="11"/>
        <v>9.2626423314374204E-4</v>
      </c>
      <c r="Y125" s="100">
        <f t="shared" si="11"/>
        <v>9.2626423314374204E-4</v>
      </c>
      <c r="Z125" s="100">
        <f t="shared" si="11"/>
        <v>3.2601472675312548E-2</v>
      </c>
      <c r="AA125" s="100">
        <f t="shared" si="11"/>
        <v>9.2626423314374204E-4</v>
      </c>
    </row>
    <row r="126" spans="2:31" ht="12.75" customHeight="1" thickBot="1" x14ac:dyDescent="0.3">
      <c r="B126" s="22" t="s">
        <v>11</v>
      </c>
      <c r="C126" s="98">
        <f>Annual_sorted!H30</f>
        <v>-43.53891917793198</v>
      </c>
      <c r="D126" s="32">
        <f>IF(C126-Table_1463457811217[Burundi]&gt;0, C126-Table_1463457811217[Burundi], 0)</f>
        <v>0</v>
      </c>
      <c r="E126" s="32">
        <f>IF(C126-Table_1463457811217[Congo]&gt;0, C126-Table_1463457811217[Congo], 0)</f>
        <v>0</v>
      </c>
      <c r="F126" s="32">
        <f>IF(C126-Table_1463457811217[Egypt]&gt;0, C126-Table_1463457811217[Egypt], 0)</f>
        <v>0</v>
      </c>
      <c r="G126" s="32">
        <f>IF(C126-Table_1463457811217[Eritrea]&gt;0, C126-Table_1463457811217[Eritrea], 0)</f>
        <v>0</v>
      </c>
      <c r="H126" s="32">
        <f>IF(C126-Table_1463457811217[Ethiopia]&gt;0, C126-Table_1463457811217[Ethiopia], 0)</f>
        <v>24.490357917873716</v>
      </c>
      <c r="I126" s="32">
        <f>IF(C126-Table_1463457811217[Kenya]&gt;0, C126-Table_1463457811217[Kenya], 0)</f>
        <v>0</v>
      </c>
      <c r="J126" s="32">
        <f>IF(C126-Table_1463457811217[Rwanda]&gt;0, C126-Table_1463457811217[Rwanda], 0)</f>
        <v>0</v>
      </c>
      <c r="K126" s="32">
        <f>IF(C126-Table_1463457811217[South Sudan]&gt;0, C126-Table_1463457811217[South Sudan], 0)</f>
        <v>0</v>
      </c>
      <c r="L126" s="32">
        <f>IF(C126-Table_1463457811217[Sudan]&gt;0, C126-Table_1463457811217[Sudan], 0)</f>
        <v>0</v>
      </c>
      <c r="M126" s="32">
        <f>IF(C126-Table_1463457811217[Tanzania]&gt;0, C126-Table_1463457811217[Tanzania], 0)</f>
        <v>12.534687837617525</v>
      </c>
      <c r="N126" s="32">
        <f>IF(C126-Table_1463457811217[Uganda]&gt;0, C126-Table_1463457811217[Uganda], 0)</f>
        <v>0</v>
      </c>
    </row>
    <row r="127" spans="2:31" ht="12.75" customHeight="1" x14ac:dyDescent="0.25"/>
    <row r="128" spans="2:31" ht="12.75" customHeight="1" x14ac:dyDescent="0.25"/>
    <row r="129" spans="2:31" ht="12.75" customHeight="1" x14ac:dyDescent="0.25">
      <c r="P129" s="5"/>
      <c r="Q129" s="5"/>
      <c r="R129" s="5"/>
      <c r="S129" s="5"/>
      <c r="T129" s="5"/>
      <c r="U129" s="5"/>
      <c r="V129" s="5"/>
      <c r="W129" s="5"/>
      <c r="X129" s="5"/>
      <c r="Y129" s="5"/>
      <c r="Z129" s="5"/>
      <c r="AA129" s="5"/>
    </row>
    <row r="130" spans="2:31" ht="12.75" customHeight="1" x14ac:dyDescent="0.25">
      <c r="B130" s="5"/>
      <c r="C130" s="5"/>
      <c r="D130" s="5"/>
      <c r="E130" s="5"/>
      <c r="F130" s="5"/>
      <c r="G130" s="5"/>
      <c r="H130" s="5"/>
      <c r="I130" s="5"/>
      <c r="J130" s="5"/>
      <c r="K130" s="5"/>
      <c r="L130" s="5"/>
      <c r="M130" s="5"/>
      <c r="N130" s="5"/>
      <c r="P130" s="5"/>
      <c r="Q130" s="5"/>
      <c r="R130" s="5"/>
      <c r="S130" s="5"/>
      <c r="T130" s="5"/>
      <c r="U130" s="5"/>
      <c r="V130" s="5"/>
      <c r="W130" s="5"/>
      <c r="X130" s="5"/>
      <c r="Y130" s="5"/>
      <c r="Z130" s="5"/>
      <c r="AA130" s="5"/>
    </row>
    <row r="131" spans="2:31" ht="12.75" customHeight="1" thickBot="1" x14ac:dyDescent="0.3">
      <c r="B131" s="214" t="s">
        <v>104</v>
      </c>
      <c r="C131" s="214"/>
      <c r="D131" s="214"/>
      <c r="E131" s="214"/>
      <c r="F131" s="214"/>
      <c r="G131" s="214"/>
      <c r="H131" s="214"/>
      <c r="I131" s="214"/>
      <c r="J131" s="214"/>
      <c r="K131" s="214"/>
      <c r="L131" s="214"/>
      <c r="M131" s="214"/>
      <c r="N131" s="214"/>
      <c r="P131" s="214" t="s">
        <v>105</v>
      </c>
      <c r="Q131" s="214"/>
      <c r="R131" s="214"/>
      <c r="S131" s="214"/>
      <c r="T131" s="214"/>
      <c r="U131" s="214"/>
      <c r="V131" s="214"/>
      <c r="W131" s="214"/>
      <c r="X131" s="214"/>
      <c r="Y131" s="214"/>
      <c r="Z131" s="214"/>
      <c r="AA131" s="214"/>
      <c r="AB131" s="10"/>
      <c r="AC131" s="3" t="s">
        <v>23</v>
      </c>
      <c r="AD131" s="13" t="s">
        <v>24</v>
      </c>
      <c r="AE131" s="76">
        <f t="array" ref="AE131">MIN(IF(D134:N144&gt;0,D134:N144))</f>
        <v>2.222514992082111</v>
      </c>
    </row>
    <row r="132" spans="2:31" ht="12.75" customHeight="1" thickBot="1" x14ac:dyDescent="0.3">
      <c r="B132" s="77" t="s">
        <v>14</v>
      </c>
      <c r="C132" s="68" t="s">
        <v>15</v>
      </c>
      <c r="D132" s="69" t="s">
        <v>1</v>
      </c>
      <c r="E132" s="69" t="s">
        <v>2</v>
      </c>
      <c r="F132" s="69" t="s">
        <v>3</v>
      </c>
      <c r="G132" s="69" t="s">
        <v>4</v>
      </c>
      <c r="H132" s="69" t="s">
        <v>5</v>
      </c>
      <c r="I132" s="69" t="s">
        <v>6</v>
      </c>
      <c r="J132" s="69" t="s">
        <v>7</v>
      </c>
      <c r="K132" s="69" t="s">
        <v>9</v>
      </c>
      <c r="L132" s="69" t="s">
        <v>8</v>
      </c>
      <c r="M132" s="69" t="s">
        <v>10</v>
      </c>
      <c r="N132" s="69" t="s">
        <v>11</v>
      </c>
      <c r="P132" s="78" t="s">
        <v>20</v>
      </c>
      <c r="Q132" s="79" t="s">
        <v>1</v>
      </c>
      <c r="R132" s="79" t="s">
        <v>2</v>
      </c>
      <c r="S132" s="79" t="s">
        <v>3</v>
      </c>
      <c r="T132" s="79" t="s">
        <v>4</v>
      </c>
      <c r="U132" s="79" t="s">
        <v>5</v>
      </c>
      <c r="V132" s="79" t="s">
        <v>6</v>
      </c>
      <c r="W132" s="79" t="s">
        <v>7</v>
      </c>
      <c r="X132" s="79" t="s">
        <v>32</v>
      </c>
      <c r="Y132" s="79" t="s">
        <v>8</v>
      </c>
      <c r="Z132" s="79" t="s">
        <v>10</v>
      </c>
      <c r="AA132" s="79" t="s">
        <v>11</v>
      </c>
      <c r="AB132" s="213" t="s">
        <v>27</v>
      </c>
      <c r="AC132" s="213"/>
      <c r="AD132" s="13" t="s">
        <v>25</v>
      </c>
      <c r="AE132" s="20">
        <f>MAX(D134:N144)</f>
        <v>338.85895801487771</v>
      </c>
    </row>
    <row r="133" spans="2:31" ht="12.75" customHeight="1" x14ac:dyDescent="0.25">
      <c r="B133" s="95"/>
      <c r="C133" s="96" t="s">
        <v>83</v>
      </c>
      <c r="D133" s="97">
        <f>C134</f>
        <v>-6.9797979705865894</v>
      </c>
      <c r="E133" s="97">
        <f>C135</f>
        <v>3.2092074908436903</v>
      </c>
      <c r="F133" s="97">
        <f>C136</f>
        <v>270.82968091907202</v>
      </c>
      <c r="G133" s="97">
        <f>C137</f>
        <v>-0.23366743531473522</v>
      </c>
      <c r="H133" s="97">
        <f>C138</f>
        <v>-68.029277095805696</v>
      </c>
      <c r="I133" s="97">
        <f>C139</f>
        <v>-26.065197687203078</v>
      </c>
      <c r="J133" s="97">
        <f>C140</f>
        <v>-10.80897709411779</v>
      </c>
      <c r="K133" s="97">
        <f>C141</f>
        <v>265.85584925157798</v>
      </c>
      <c r="L133" s="97">
        <f>C142</f>
        <v>-13.031492086199901</v>
      </c>
      <c r="M133" s="97">
        <f>C143</f>
        <v>-56.073607015549506</v>
      </c>
      <c r="N133" s="97">
        <f>C144</f>
        <v>-64.638919177931967</v>
      </c>
      <c r="P133" s="21" t="s">
        <v>1</v>
      </c>
      <c r="Q133" s="99">
        <f>$AE$133+(D134-$AE$131)*($AE$134-$AE$133)/($AE$132-$AE$131)</f>
        <v>-5.5955202507284099E-3</v>
      </c>
      <c r="R133" s="99">
        <f t="shared" ref="R133:AA143" si="13">$AE$133+(E134-$AE$131)*($AE$134-$AE$133)/($AE$132-$AE$131)</f>
        <v>-5.5955202507284099E-3</v>
      </c>
      <c r="S133" s="99">
        <f t="shared" si="13"/>
        <v>-5.5955202507284099E-3</v>
      </c>
      <c r="T133" s="99">
        <f t="shared" si="13"/>
        <v>-5.5955202507284099E-3</v>
      </c>
      <c r="U133" s="99">
        <f t="shared" si="13"/>
        <v>0.17557449538529113</v>
      </c>
      <c r="V133" s="99">
        <f t="shared" si="13"/>
        <v>5.1042181079809894E-2</v>
      </c>
      <c r="W133" s="99">
        <f t="shared" si="13"/>
        <v>5.7679254596002026E-3</v>
      </c>
      <c r="X133" s="99">
        <f t="shared" si="13"/>
        <v>-5.5955202507284099E-3</v>
      </c>
      <c r="Y133" s="99">
        <f t="shared" si="13"/>
        <v>1.2363445710328613E-2</v>
      </c>
      <c r="Z133" s="99">
        <f t="shared" si="13"/>
        <v>0.14009493083509433</v>
      </c>
      <c r="AA133" s="99">
        <f t="shared" si="13"/>
        <v>0.16551329247587676</v>
      </c>
      <c r="AD133" s="3" t="s">
        <v>26</v>
      </c>
      <c r="AE133" s="2">
        <v>1E-3</v>
      </c>
    </row>
    <row r="134" spans="2:31" ht="12.75" customHeight="1" x14ac:dyDescent="0.25">
      <c r="B134" s="21" t="s">
        <v>1</v>
      </c>
      <c r="C134" s="97">
        <f>Annual_sorted!I20</f>
        <v>-6.9797979705865894</v>
      </c>
      <c r="D134" s="29">
        <f>IF(C134-Table_14634578112918[Burundi]&gt;0, C134-Table_14634578112918[Burundi], 0)</f>
        <v>0</v>
      </c>
      <c r="E134" s="29">
        <f>IF(C134-Table_14634578112918[Congo]&gt;0, C134-Table_14634578112918[Congo], 0)</f>
        <v>0</v>
      </c>
      <c r="F134" s="29">
        <f>IF(C134-Table_14634578112918[Egypt]&gt;0, C134-Table_14634578112918[Egypt], 0)</f>
        <v>0</v>
      </c>
      <c r="G134" s="29">
        <f>IF(C134-Table_14634578112918[Eritrea]&gt;0, C134-Table_14634578112918[Eritrea], 0)</f>
        <v>0</v>
      </c>
      <c r="H134" s="29">
        <f>IF(C134-Table_14634578112918[Ethiopia]&gt;0, C134-Table_14634578112918[Ethiopia], 0)</f>
        <v>61.049479125219108</v>
      </c>
      <c r="I134" s="29">
        <f>IF(C134-Table_14634578112918[Kenya]&gt;0, C134-Table_14634578112918[Kenya], 0)</f>
        <v>19.085399716616489</v>
      </c>
      <c r="J134" s="29">
        <f>IF(C134-Table_14634578112918[Rwanda]&gt;0, C134-Table_14634578112918[Rwanda], 0)</f>
        <v>3.8291791235312003</v>
      </c>
      <c r="K134" s="29">
        <f>IF(C134-Table_14634578112918[South Sudan]&gt;0, C134-Table_14634578112918[South Sudan], 0)</f>
        <v>0</v>
      </c>
      <c r="L134" s="29">
        <f>IF(C134-Table_14634578112918[Sudan]&gt;0, C134-Table_14634578112918[Sudan], 0)</f>
        <v>6.0516941156133113</v>
      </c>
      <c r="M134" s="29">
        <f>IF(C134-Table_14634578112918[Tanzania]&gt;0, C134-Table_14634578112918[Tanzania], 0)</f>
        <v>49.093809044962917</v>
      </c>
      <c r="N134" s="29">
        <f>IF(C134-Table_14634578112918[Uganda]&gt;0, C134-Table_14634578112918[Uganda], 0)</f>
        <v>57.659121207345379</v>
      </c>
      <c r="P134" s="21" t="s">
        <v>2</v>
      </c>
      <c r="Q134" s="99">
        <f t="shared" ref="Q134:Q143" si="14">$AE$133+(D135-$AE$131)*($AE$134-$AE$133)/($AE$132-$AE$131)</f>
        <v>2.4641302490651325E-2</v>
      </c>
      <c r="R134" s="99">
        <f t="shared" si="13"/>
        <v>-5.5955202507284099E-3</v>
      </c>
      <c r="S134" s="99">
        <f t="shared" si="13"/>
        <v>-5.5955202507284099E-3</v>
      </c>
      <c r="T134" s="99">
        <f t="shared" si="13"/>
        <v>4.6215317723627535E-3</v>
      </c>
      <c r="U134" s="99">
        <f t="shared" si="13"/>
        <v>0.20581131812667086</v>
      </c>
      <c r="V134" s="99">
        <f t="shared" si="13"/>
        <v>8.1279003821189633E-2</v>
      </c>
      <c r="W134" s="99">
        <f t="shared" si="13"/>
        <v>3.6004748200979937E-2</v>
      </c>
      <c r="X134" s="99">
        <f t="shared" si="13"/>
        <v>-5.5955202507284099E-3</v>
      </c>
      <c r="Y134" s="99">
        <f t="shared" si="13"/>
        <v>4.2600268451708355E-2</v>
      </c>
      <c r="Z134" s="99">
        <f t="shared" si="13"/>
        <v>0.17033175357647404</v>
      </c>
      <c r="AA134" s="99">
        <f t="shared" si="13"/>
        <v>0.19575011521725652</v>
      </c>
      <c r="AD134" s="3" t="s">
        <v>84</v>
      </c>
      <c r="AE134" s="2">
        <v>1</v>
      </c>
    </row>
    <row r="135" spans="2:31" ht="12.75" customHeight="1" x14ac:dyDescent="0.25">
      <c r="B135" s="21" t="s">
        <v>2</v>
      </c>
      <c r="C135" s="97">
        <f>Annual_sorted!I21</f>
        <v>3.2092074908436903</v>
      </c>
      <c r="D135" s="29">
        <f>IF(C135-Table_14634578112918[Burundi]&gt;0, C135-Table_14634578112918[Burundi], 0)</f>
        <v>10.189005461430281</v>
      </c>
      <c r="E135" s="29">
        <f>IF(C135-Table_14634578112918[Congo]&gt;0, C135-Table_14634578112918[Congo], 0)</f>
        <v>0</v>
      </c>
      <c r="F135" s="29">
        <f>IF(C135-Table_14634578112918[Egypt]&gt;0, C135-Table_14634578112918[Egypt], 0)</f>
        <v>0</v>
      </c>
      <c r="G135" s="29">
        <f>IF(C135-Table_14634578112918[Eritrea]&gt;0, C135-Table_14634578112918[Eritrea], 0)</f>
        <v>3.4428749261584253</v>
      </c>
      <c r="H135" s="29">
        <f>IF(C135-Table_14634578112918[Ethiopia]&gt;0, C135-Table_14634578112918[Ethiopia], 0)</f>
        <v>71.238484586649392</v>
      </c>
      <c r="I135" s="29">
        <f>IF(C135-Table_14634578112918[Kenya]&gt;0, C135-Table_14634578112918[Kenya], 0)</f>
        <v>29.27440517804677</v>
      </c>
      <c r="J135" s="29">
        <f>IF(C135-Table_14634578112918[Rwanda]&gt;0, C135-Table_14634578112918[Rwanda], 0)</f>
        <v>14.01818458496148</v>
      </c>
      <c r="K135" s="29">
        <f>IF(C135-Table_14634578112918[South Sudan]&gt;0, C135-Table_14634578112918[South Sudan], 0)</f>
        <v>0</v>
      </c>
      <c r="L135" s="29">
        <f>IF(C135-Table_14634578112918[Sudan]&gt;0, C135-Table_14634578112918[Sudan], 0)</f>
        <v>16.240699577043593</v>
      </c>
      <c r="M135" s="29">
        <f>IF(C135-Table_14634578112918[Tanzania]&gt;0, C135-Table_14634578112918[Tanzania], 0)</f>
        <v>59.282814506393194</v>
      </c>
      <c r="N135" s="29">
        <f>IF(C135-Table_14634578112918[Uganda]&gt;0, C135-Table_14634578112918[Uganda], 0)</f>
        <v>67.848126668775663</v>
      </c>
      <c r="P135" s="21" t="s">
        <v>3</v>
      </c>
      <c r="Q135" s="99">
        <f t="shared" si="14"/>
        <v>0.81882998436398047</v>
      </c>
      <c r="R135" s="99">
        <f t="shared" si="13"/>
        <v>0.78859316162260062</v>
      </c>
      <c r="S135" s="99">
        <f t="shared" si="13"/>
        <v>-5.5955202507284099E-3</v>
      </c>
      <c r="T135" s="99">
        <f t="shared" si="13"/>
        <v>0.79881021364569171</v>
      </c>
      <c r="U135" s="99">
        <f t="shared" si="13"/>
        <v>1</v>
      </c>
      <c r="V135" s="99">
        <f t="shared" si="13"/>
        <v>0.87546768569451872</v>
      </c>
      <c r="W135" s="99">
        <f t="shared" si="13"/>
        <v>0.83019343007430912</v>
      </c>
      <c r="X135" s="99">
        <f t="shared" si="13"/>
        <v>9.1647885001874124E-3</v>
      </c>
      <c r="Y135" s="99">
        <f t="shared" si="13"/>
        <v>0.83678895032503731</v>
      </c>
      <c r="Z135" s="99">
        <f t="shared" si="13"/>
        <v>0.96452043544980315</v>
      </c>
      <c r="AA135" s="99">
        <f t="shared" si="13"/>
        <v>0.98993879709058574</v>
      </c>
    </row>
    <row r="136" spans="2:31" ht="12.75" customHeight="1" x14ac:dyDescent="0.25">
      <c r="B136" s="21" t="s">
        <v>3</v>
      </c>
      <c r="C136" s="97">
        <f>Annual_sorted!I22</f>
        <v>270.82968091907202</v>
      </c>
      <c r="D136" s="29">
        <f>IF(C136-Table_14634578112918[Burundi]&gt;0, C136-Table_14634578112918[Burundi], 0)</f>
        <v>277.80947888965864</v>
      </c>
      <c r="E136" s="29">
        <f>IF(C136-Table_14634578112918[Congo]&gt;0, C136-Table_14634578112918[Congo], 0)</f>
        <v>267.62047342822831</v>
      </c>
      <c r="F136" s="29">
        <f>IF(C136-Table_14634578112918[Egypt]&gt;0, C136-Table_14634578112918[Egypt], 0)</f>
        <v>0</v>
      </c>
      <c r="G136" s="29">
        <f>IF(C136-Table_14634578112918[Eritrea]&gt;0, C136-Table_14634578112918[Eritrea], 0)</f>
        <v>271.06334835438673</v>
      </c>
      <c r="H136" s="29">
        <f>IF(C136-Table_14634578112918[Ethiopia]&gt;0, C136-Table_14634578112918[Ethiopia], 0)</f>
        <v>338.85895801487771</v>
      </c>
      <c r="I136" s="29">
        <f>IF(C136-Table_14634578112918[Kenya]&gt;0, C136-Table_14634578112918[Kenya], 0)</f>
        <v>296.89487860627509</v>
      </c>
      <c r="J136" s="29">
        <f>IF(C136-Table_14634578112918[Rwanda]&gt;0, C136-Table_14634578112918[Rwanda], 0)</f>
        <v>281.6386580131898</v>
      </c>
      <c r="K136" s="29">
        <f>IF(C136-Table_14634578112918[South Sudan]&gt;0, C136-Table_14634578112918[South Sudan], 0)</f>
        <v>4.9738316674940393</v>
      </c>
      <c r="L136" s="29">
        <f>IF(C136-Table_14634578112918[Sudan]&gt;0, C136-Table_14634578112918[Sudan], 0)</f>
        <v>283.86117300527189</v>
      </c>
      <c r="M136" s="29">
        <f>IF(C136-Table_14634578112918[Tanzania]&gt;0, C136-Table_14634578112918[Tanzania], 0)</f>
        <v>326.90328793462152</v>
      </c>
      <c r="N136" s="29">
        <f>IF(C136-Table_14634578112918[Uganda]&gt;0, C136-Table_14634578112918[Uganda], 0)</f>
        <v>335.46860009700401</v>
      </c>
      <c r="P136" s="21" t="s">
        <v>4</v>
      </c>
      <c r="Q136" s="99">
        <f t="shared" si="14"/>
        <v>1.442425046756016E-2</v>
      </c>
      <c r="R136" s="99">
        <f t="shared" si="13"/>
        <v>-5.5955202507284099E-3</v>
      </c>
      <c r="S136" s="99">
        <f t="shared" si="13"/>
        <v>-5.5955202507284099E-3</v>
      </c>
      <c r="T136" s="99">
        <f t="shared" si="13"/>
        <v>-5.5955202507284099E-3</v>
      </c>
      <c r="U136" s="99">
        <f t="shared" si="13"/>
        <v>0.19559426610357974</v>
      </c>
      <c r="V136" s="99">
        <f t="shared" si="13"/>
        <v>7.1061951798098461E-2</v>
      </c>
      <c r="W136" s="99">
        <f t="shared" si="13"/>
        <v>2.5787696177888772E-2</v>
      </c>
      <c r="X136" s="99">
        <f t="shared" si="13"/>
        <v>-5.5955202507284099E-3</v>
      </c>
      <c r="Y136" s="99">
        <f t="shared" si="13"/>
        <v>3.2383216428617183E-2</v>
      </c>
      <c r="Z136" s="99">
        <f t="shared" si="13"/>
        <v>0.16011470155338289</v>
      </c>
      <c r="AA136" s="99">
        <f t="shared" si="13"/>
        <v>0.18553306319416538</v>
      </c>
    </row>
    <row r="137" spans="2:31" ht="12.75" customHeight="1" x14ac:dyDescent="0.25">
      <c r="B137" s="21" t="s">
        <v>4</v>
      </c>
      <c r="C137" s="97">
        <f>Annual_sorted!I23</f>
        <v>-0.23366743531473522</v>
      </c>
      <c r="D137" s="29">
        <f>IF(C137-Table_14634578112918[Burundi]&gt;0, C137-Table_14634578112918[Burundi], 0)</f>
        <v>6.7461305352718544</v>
      </c>
      <c r="E137" s="29">
        <f>IF(C137-Table_14634578112918[Congo]&gt;0, C137-Table_14634578112918[Congo], 0)</f>
        <v>0</v>
      </c>
      <c r="F137" s="29">
        <f>IF(C137-Table_14634578112918[Egypt]&gt;0, C137-Table_14634578112918[Egypt], 0)</f>
        <v>0</v>
      </c>
      <c r="G137" s="29">
        <f>IF(C137-Table_14634578112918[Eritrea]&gt;0, C137-Table_14634578112918[Eritrea], 0)</f>
        <v>0</v>
      </c>
      <c r="H137" s="29">
        <f>IF(C137-Table_14634578112918[Ethiopia]&gt;0, C137-Table_14634578112918[Ethiopia], 0)</f>
        <v>67.795609660490967</v>
      </c>
      <c r="I137" s="29">
        <f>IF(C137-Table_14634578112918[Kenya]&gt;0, C137-Table_14634578112918[Kenya], 0)</f>
        <v>25.831530251888342</v>
      </c>
      <c r="J137" s="29">
        <f>IF(C137-Table_14634578112918[Rwanda]&gt;0, C137-Table_14634578112918[Rwanda], 0)</f>
        <v>10.575309658803054</v>
      </c>
      <c r="K137" s="29">
        <f>IF(C137-Table_14634578112918[South Sudan]&gt;0, C137-Table_14634578112918[South Sudan], 0)</f>
        <v>0</v>
      </c>
      <c r="L137" s="29">
        <f>IF(C137-Table_14634578112918[Sudan]&gt;0, C137-Table_14634578112918[Sudan], 0)</f>
        <v>12.797824650885165</v>
      </c>
      <c r="M137" s="29">
        <f>IF(C137-Table_14634578112918[Tanzania]&gt;0, C137-Table_14634578112918[Tanzania], 0)</f>
        <v>55.83993958023477</v>
      </c>
      <c r="N137" s="29">
        <f>IF(C137-Table_14634578112918[Uganda]&gt;0, C137-Table_14634578112918[Uganda], 0)</f>
        <v>64.405251742617239</v>
      </c>
      <c r="P137" s="21" t="s">
        <v>5</v>
      </c>
      <c r="Q137" s="99">
        <f t="shared" si="14"/>
        <v>-5.5955202507284099E-3</v>
      </c>
      <c r="R137" s="99">
        <f t="shared" si="13"/>
        <v>-5.5955202507284099E-3</v>
      </c>
      <c r="S137" s="99">
        <f t="shared" si="13"/>
        <v>-5.5955202507284099E-3</v>
      </c>
      <c r="T137" s="99">
        <f t="shared" si="13"/>
        <v>-5.5955202507284099E-3</v>
      </c>
      <c r="U137" s="99">
        <f t="shared" si="13"/>
        <v>-5.5955202507284099E-3</v>
      </c>
      <c r="V137" s="99">
        <f t="shared" si="13"/>
        <v>-5.5955202507284099E-3</v>
      </c>
      <c r="W137" s="99">
        <f t="shared" si="13"/>
        <v>-5.5955202507284099E-3</v>
      </c>
      <c r="X137" s="99">
        <f t="shared" si="13"/>
        <v>-5.5955202507284099E-3</v>
      </c>
      <c r="Y137" s="99">
        <f t="shared" si="13"/>
        <v>-5.5955202507284099E-3</v>
      </c>
      <c r="Z137" s="99">
        <f t="shared" si="13"/>
        <v>-5.5955202507284099E-3</v>
      </c>
      <c r="AA137" s="99">
        <f t="shared" si="13"/>
        <v>-5.5955202507284099E-3</v>
      </c>
    </row>
    <row r="138" spans="2:31" ht="12.75" customHeight="1" x14ac:dyDescent="0.25">
      <c r="B138" s="21" t="s">
        <v>5</v>
      </c>
      <c r="C138" s="97">
        <f>Annual_sorted!I24</f>
        <v>-68.029277095805696</v>
      </c>
      <c r="D138" s="29">
        <f>IF(C138-Table_14634578112918[Burundi]&gt;0, C138-Table_14634578112918[Burundi], 0)</f>
        <v>0</v>
      </c>
      <c r="E138" s="29">
        <f>IF(C138-Table_14634578112918[Congo]&gt;0, C138-Table_14634578112918[Congo], 0)</f>
        <v>0</v>
      </c>
      <c r="F138" s="29">
        <f>IF(C138-Table_14634578112918[Egypt]&gt;0, C138-Table_14634578112918[Egypt], 0)</f>
        <v>0</v>
      </c>
      <c r="G138" s="29">
        <f>IF(C138-Table_14634578112918[Eritrea]&gt;0, C138-Table_14634578112918[Eritrea], 0)</f>
        <v>0</v>
      </c>
      <c r="H138" s="29">
        <f>IF(C138-Table_14634578112918[Ethiopia]&gt;0, C138-Table_14634578112918[Ethiopia], 0)</f>
        <v>0</v>
      </c>
      <c r="I138" s="29">
        <f>IF(C138-Table_14634578112918[Kenya]&gt;0, C138-Table_14634578112918[Kenya], 0)</f>
        <v>0</v>
      </c>
      <c r="J138" s="29">
        <f>IF(C138-Table_14634578112918[Rwanda]&gt;0, C138-Table_14634578112918[Rwanda], 0)</f>
        <v>0</v>
      </c>
      <c r="K138" s="29">
        <f>IF(C138-Table_14634578112918[South Sudan]&gt;0, C138-Table_14634578112918[South Sudan], 0)</f>
        <v>0</v>
      </c>
      <c r="L138" s="29">
        <f>IF(C138-Table_14634578112918[Sudan]&gt;0, C138-Table_14634578112918[Sudan], 0)</f>
        <v>0</v>
      </c>
      <c r="M138" s="29">
        <f>IF(C138-Table_14634578112918[Tanzania]&gt;0, C138-Table_14634578112918[Tanzania], 0)</f>
        <v>0</v>
      </c>
      <c r="N138" s="29">
        <f>IF(C138-Table_14634578112918[Uganda]&gt;0, C138-Table_14634578112918[Uganda], 0)</f>
        <v>0</v>
      </c>
      <c r="P138" s="21" t="s">
        <v>6</v>
      </c>
      <c r="Q138" s="99">
        <f t="shared" si="14"/>
        <v>-5.5955202507284099E-3</v>
      </c>
      <c r="R138" s="99">
        <f t="shared" si="13"/>
        <v>-5.5955202507284099E-3</v>
      </c>
      <c r="S138" s="99">
        <f t="shared" si="13"/>
        <v>-5.5955202507284099E-3</v>
      </c>
      <c r="T138" s="99">
        <f t="shared" si="13"/>
        <v>-5.5955202507284099E-3</v>
      </c>
      <c r="U138" s="99">
        <f t="shared" si="13"/>
        <v>0.11893679405475283</v>
      </c>
      <c r="V138" s="99">
        <f t="shared" si="13"/>
        <v>-5.5955202507284099E-3</v>
      </c>
      <c r="W138" s="99">
        <f t="shared" si="13"/>
        <v>-5.5955202507284099E-3</v>
      </c>
      <c r="X138" s="99">
        <f t="shared" si="13"/>
        <v>-5.5955202507284099E-3</v>
      </c>
      <c r="Y138" s="99">
        <f t="shared" si="13"/>
        <v>-5.5955202507284099E-3</v>
      </c>
      <c r="Z138" s="99">
        <f t="shared" si="13"/>
        <v>8.3457229504556016E-2</v>
      </c>
      <c r="AA138" s="99">
        <f t="shared" si="13"/>
        <v>0.10887559114533847</v>
      </c>
    </row>
    <row r="139" spans="2:31" ht="12.75" customHeight="1" x14ac:dyDescent="0.25">
      <c r="B139" s="21" t="s">
        <v>6</v>
      </c>
      <c r="C139" s="97">
        <f>Annual_sorted!I25</f>
        <v>-26.065197687203078</v>
      </c>
      <c r="D139" s="29">
        <f>IF(C139-Table_14634578112918[Burundi]&gt;0, C139-Table_14634578112918[Burundi], 0)</f>
        <v>0</v>
      </c>
      <c r="E139" s="29">
        <f>IF(C139-Table_14634578112918[Congo]&gt;0, C139-Table_14634578112918[Congo], 0)</f>
        <v>0</v>
      </c>
      <c r="F139" s="29">
        <f>IF(C139-Table_14634578112918[Egypt]&gt;0, C139-Table_14634578112918[Egypt], 0)</f>
        <v>0</v>
      </c>
      <c r="G139" s="29">
        <f>IF(C139-Table_14634578112918[Eritrea]&gt;0, C139-Table_14634578112918[Eritrea], 0)</f>
        <v>0</v>
      </c>
      <c r="H139" s="29">
        <f>IF(C139-Table_14634578112918[Ethiopia]&gt;0, C139-Table_14634578112918[Ethiopia], 0)</f>
        <v>41.964079408602615</v>
      </c>
      <c r="I139" s="29">
        <f>IF(C139-Table_14634578112918[Kenya]&gt;0, C139-Table_14634578112918[Kenya], 0)</f>
        <v>0</v>
      </c>
      <c r="J139" s="29">
        <f>IF(C139-Table_14634578112918[Rwanda]&gt;0, C139-Table_14634578112918[Rwanda], 0)</f>
        <v>0</v>
      </c>
      <c r="K139" s="29">
        <f>IF(C139-Table_14634578112918[South Sudan]&gt;0, C139-Table_14634578112918[South Sudan], 0)</f>
        <v>0</v>
      </c>
      <c r="L139" s="29">
        <f>IF(C139-Table_14634578112918[Sudan]&gt;0, C139-Table_14634578112918[Sudan], 0)</f>
        <v>0</v>
      </c>
      <c r="M139" s="29">
        <f>IF(C139-Table_14634578112918[Tanzania]&gt;0, C139-Table_14634578112918[Tanzania], 0)</f>
        <v>30.008409328346428</v>
      </c>
      <c r="N139" s="29">
        <f>IF(C139-Table_14634578112918[Uganda]&gt;0, C139-Table_14634578112918[Uganda], 0)</f>
        <v>38.573721490728886</v>
      </c>
      <c r="P139" s="21" t="s">
        <v>7</v>
      </c>
      <c r="Q139" s="99">
        <f t="shared" si="14"/>
        <v>-5.5955202507284099E-3</v>
      </c>
      <c r="R139" s="99">
        <f t="shared" si="13"/>
        <v>-5.5955202507284099E-3</v>
      </c>
      <c r="S139" s="99">
        <f t="shared" si="13"/>
        <v>-5.5955202507284099E-3</v>
      </c>
      <c r="T139" s="99">
        <f t="shared" si="13"/>
        <v>-5.5955202507284099E-3</v>
      </c>
      <c r="U139" s="99">
        <f t="shared" si="13"/>
        <v>0.16421104967496253</v>
      </c>
      <c r="V139" s="99">
        <f t="shared" si="13"/>
        <v>3.9678735369481279E-2</v>
      </c>
      <c r="W139" s="99">
        <f t="shared" si="13"/>
        <v>-5.5955202507284099E-3</v>
      </c>
      <c r="X139" s="99">
        <f t="shared" si="13"/>
        <v>-5.5955202507284099E-3</v>
      </c>
      <c r="Y139" s="99">
        <f t="shared" si="13"/>
        <v>1E-3</v>
      </c>
      <c r="Z139" s="99">
        <f t="shared" si="13"/>
        <v>0.1287314851247657</v>
      </c>
      <c r="AA139" s="99">
        <f t="shared" si="13"/>
        <v>0.15414984676554816</v>
      </c>
    </row>
    <row r="140" spans="2:31" ht="12.75" customHeight="1" x14ac:dyDescent="0.25">
      <c r="B140" s="21" t="s">
        <v>7</v>
      </c>
      <c r="C140" s="97">
        <f>Annual_sorted!I26</f>
        <v>-10.80897709411779</v>
      </c>
      <c r="D140" s="29">
        <f>IF(C140-Table_14634578112918[Burundi]&gt;0, C140-Table_14634578112918[Burundi], 0)</f>
        <v>0</v>
      </c>
      <c r="E140" s="29">
        <f>IF(C140-Table_14634578112918[Congo]&gt;0, C140-Table_14634578112918[Congo], 0)</f>
        <v>0</v>
      </c>
      <c r="F140" s="29">
        <f>IF(C140-Table_14634578112918[Egypt]&gt;0, C140-Table_14634578112918[Egypt], 0)</f>
        <v>0</v>
      </c>
      <c r="G140" s="29">
        <f>IF(C140-Table_14634578112918[Eritrea]&gt;0, C140-Table_14634578112918[Eritrea], 0)</f>
        <v>0</v>
      </c>
      <c r="H140" s="29">
        <f>IF(C140-Table_14634578112918[Ethiopia]&gt;0, C140-Table_14634578112918[Ethiopia], 0)</f>
        <v>57.220300001687903</v>
      </c>
      <c r="I140" s="29">
        <f>IF(C140-Table_14634578112918[Kenya]&gt;0, C140-Table_14634578112918[Kenya], 0)</f>
        <v>15.256220593085288</v>
      </c>
      <c r="J140" s="29">
        <f>IF(C140-Table_14634578112918[Rwanda]&gt;0, C140-Table_14634578112918[Rwanda], 0)</f>
        <v>0</v>
      </c>
      <c r="K140" s="29">
        <f>IF(C140-Table_14634578112918[South Sudan]&gt;0, C140-Table_14634578112918[South Sudan], 0)</f>
        <v>0</v>
      </c>
      <c r="L140" s="29">
        <f>IF(C140-Table_14634578112918[Sudan]&gt;0, C140-Table_14634578112918[Sudan], 0)</f>
        <v>2.222514992082111</v>
      </c>
      <c r="M140" s="29">
        <f>IF(C140-Table_14634578112918[Tanzania]&gt;0, C140-Table_14634578112918[Tanzania], 0)</f>
        <v>45.26462992143172</v>
      </c>
      <c r="N140" s="29">
        <f>IF(C140-Table_14634578112918[Uganda]&gt;0, C140-Table_14634578112918[Uganda], 0)</f>
        <v>53.829942083814174</v>
      </c>
      <c r="P140" s="21" t="s">
        <v>38</v>
      </c>
      <c r="Q140" s="99">
        <f t="shared" si="14"/>
        <v>0.80406967561306464</v>
      </c>
      <c r="R140" s="99">
        <f t="shared" si="13"/>
        <v>0.7738328528716848</v>
      </c>
      <c r="S140" s="99">
        <f t="shared" si="13"/>
        <v>-5.5955202507284099E-3</v>
      </c>
      <c r="T140" s="99">
        <f t="shared" si="13"/>
        <v>0.78404990489477611</v>
      </c>
      <c r="U140" s="99">
        <f t="shared" si="13"/>
        <v>0.98523969124908428</v>
      </c>
      <c r="V140" s="99">
        <f t="shared" si="13"/>
        <v>0.86070737694360278</v>
      </c>
      <c r="W140" s="99">
        <f t="shared" si="13"/>
        <v>0.8154331213233933</v>
      </c>
      <c r="X140" s="99">
        <f t="shared" si="13"/>
        <v>-5.5955202507284099E-3</v>
      </c>
      <c r="Y140" s="99">
        <f t="shared" si="13"/>
        <v>0.82202864157412148</v>
      </c>
      <c r="Z140" s="99">
        <f t="shared" si="13"/>
        <v>0.94976012669888732</v>
      </c>
      <c r="AA140" s="99">
        <f t="shared" si="13"/>
        <v>0.97517848833966969</v>
      </c>
    </row>
    <row r="141" spans="2:31" ht="12.75" customHeight="1" x14ac:dyDescent="0.25">
      <c r="B141" s="21" t="s">
        <v>9</v>
      </c>
      <c r="C141" s="97">
        <f>Annual_sorted!I27</f>
        <v>265.85584925157798</v>
      </c>
      <c r="D141" s="29">
        <f>IF(C141-Table_14634578112918[Burundi]&gt;0, C141-Table_14634578112918[Burundi], 0)</f>
        <v>272.8356472221646</v>
      </c>
      <c r="E141" s="29">
        <f>IF(C141-Table_14634578112918[Congo]&gt;0, C141-Table_14634578112918[Congo], 0)</f>
        <v>262.64664176073427</v>
      </c>
      <c r="F141" s="29">
        <f>IF(C141-Table_14634578112918[Egypt]&gt;0, C141-Table_14634578112918[Egypt], 0)</f>
        <v>0</v>
      </c>
      <c r="G141" s="29">
        <f>IF(C141-Table_14634578112918[Eritrea]&gt;0, C141-Table_14634578112918[Eritrea], 0)</f>
        <v>266.08951668689269</v>
      </c>
      <c r="H141" s="29">
        <f>IF(C141-Table_14634578112918[Ethiopia]&gt;0, C141-Table_14634578112918[Ethiopia], 0)</f>
        <v>333.88512634738368</v>
      </c>
      <c r="I141" s="29">
        <f>IF(C141-Table_14634578112918[Kenya]&gt;0, C141-Table_14634578112918[Kenya], 0)</f>
        <v>291.92104693878105</v>
      </c>
      <c r="J141" s="29">
        <f>IF(C141-Table_14634578112918[Rwanda]&gt;0, C141-Table_14634578112918[Rwanda], 0)</f>
        <v>276.66482634569576</v>
      </c>
      <c r="K141" s="29">
        <f>IF(C141-Table_14634578112918[South Sudan]&gt;0, C141-Table_14634578112918[South Sudan], 0)</f>
        <v>0</v>
      </c>
      <c r="L141" s="29">
        <f>IF(C141-Table_14634578112918[Sudan]&gt;0, C141-Table_14634578112918[Sudan], 0)</f>
        <v>278.88734133777785</v>
      </c>
      <c r="M141" s="29">
        <f>IF(C141-Table_14634578112918[Tanzania]&gt;0, C141-Table_14634578112918[Tanzania], 0)</f>
        <v>321.92945626712748</v>
      </c>
      <c r="N141" s="29">
        <f>IF(C141-Table_14634578112918[Uganda]&gt;0, C141-Table_14634578112918[Uganda], 0)</f>
        <v>330.49476842950992</v>
      </c>
      <c r="P141" s="21" t="s">
        <v>8</v>
      </c>
      <c r="Q141" s="99">
        <f t="shared" si="14"/>
        <v>-5.5955202507284099E-3</v>
      </c>
      <c r="R141" s="99">
        <f t="shared" si="13"/>
        <v>-5.5955202507284099E-3</v>
      </c>
      <c r="S141" s="99">
        <f t="shared" si="13"/>
        <v>-5.5955202507284099E-3</v>
      </c>
      <c r="T141" s="99">
        <f t="shared" si="13"/>
        <v>-5.5955202507284099E-3</v>
      </c>
      <c r="U141" s="99">
        <f t="shared" si="13"/>
        <v>0.1576155294242341</v>
      </c>
      <c r="V141" s="99">
        <f t="shared" si="13"/>
        <v>3.3083215118752868E-2</v>
      </c>
      <c r="W141" s="99">
        <f t="shared" si="13"/>
        <v>-5.5955202507284099E-3</v>
      </c>
      <c r="X141" s="99">
        <f t="shared" si="13"/>
        <v>-5.5955202507284099E-3</v>
      </c>
      <c r="Y141" s="99">
        <f t="shared" si="13"/>
        <v>-5.5955202507284099E-3</v>
      </c>
      <c r="Z141" s="99">
        <f t="shared" si="13"/>
        <v>0.12213596487403731</v>
      </c>
      <c r="AA141" s="99">
        <f t="shared" si="13"/>
        <v>0.14755432651481976</v>
      </c>
    </row>
    <row r="142" spans="2:31" ht="12.75" customHeight="1" x14ac:dyDescent="0.25">
      <c r="B142" s="21" t="s">
        <v>8</v>
      </c>
      <c r="C142" s="97">
        <f>Annual_sorted!I28</f>
        <v>-13.031492086199901</v>
      </c>
      <c r="D142" s="29">
        <f>IF(C142-Table_14634578112918[Burundi]&gt;0, C142-Table_14634578112918[Burundi], 0)</f>
        <v>0</v>
      </c>
      <c r="E142" s="29">
        <f>IF(C142-Table_14634578112918[Congo]&gt;0, C142-Table_14634578112918[Congo], 0)</f>
        <v>0</v>
      </c>
      <c r="F142" s="29">
        <f>IF(C142-Table_14634578112918[Egypt]&gt;0, C142-Table_14634578112918[Egypt], 0)</f>
        <v>0</v>
      </c>
      <c r="G142" s="29">
        <f>IF(C142-Table_14634578112918[Eritrea]&gt;0, C142-Table_14634578112918[Eritrea], 0)</f>
        <v>0</v>
      </c>
      <c r="H142" s="29">
        <f>IF(C142-Table_14634578112918[Ethiopia]&gt;0, C142-Table_14634578112918[Ethiopia], 0)</f>
        <v>54.997785009605792</v>
      </c>
      <c r="I142" s="29">
        <f>IF(C142-Table_14634578112918[Kenya]&gt;0, C142-Table_14634578112918[Kenya], 0)</f>
        <v>13.033705601003177</v>
      </c>
      <c r="J142" s="29">
        <f>IF(C142-Table_14634578112918[Rwanda]&gt;0, C142-Table_14634578112918[Rwanda], 0)</f>
        <v>0</v>
      </c>
      <c r="K142" s="29">
        <f>IF(C142-Table_14634578112918[South Sudan]&gt;0, C142-Table_14634578112918[South Sudan], 0)</f>
        <v>0</v>
      </c>
      <c r="L142" s="29">
        <f>IF(C142-Table_14634578112918[Sudan]&gt;0, C142-Table_14634578112918[Sudan], 0)</f>
        <v>0</v>
      </c>
      <c r="M142" s="29">
        <f>IF(C142-Table_14634578112918[Tanzania]&gt;0, C142-Table_14634578112918[Tanzania], 0)</f>
        <v>43.042114929349609</v>
      </c>
      <c r="N142" s="29">
        <f>IF(C142-Table_14634578112918[Uganda]&gt;0, C142-Table_14634578112918[Uganda], 0)</f>
        <v>51.607427091732063</v>
      </c>
      <c r="P142" s="21" t="s">
        <v>10</v>
      </c>
      <c r="Q142" s="99">
        <f t="shared" si="14"/>
        <v>-5.5955202507284099E-3</v>
      </c>
      <c r="R142" s="99">
        <f t="shared" si="13"/>
        <v>-5.5955202507284099E-3</v>
      </c>
      <c r="S142" s="99">
        <f t="shared" si="13"/>
        <v>-5.5955202507284099E-3</v>
      </c>
      <c r="T142" s="99">
        <f t="shared" si="13"/>
        <v>-5.5955202507284099E-3</v>
      </c>
      <c r="U142" s="99">
        <f t="shared" si="13"/>
        <v>2.9884044299468421E-2</v>
      </c>
      <c r="V142" s="99">
        <f t="shared" si="13"/>
        <v>-5.5955202507284099E-3</v>
      </c>
      <c r="W142" s="99">
        <f t="shared" si="13"/>
        <v>-5.5955202507284099E-3</v>
      </c>
      <c r="X142" s="99">
        <f t="shared" si="13"/>
        <v>-5.5955202507284099E-3</v>
      </c>
      <c r="Y142" s="99">
        <f t="shared" si="13"/>
        <v>-5.5955202507284099E-3</v>
      </c>
      <c r="Z142" s="99">
        <f t="shared" si="13"/>
        <v>-5.5955202507284099E-3</v>
      </c>
      <c r="AA142" s="99">
        <f t="shared" si="13"/>
        <v>1.9822841390054052E-2</v>
      </c>
    </row>
    <row r="143" spans="2:31" ht="12.75" customHeight="1" thickBot="1" x14ac:dyDescent="0.3">
      <c r="B143" s="21" t="s">
        <v>10</v>
      </c>
      <c r="C143" s="97">
        <f>Annual_sorted!I29</f>
        <v>-56.073607015549506</v>
      </c>
      <c r="D143" s="29">
        <f>IF(C143-Table_14634578112918[Burundi]&gt;0, C143-Table_14634578112918[Burundi], 0)</f>
        <v>0</v>
      </c>
      <c r="E143" s="29">
        <f>IF(C143-Table_14634578112918[Congo]&gt;0, C143-Table_14634578112918[Congo], 0)</f>
        <v>0</v>
      </c>
      <c r="F143" s="29">
        <f>IF(C143-Table_14634578112918[Egypt]&gt;0, C143-Table_14634578112918[Egypt], 0)</f>
        <v>0</v>
      </c>
      <c r="G143" s="29">
        <f>IF(C143-Table_14634578112918[Eritrea]&gt;0, C143-Table_14634578112918[Eritrea], 0)</f>
        <v>0</v>
      </c>
      <c r="H143" s="29">
        <f>IF(C143-Table_14634578112918[Ethiopia]&gt;0, C143-Table_14634578112918[Ethiopia], 0)</f>
        <v>11.955670080256191</v>
      </c>
      <c r="I143" s="29">
        <f>IF(C143-Table_14634578112918[Kenya]&gt;0, C143-Table_14634578112918[Kenya], 0)</f>
        <v>0</v>
      </c>
      <c r="J143" s="29">
        <f>IF(C143-Table_14634578112918[Rwanda]&gt;0, C143-Table_14634578112918[Rwanda], 0)</f>
        <v>0</v>
      </c>
      <c r="K143" s="29">
        <f>IF(C143-Table_14634578112918[South Sudan]&gt;0, C143-Table_14634578112918[South Sudan], 0)</f>
        <v>0</v>
      </c>
      <c r="L143" s="29">
        <f>IF(C143-Table_14634578112918[Sudan]&gt;0, C143-Table_14634578112918[Sudan], 0)</f>
        <v>0</v>
      </c>
      <c r="M143" s="29">
        <f>IF(C143-Table_14634578112918[Tanzania]&gt;0, C143-Table_14634578112918[Tanzania], 0)</f>
        <v>0</v>
      </c>
      <c r="N143" s="29">
        <f>IF(C143-Table_14634578112918[Uganda]&gt;0, C143-Table_14634578112918[Uganda], 0)</f>
        <v>8.5653121623824617</v>
      </c>
      <c r="P143" s="22" t="s">
        <v>11</v>
      </c>
      <c r="Q143" s="100">
        <f t="shared" si="14"/>
        <v>-5.5955202507284099E-3</v>
      </c>
      <c r="R143" s="100">
        <f t="shared" si="13"/>
        <v>-5.5955202507284099E-3</v>
      </c>
      <c r="S143" s="100">
        <f t="shared" si="13"/>
        <v>-5.5955202507284099E-3</v>
      </c>
      <c r="T143" s="100">
        <f t="shared" si="13"/>
        <v>-5.5955202507284099E-3</v>
      </c>
      <c r="U143" s="100">
        <f t="shared" si="13"/>
        <v>4.4656826586859585E-3</v>
      </c>
      <c r="V143" s="100">
        <f t="shared" si="13"/>
        <v>-5.5955202507284099E-3</v>
      </c>
      <c r="W143" s="100">
        <f t="shared" si="13"/>
        <v>-5.5955202507284099E-3</v>
      </c>
      <c r="X143" s="100">
        <f t="shared" si="13"/>
        <v>-5.5955202507284099E-3</v>
      </c>
      <c r="Y143" s="100">
        <f t="shared" si="13"/>
        <v>-5.5955202507284099E-3</v>
      </c>
      <c r="Z143" s="100">
        <f t="shared" si="13"/>
        <v>-5.5955202507284099E-3</v>
      </c>
      <c r="AA143" s="100">
        <f t="shared" si="13"/>
        <v>-5.5955202507284099E-3</v>
      </c>
    </row>
    <row r="144" spans="2:31" ht="12.75" customHeight="1" thickBot="1" x14ac:dyDescent="0.3">
      <c r="B144" s="22" t="s">
        <v>11</v>
      </c>
      <c r="C144" s="98">
        <f>Annual_sorted!I30</f>
        <v>-64.638919177931967</v>
      </c>
      <c r="D144" s="32">
        <f>IF(C144-Table_14634578112918[Burundi]&gt;0, C144-Table_14634578112918[Burundi], 0)</f>
        <v>0</v>
      </c>
      <c r="E144" s="32">
        <f>IF(C144-Table_14634578112918[Congo]&gt;0, C144-Table_14634578112918[Congo], 0)</f>
        <v>0</v>
      </c>
      <c r="F144" s="32">
        <f>IF(C144-Table_14634578112918[Egypt]&gt;0, C144-Table_14634578112918[Egypt], 0)</f>
        <v>0</v>
      </c>
      <c r="G144" s="32">
        <f>IF(C144-Table_14634578112918[Eritrea]&gt;0, C144-Table_14634578112918[Eritrea], 0)</f>
        <v>0</v>
      </c>
      <c r="H144" s="32">
        <f>IF(C144-Table_14634578112918[Ethiopia]&gt;0, C144-Table_14634578112918[Ethiopia], 0)</f>
        <v>3.3903579178737289</v>
      </c>
      <c r="I144" s="32">
        <f>IF(C144-Table_14634578112918[Kenya]&gt;0, C144-Table_14634578112918[Kenya], 0)</f>
        <v>0</v>
      </c>
      <c r="J144" s="32">
        <f>IF(C144-Table_14634578112918[Rwanda]&gt;0, C144-Table_14634578112918[Rwanda], 0)</f>
        <v>0</v>
      </c>
      <c r="K144" s="32">
        <f>IF(C144-Table_14634578112918[South Sudan]&gt;0, C144-Table_14634578112918[South Sudan], 0)</f>
        <v>0</v>
      </c>
      <c r="L144" s="32">
        <f>IF(C144-Table_14634578112918[Sudan]&gt;0, C144-Table_14634578112918[Sudan], 0)</f>
        <v>0</v>
      </c>
      <c r="M144" s="32">
        <f>IF(C144-Table_14634578112918[Tanzania]&gt;0, C144-Table_14634578112918[Tanzania], 0)</f>
        <v>0</v>
      </c>
      <c r="N144" s="32">
        <f>IF(C144-Table_14634578112918[Uganda]&gt;0, C144-Table_14634578112918[Uganda], 0)</f>
        <v>0</v>
      </c>
    </row>
    <row r="145" spans="1:31" ht="12.75" customHeight="1" x14ac:dyDescent="0.25"/>
    <row r="146" spans="1:31" ht="12.75" customHeight="1" x14ac:dyDescent="0.25"/>
    <row r="147" spans="1:31" ht="12.75" customHeight="1" x14ac:dyDescent="0.25">
      <c r="A147" s="210" t="s">
        <v>131</v>
      </c>
      <c r="B147" s="210"/>
      <c r="C147" s="210"/>
      <c r="D147" s="210"/>
      <c r="E147" s="210"/>
      <c r="F147" s="210"/>
      <c r="G147" s="210"/>
      <c r="H147" s="210"/>
      <c r="I147" s="210"/>
      <c r="J147" s="210"/>
    </row>
    <row r="148" spans="1:31" ht="12.75" customHeight="1" x14ac:dyDescent="0.25"/>
    <row r="149" spans="1:31" ht="12.75" customHeight="1" x14ac:dyDescent="0.25"/>
    <row r="150" spans="1:31" ht="12.75" customHeight="1" thickBot="1" x14ac:dyDescent="0.3">
      <c r="B150" s="214" t="s">
        <v>94</v>
      </c>
      <c r="C150" s="214"/>
      <c r="D150" s="214"/>
      <c r="E150" s="214"/>
      <c r="F150" s="214"/>
      <c r="G150" s="214"/>
      <c r="H150" s="214"/>
      <c r="I150" s="214"/>
      <c r="J150" s="214"/>
      <c r="K150" s="214"/>
      <c r="L150" s="214"/>
      <c r="M150" s="214"/>
      <c r="N150" s="214"/>
      <c r="O150" s="5"/>
      <c r="P150" s="214" t="s">
        <v>95</v>
      </c>
      <c r="Q150" s="214"/>
      <c r="R150" s="214"/>
      <c r="S150" s="214"/>
      <c r="T150" s="214"/>
      <c r="U150" s="214"/>
      <c r="V150" s="214"/>
      <c r="W150" s="214"/>
      <c r="X150" s="214"/>
      <c r="Y150" s="214"/>
      <c r="Z150" s="214"/>
      <c r="AA150" s="214"/>
      <c r="AB150" s="10"/>
      <c r="AC150" s="3" t="s">
        <v>23</v>
      </c>
      <c r="AD150" s="13" t="s">
        <v>24</v>
      </c>
      <c r="AE150" s="76">
        <f t="array" ref="AE150">MIN(IF(D153:N163&gt;0,D153:N163))</f>
        <v>0.73450706875127736</v>
      </c>
    </row>
    <row r="151" spans="1:31" ht="12.75" customHeight="1" thickBot="1" x14ac:dyDescent="0.3">
      <c r="B151" s="77" t="s">
        <v>14</v>
      </c>
      <c r="C151" s="68" t="s">
        <v>15</v>
      </c>
      <c r="D151" s="69" t="s">
        <v>1</v>
      </c>
      <c r="E151" s="69" t="s">
        <v>2</v>
      </c>
      <c r="F151" s="69" t="s">
        <v>3</v>
      </c>
      <c r="G151" s="69" t="s">
        <v>4</v>
      </c>
      <c r="H151" s="69" t="s">
        <v>5</v>
      </c>
      <c r="I151" s="69" t="s">
        <v>6</v>
      </c>
      <c r="J151" s="69" t="s">
        <v>7</v>
      </c>
      <c r="K151" s="69" t="s">
        <v>9</v>
      </c>
      <c r="L151" s="69" t="s">
        <v>8</v>
      </c>
      <c r="M151" s="69" t="s">
        <v>10</v>
      </c>
      <c r="N151" s="69" t="s">
        <v>11</v>
      </c>
      <c r="P151" s="78" t="s">
        <v>20</v>
      </c>
      <c r="Q151" s="79" t="s">
        <v>1</v>
      </c>
      <c r="R151" s="79" t="s">
        <v>2</v>
      </c>
      <c r="S151" s="79" t="s">
        <v>3</v>
      </c>
      <c r="T151" s="79" t="s">
        <v>4</v>
      </c>
      <c r="U151" s="79" t="s">
        <v>5</v>
      </c>
      <c r="V151" s="79" t="s">
        <v>6</v>
      </c>
      <c r="W151" s="79" t="s">
        <v>7</v>
      </c>
      <c r="X151" s="79" t="s">
        <v>32</v>
      </c>
      <c r="Y151" s="79" t="s">
        <v>8</v>
      </c>
      <c r="Z151" s="79" t="s">
        <v>10</v>
      </c>
      <c r="AA151" s="79" t="s">
        <v>11</v>
      </c>
      <c r="AB151" s="213" t="s">
        <v>27</v>
      </c>
      <c r="AC151" s="213"/>
      <c r="AD151" s="13" t="s">
        <v>25</v>
      </c>
      <c r="AE151" s="20">
        <f>MAX(D153:N163)</f>
        <v>116.60479745022056</v>
      </c>
    </row>
    <row r="152" spans="1:31" ht="12.75" customHeight="1" x14ac:dyDescent="0.25">
      <c r="B152" s="95"/>
      <c r="C152" s="96" t="s">
        <v>83</v>
      </c>
      <c r="D152" s="97">
        <f>C153</f>
        <v>-8.7036012972008034</v>
      </c>
      <c r="E152" s="97">
        <f>C154</f>
        <v>-5.4669578880312573</v>
      </c>
      <c r="F152" s="97">
        <f>C155</f>
        <v>-118.4247768378942</v>
      </c>
      <c r="G152" s="97">
        <f>C156</f>
        <v>-1.8199793876736456</v>
      </c>
      <c r="H152" s="97">
        <f>C157</f>
        <v>-55.34586646710364</v>
      </c>
      <c r="I152" s="97">
        <f>C158</f>
        <v>-27.851365586514603</v>
      </c>
      <c r="J152" s="97">
        <f>C159</f>
        <v>-16.119465359163375</v>
      </c>
      <c r="K152" s="97">
        <f>C160</f>
        <v>-52.172279261413046</v>
      </c>
      <c r="L152" s="97">
        <f>C161</f>
        <v>-15.384958290412097</v>
      </c>
      <c r="M152" s="97">
        <f>C162</f>
        <v>-16.92328594436843</v>
      </c>
      <c r="N152" s="97">
        <f>C163</f>
        <v>-59.135211649252149</v>
      </c>
      <c r="P152" s="21" t="s">
        <v>1</v>
      </c>
      <c r="Q152" s="99">
        <f>$AE$152+(D153-$AE$150)*($AE$153-$AE$152)/($AE$151-$AE$150)</f>
        <v>-5.3327066780172287E-3</v>
      </c>
      <c r="R152" s="99">
        <f t="shared" ref="R152:AA162" si="15">$AE$152+(E153-$AE$150)*($AE$153-$AE$152)/($AE$151-$AE$150)</f>
        <v>-5.3327066780172287E-3</v>
      </c>
      <c r="S152" s="99">
        <f t="shared" si="15"/>
        <v>0.94065141059905888</v>
      </c>
      <c r="T152" s="99">
        <f t="shared" si="15"/>
        <v>-5.3327066780172287E-3</v>
      </c>
      <c r="U152" s="99">
        <f t="shared" si="15"/>
        <v>0.39680336074125283</v>
      </c>
      <c r="V152" s="99">
        <f t="shared" si="15"/>
        <v>0.1597537573504155</v>
      </c>
      <c r="W152" s="99">
        <f t="shared" si="15"/>
        <v>5.8604720021358803E-2</v>
      </c>
      <c r="X152" s="99">
        <f t="shared" si="15"/>
        <v>0.36944161332483366</v>
      </c>
      <c r="Y152" s="99">
        <f t="shared" si="15"/>
        <v>5.227201334334157E-2</v>
      </c>
      <c r="Z152" s="99">
        <f t="shared" si="15"/>
        <v>6.5535027712624205E-2</v>
      </c>
      <c r="AA152" s="99">
        <f t="shared" si="15"/>
        <v>0.42947399464148311</v>
      </c>
      <c r="AD152" s="3" t="s">
        <v>26</v>
      </c>
      <c r="AE152" s="2">
        <v>1E-3</v>
      </c>
    </row>
    <row r="153" spans="1:31" ht="12.75" customHeight="1" x14ac:dyDescent="0.25">
      <c r="B153" s="21" t="s">
        <v>1</v>
      </c>
      <c r="C153" s="97">
        <f>Annual_sorted!U20</f>
        <v>-8.7036012972008034</v>
      </c>
      <c r="D153" s="29">
        <f>IF(C153-Table_1463457142[Burundi]&gt;0, C153-Table_1463457142[Burundi], 0)</f>
        <v>0</v>
      </c>
      <c r="E153" s="29">
        <f>IF(C153-Table_1463457142[Congo]&gt;0, C153-Table_1463457142[Congo], 0)</f>
        <v>0</v>
      </c>
      <c r="F153" s="29">
        <f>IF(C153-Table_1463457142[Egypt]&gt;0, C153-Table_1463457142[Egypt], 0)</f>
        <v>109.72117554069339</v>
      </c>
      <c r="G153" s="29">
        <f>IF(C153-Table_1463457142[Eritrea]&gt;0, C153-Table_1463457142[Eritrea], 0)</f>
        <v>0</v>
      </c>
      <c r="H153" s="29">
        <f>IF(C153-Table_1463457142[Ethiopia]&gt;0, C153-Table_1463457142[Ethiopia], 0)</f>
        <v>46.642265169902835</v>
      </c>
      <c r="I153" s="29">
        <f>IF(C153-Table_1463457142[Kenya]&gt;0, C153-Table_1463457142[Kenya], 0)</f>
        <v>19.147764289313798</v>
      </c>
      <c r="J153" s="29">
        <f>IF(C153-Table_1463457142[Rwanda]&gt;0, C153-Table_1463457142[Rwanda], 0)</f>
        <v>7.4158640619625711</v>
      </c>
      <c r="K153" s="29">
        <f>IF(C153-Table_1463457142[South Sudan]&gt;0, C153-Table_1463457142[South Sudan], 0)</f>
        <v>43.46867796421224</v>
      </c>
      <c r="L153" s="29">
        <f>IF(C153-Table_1463457142[Sudan]&gt;0, C153-Table_1463457142[Sudan], 0)</f>
        <v>6.6813569932112937</v>
      </c>
      <c r="M153" s="29">
        <f>IF(C153-Table_1463457142[Tanzania]&gt;0, C153-Table_1463457142[Tanzania], 0)</f>
        <v>8.219684647167627</v>
      </c>
      <c r="N153" s="29">
        <f>IF(C153-Table_1463457142[Uganda]&gt;0, C153-Table_1463457142[Uganda], 0)</f>
        <v>50.431610352051344</v>
      </c>
      <c r="P153" s="21" t="s">
        <v>2</v>
      </c>
      <c r="Q153" s="99">
        <f t="shared" ref="Q153:Q162" si="16">$AE$152+(D154-$AE$150)*($AE$153-$AE$152)/($AE$151-$AE$150)</f>
        <v>2.2572693016031382E-2</v>
      </c>
      <c r="R153" s="99">
        <f t="shared" si="15"/>
        <v>-5.3327066780172287E-3</v>
      </c>
      <c r="S153" s="99">
        <f t="shared" si="15"/>
        <v>0.96855681029310747</v>
      </c>
      <c r="T153" s="99">
        <f t="shared" si="15"/>
        <v>-5.3327066780172287E-3</v>
      </c>
      <c r="U153" s="99">
        <f t="shared" si="15"/>
        <v>0.42470876043530142</v>
      </c>
      <c r="V153" s="99">
        <f t="shared" si="15"/>
        <v>0.18765915704446412</v>
      </c>
      <c r="W153" s="99">
        <f t="shared" si="15"/>
        <v>8.6510119715407424E-2</v>
      </c>
      <c r="X153" s="99">
        <f t="shared" si="15"/>
        <v>0.39734701301888226</v>
      </c>
      <c r="Y153" s="99">
        <f t="shared" si="15"/>
        <v>8.0177413037390191E-2</v>
      </c>
      <c r="Z153" s="99">
        <f t="shared" si="15"/>
        <v>9.3440427406672813E-2</v>
      </c>
      <c r="AA153" s="99">
        <f t="shared" si="15"/>
        <v>0.45737939433553176</v>
      </c>
      <c r="AD153" s="3" t="s">
        <v>84</v>
      </c>
      <c r="AE153" s="2">
        <v>1</v>
      </c>
    </row>
    <row r="154" spans="1:31" ht="12.75" customHeight="1" x14ac:dyDescent="0.25">
      <c r="B154" s="21" t="s">
        <v>2</v>
      </c>
      <c r="C154" s="97">
        <f>Annual_sorted!U21</f>
        <v>-5.4669578880312573</v>
      </c>
      <c r="D154" s="29">
        <f>IF(C154-Table_1463457142[Burundi]&gt;0, C154-Table_1463457142[Burundi], 0)</f>
        <v>3.2366434091695462</v>
      </c>
      <c r="E154" s="29">
        <f>IF(C154-Table_1463457142[Congo]&gt;0, C154-Table_1463457142[Congo], 0)</f>
        <v>0</v>
      </c>
      <c r="F154" s="29">
        <f>IF(C154-Table_1463457142[Egypt]&gt;0, C154-Table_1463457142[Egypt], 0)</f>
        <v>112.95781894986294</v>
      </c>
      <c r="G154" s="29">
        <f>IF(C154-Table_1463457142[Eritrea]&gt;0, C154-Table_1463457142[Eritrea], 0)</f>
        <v>0</v>
      </c>
      <c r="H154" s="29">
        <f>IF(C154-Table_1463457142[Ethiopia]&gt;0, C154-Table_1463457142[Ethiopia], 0)</f>
        <v>49.87890857907238</v>
      </c>
      <c r="I154" s="29">
        <f>IF(C154-Table_1463457142[Kenya]&gt;0, C154-Table_1463457142[Kenya], 0)</f>
        <v>22.384407698483347</v>
      </c>
      <c r="J154" s="29">
        <f>IF(C154-Table_1463457142[Rwanda]&gt;0, C154-Table_1463457142[Rwanda], 0)</f>
        <v>10.652507471132118</v>
      </c>
      <c r="K154" s="29">
        <f>IF(C154-Table_1463457142[South Sudan]&gt;0, C154-Table_1463457142[South Sudan], 0)</f>
        <v>46.705321373381786</v>
      </c>
      <c r="L154" s="29">
        <f>IF(C154-Table_1463457142[Sudan]&gt;0, C154-Table_1463457142[Sudan], 0)</f>
        <v>9.9180004023808408</v>
      </c>
      <c r="M154" s="29">
        <f>IF(C154-Table_1463457142[Tanzania]&gt;0, C154-Table_1463457142[Tanzania], 0)</f>
        <v>11.456328056337174</v>
      </c>
      <c r="N154" s="29">
        <f>IF(C154-Table_1463457142[Uganda]&gt;0, C154-Table_1463457142[Uganda], 0)</f>
        <v>53.668253761220889</v>
      </c>
      <c r="P154" s="21" t="s">
        <v>3</v>
      </c>
      <c r="Q154" s="99">
        <f t="shared" si="16"/>
        <v>-5.3327066780172287E-3</v>
      </c>
      <c r="R154" s="99">
        <f t="shared" si="15"/>
        <v>-5.3327066780172287E-3</v>
      </c>
      <c r="S154" s="99">
        <f t="shared" si="15"/>
        <v>-5.3327066780172287E-3</v>
      </c>
      <c r="T154" s="99">
        <f t="shared" si="15"/>
        <v>-5.3327066780172287E-3</v>
      </c>
      <c r="U154" s="99">
        <f t="shared" si="15"/>
        <v>-5.3327066780172287E-3</v>
      </c>
      <c r="V154" s="99">
        <f t="shared" si="15"/>
        <v>-5.3327066780172287E-3</v>
      </c>
      <c r="W154" s="99">
        <f t="shared" si="15"/>
        <v>-5.3327066780172287E-3</v>
      </c>
      <c r="X154" s="99">
        <f t="shared" si="15"/>
        <v>-5.3327066780172287E-3</v>
      </c>
      <c r="Y154" s="99">
        <f t="shared" si="15"/>
        <v>-5.3327066780172287E-3</v>
      </c>
      <c r="Z154" s="99">
        <f t="shared" si="15"/>
        <v>-5.3327066780172287E-3</v>
      </c>
      <c r="AA154" s="99">
        <f t="shared" si="15"/>
        <v>-5.3327066780172287E-3</v>
      </c>
    </row>
    <row r="155" spans="1:31" ht="12.75" customHeight="1" x14ac:dyDescent="0.25">
      <c r="B155" s="21" t="s">
        <v>3</v>
      </c>
      <c r="C155" s="97">
        <f>Annual_sorted!U22</f>
        <v>-118.4247768378942</v>
      </c>
      <c r="D155" s="29">
        <f>IF(C155-Table_1463457142[Burundi]&gt;0, C155-Table_1463457142[Burundi], 0)</f>
        <v>0</v>
      </c>
      <c r="E155" s="29">
        <f>IF(C155-Table_1463457142[Congo]&gt;0, C155-Table_1463457142[Congo], 0)</f>
        <v>0</v>
      </c>
      <c r="F155" s="29">
        <f>IF(C155-Table_1463457142[Egypt]&gt;0, C155-Table_1463457142[Egypt], 0)</f>
        <v>0</v>
      </c>
      <c r="G155" s="29">
        <f>IF(C155-Table_1463457142[Eritrea]&gt;0, C155-Table_1463457142[Eritrea], 0)</f>
        <v>0</v>
      </c>
      <c r="H155" s="29">
        <f>IF(C155-Table_1463457142[Ethiopia]&gt;0, C155-Table_1463457142[Ethiopia], 0)</f>
        <v>0</v>
      </c>
      <c r="I155" s="29">
        <f>IF(C155-Table_1463457142[Kenya]&gt;0, C155-Table_1463457142[Kenya], 0)</f>
        <v>0</v>
      </c>
      <c r="J155" s="29">
        <f>IF(C155-Table_1463457142[Rwanda]&gt;0, C155-Table_1463457142[Rwanda], 0)</f>
        <v>0</v>
      </c>
      <c r="K155" s="29">
        <f>IF(C155-Table_1463457142[South Sudan]&gt;0, C155-Table_1463457142[South Sudan], 0)</f>
        <v>0</v>
      </c>
      <c r="L155" s="29">
        <f>IF(C155-Table_1463457142[Sudan]&gt;0, C155-Table_1463457142[Sudan], 0)</f>
        <v>0</v>
      </c>
      <c r="M155" s="29">
        <f>IF(C155-Table_1463457142[Tanzania]&gt;0, C155-Table_1463457142[Tanzania], 0)</f>
        <v>0</v>
      </c>
      <c r="N155" s="29">
        <f>IF(C155-Table_1463457142[Uganda]&gt;0, C155-Table_1463457142[Uganda], 0)</f>
        <v>0</v>
      </c>
      <c r="P155" s="21" t="s">
        <v>4</v>
      </c>
      <c r="Q155" s="99">
        <f t="shared" si="16"/>
        <v>5.4015882722923826E-2</v>
      </c>
      <c r="R155" s="99">
        <f t="shared" si="15"/>
        <v>2.6110483028875218E-2</v>
      </c>
      <c r="S155" s="99">
        <f t="shared" si="15"/>
        <v>1</v>
      </c>
      <c r="T155" s="99">
        <f t="shared" si="15"/>
        <v>-5.3327066780172287E-3</v>
      </c>
      <c r="U155" s="99">
        <f t="shared" si="15"/>
        <v>0.45615195014219384</v>
      </c>
      <c r="V155" s="99">
        <f t="shared" si="15"/>
        <v>0.21910234675135659</v>
      </c>
      <c r="W155" s="99">
        <f t="shared" si="15"/>
        <v>0.11795330942229985</v>
      </c>
      <c r="X155" s="99">
        <f t="shared" si="15"/>
        <v>0.42879020272577473</v>
      </c>
      <c r="Y155" s="99">
        <f t="shared" si="15"/>
        <v>0.11162060274428262</v>
      </c>
      <c r="Z155" s="99">
        <f t="shared" si="15"/>
        <v>0.12488361711356524</v>
      </c>
      <c r="AA155" s="99">
        <f t="shared" si="15"/>
        <v>0.48882258404242418</v>
      </c>
    </row>
    <row r="156" spans="1:31" ht="12.75" customHeight="1" x14ac:dyDescent="0.25">
      <c r="B156" s="21" t="s">
        <v>4</v>
      </c>
      <c r="C156" s="97">
        <f>Annual_sorted!U23</f>
        <v>-1.8199793876736456</v>
      </c>
      <c r="D156" s="29">
        <f>IF(C156-Table_1463457142[Burundi]&gt;0, C156-Table_1463457142[Burundi], 0)</f>
        <v>6.8836219095271574</v>
      </c>
      <c r="E156" s="29">
        <f>IF(C156-Table_1463457142[Congo]&gt;0, C156-Table_1463457142[Congo], 0)</f>
        <v>3.6469785003576116</v>
      </c>
      <c r="F156" s="29">
        <f>IF(C156-Table_1463457142[Egypt]&gt;0, C156-Table_1463457142[Egypt], 0)</f>
        <v>116.60479745022056</v>
      </c>
      <c r="G156" s="29">
        <f>IF(C156-Table_1463457142[Eritrea]&gt;0, C156-Table_1463457142[Eritrea], 0)</f>
        <v>0</v>
      </c>
      <c r="H156" s="29">
        <f>IF(C156-Table_1463457142[Ethiopia]&gt;0, C156-Table_1463457142[Ethiopia], 0)</f>
        <v>53.525887079429992</v>
      </c>
      <c r="I156" s="29">
        <f>IF(C156-Table_1463457142[Kenya]&gt;0, C156-Table_1463457142[Kenya], 0)</f>
        <v>26.031386198840959</v>
      </c>
      <c r="J156" s="29">
        <f>IF(C156-Table_1463457142[Rwanda]&gt;0, C156-Table_1463457142[Rwanda], 0)</f>
        <v>14.299485971489728</v>
      </c>
      <c r="K156" s="29">
        <f>IF(C156-Table_1463457142[South Sudan]&gt;0, C156-Table_1463457142[South Sudan], 0)</f>
        <v>50.352299873739398</v>
      </c>
      <c r="L156" s="29">
        <f>IF(C156-Table_1463457142[Sudan]&gt;0, C156-Table_1463457142[Sudan], 0)</f>
        <v>13.564978902738451</v>
      </c>
      <c r="M156" s="29">
        <f>IF(C156-Table_1463457142[Tanzania]&gt;0, C156-Table_1463457142[Tanzania], 0)</f>
        <v>15.103306556694784</v>
      </c>
      <c r="N156" s="29">
        <f>IF(C156-Table_1463457142[Uganda]&gt;0, C156-Table_1463457142[Uganda], 0)</f>
        <v>57.315232261578501</v>
      </c>
      <c r="P156" s="21" t="s">
        <v>5</v>
      </c>
      <c r="Q156" s="99">
        <f t="shared" si="16"/>
        <v>-5.3327066780172287E-3</v>
      </c>
      <c r="R156" s="99">
        <f t="shared" si="15"/>
        <v>-5.3327066780172287E-3</v>
      </c>
      <c r="S156" s="99">
        <f t="shared" si="15"/>
        <v>0.53851534317978877</v>
      </c>
      <c r="T156" s="99">
        <f t="shared" si="15"/>
        <v>-5.3327066780172287E-3</v>
      </c>
      <c r="U156" s="99">
        <f t="shared" si="15"/>
        <v>-5.3327066780172287E-3</v>
      </c>
      <c r="V156" s="99">
        <f t="shared" si="15"/>
        <v>-5.3327066780172287E-3</v>
      </c>
      <c r="W156" s="99">
        <f t="shared" si="15"/>
        <v>-5.3327066780172287E-3</v>
      </c>
      <c r="X156" s="99">
        <f t="shared" si="15"/>
        <v>-5.3327066780172287E-3</v>
      </c>
      <c r="Y156" s="99">
        <f t="shared" si="15"/>
        <v>-5.3327066780172287E-3</v>
      </c>
      <c r="Z156" s="99">
        <f t="shared" si="15"/>
        <v>-5.3327066780172287E-3</v>
      </c>
      <c r="AA156" s="99">
        <f t="shared" si="15"/>
        <v>2.7337927222213079E-2</v>
      </c>
    </row>
    <row r="157" spans="1:31" ht="12.75" customHeight="1" x14ac:dyDescent="0.25">
      <c r="B157" s="21" t="s">
        <v>5</v>
      </c>
      <c r="C157" s="97">
        <f>Annual_sorted!U24</f>
        <v>-55.34586646710364</v>
      </c>
      <c r="D157" s="29">
        <f>IF(C157-Table_1463457142[Burundi]&gt;0, C157-Table_1463457142[Burundi], 0)</f>
        <v>0</v>
      </c>
      <c r="E157" s="29">
        <f>IF(C157-Table_1463457142[Congo]&gt;0, C157-Table_1463457142[Congo], 0)</f>
        <v>0</v>
      </c>
      <c r="F157" s="29">
        <f>IF(C157-Table_1463457142[Egypt]&gt;0, C157-Table_1463457142[Egypt], 0)</f>
        <v>63.07891037079056</v>
      </c>
      <c r="G157" s="29">
        <f>IF(C157-Table_1463457142[Eritrea]&gt;0, C157-Table_1463457142[Eritrea], 0)</f>
        <v>0</v>
      </c>
      <c r="H157" s="29">
        <f>IF(C157-Table_1463457142[Ethiopia]&gt;0, C157-Table_1463457142[Ethiopia], 0)</f>
        <v>0</v>
      </c>
      <c r="I157" s="29">
        <f>IF(C157-Table_1463457142[Kenya]&gt;0, C157-Table_1463457142[Kenya], 0)</f>
        <v>0</v>
      </c>
      <c r="J157" s="29">
        <f>IF(C157-Table_1463457142[Rwanda]&gt;0, C157-Table_1463457142[Rwanda], 0)</f>
        <v>0</v>
      </c>
      <c r="K157" s="29">
        <f>IF(C157-Table_1463457142[South Sudan]&gt;0, C157-Table_1463457142[South Sudan], 0)</f>
        <v>0</v>
      </c>
      <c r="L157" s="29">
        <f>IF(C157-Table_1463457142[Sudan]&gt;0, C157-Table_1463457142[Sudan], 0)</f>
        <v>0</v>
      </c>
      <c r="M157" s="29">
        <f>IF(C157-Table_1463457142[Tanzania]&gt;0, C157-Table_1463457142[Tanzania], 0)</f>
        <v>0</v>
      </c>
      <c r="N157" s="29">
        <f>IF(C157-Table_1463457142[Uganda]&gt;0, C157-Table_1463457142[Uganda], 0)</f>
        <v>3.7893451821485087</v>
      </c>
      <c r="P157" s="21" t="s">
        <v>6</v>
      </c>
      <c r="Q157" s="99">
        <f t="shared" si="16"/>
        <v>-5.3327066780172287E-3</v>
      </c>
      <c r="R157" s="99">
        <f t="shared" si="15"/>
        <v>-5.3327066780172287E-3</v>
      </c>
      <c r="S157" s="99">
        <f t="shared" si="15"/>
        <v>0.77556494657062602</v>
      </c>
      <c r="T157" s="99">
        <f t="shared" si="15"/>
        <v>-5.3327066780172287E-3</v>
      </c>
      <c r="U157" s="99">
        <f t="shared" si="15"/>
        <v>0.23171689671282011</v>
      </c>
      <c r="V157" s="99">
        <f t="shared" si="15"/>
        <v>-5.3327066780172287E-3</v>
      </c>
      <c r="W157" s="99">
        <f t="shared" si="15"/>
        <v>-5.3327066780172287E-3</v>
      </c>
      <c r="X157" s="99">
        <f t="shared" si="15"/>
        <v>0.20435514929640095</v>
      </c>
      <c r="Y157" s="99">
        <f t="shared" si="15"/>
        <v>-5.3327066780172287E-3</v>
      </c>
      <c r="Z157" s="99">
        <f t="shared" si="15"/>
        <v>-5.3327066780172287E-3</v>
      </c>
      <c r="AA157" s="99">
        <f t="shared" si="15"/>
        <v>0.26438753061305043</v>
      </c>
    </row>
    <row r="158" spans="1:31" ht="12.75" customHeight="1" x14ac:dyDescent="0.25">
      <c r="B158" s="21" t="s">
        <v>6</v>
      </c>
      <c r="C158" s="97">
        <f>Annual_sorted!U25</f>
        <v>-27.851365586514603</v>
      </c>
      <c r="D158" s="29">
        <f>IF(C158-Table_1463457142[Burundi]&gt;0, C158-Table_1463457142[Burundi], 0)</f>
        <v>0</v>
      </c>
      <c r="E158" s="29">
        <f>IF(C158-Table_1463457142[Congo]&gt;0, C158-Table_1463457142[Congo], 0)</f>
        <v>0</v>
      </c>
      <c r="F158" s="29">
        <f>IF(C158-Table_1463457142[Egypt]&gt;0, C158-Table_1463457142[Egypt], 0)</f>
        <v>90.573411251379596</v>
      </c>
      <c r="G158" s="29">
        <f>IF(C158-Table_1463457142[Eritrea]&gt;0, C158-Table_1463457142[Eritrea], 0)</f>
        <v>0</v>
      </c>
      <c r="H158" s="29">
        <f>IF(C158-Table_1463457142[Ethiopia]&gt;0, C158-Table_1463457142[Ethiopia], 0)</f>
        <v>27.494500880589037</v>
      </c>
      <c r="I158" s="29">
        <f>IF(C158-Table_1463457142[Kenya]&gt;0, C158-Table_1463457142[Kenya], 0)</f>
        <v>0</v>
      </c>
      <c r="J158" s="29">
        <f>IF(C158-Table_1463457142[Rwanda]&gt;0, C158-Table_1463457142[Rwanda], 0)</f>
        <v>0</v>
      </c>
      <c r="K158" s="29">
        <f>IF(C158-Table_1463457142[South Sudan]&gt;0, C158-Table_1463457142[South Sudan], 0)</f>
        <v>24.320913674898442</v>
      </c>
      <c r="L158" s="29">
        <f>IF(C158-Table_1463457142[Sudan]&gt;0, C158-Table_1463457142[Sudan], 0)</f>
        <v>0</v>
      </c>
      <c r="M158" s="29">
        <f>IF(C158-Table_1463457142[Tanzania]&gt;0, C158-Table_1463457142[Tanzania], 0)</f>
        <v>0</v>
      </c>
      <c r="N158" s="29">
        <f>IF(C158-Table_1463457142[Uganda]&gt;0, C158-Table_1463457142[Uganda], 0)</f>
        <v>31.283846062737545</v>
      </c>
      <c r="P158" s="21" t="s">
        <v>7</v>
      </c>
      <c r="Q158" s="99">
        <f t="shared" si="16"/>
        <v>-5.3327066780172287E-3</v>
      </c>
      <c r="R158" s="99">
        <f t="shared" si="15"/>
        <v>-5.3327066780172287E-3</v>
      </c>
      <c r="S158" s="99">
        <f t="shared" si="15"/>
        <v>0.87671398389968291</v>
      </c>
      <c r="T158" s="99">
        <f t="shared" si="15"/>
        <v>-5.3327066780172287E-3</v>
      </c>
      <c r="U158" s="99">
        <f t="shared" si="15"/>
        <v>0.33286593404187675</v>
      </c>
      <c r="V158" s="99">
        <f t="shared" si="15"/>
        <v>9.5816330651039477E-2</v>
      </c>
      <c r="W158" s="99">
        <f t="shared" si="15"/>
        <v>-5.3327066780172287E-3</v>
      </c>
      <c r="X158" s="99">
        <f t="shared" si="15"/>
        <v>0.30550418662545764</v>
      </c>
      <c r="Y158" s="99">
        <f t="shared" si="15"/>
        <v>-5.3327066780172287E-3</v>
      </c>
      <c r="Z158" s="99">
        <f t="shared" si="15"/>
        <v>1.597601013248162E-3</v>
      </c>
      <c r="AA158" s="99">
        <f t="shared" si="15"/>
        <v>0.36553656794210709</v>
      </c>
    </row>
    <row r="159" spans="1:31" ht="12.75" customHeight="1" x14ac:dyDescent="0.25">
      <c r="B159" s="21" t="s">
        <v>7</v>
      </c>
      <c r="C159" s="97">
        <f>Annual_sorted!U26</f>
        <v>-16.119465359163375</v>
      </c>
      <c r="D159" s="29">
        <f>IF(C159-Table_1463457142[Burundi]&gt;0, C159-Table_1463457142[Burundi], 0)</f>
        <v>0</v>
      </c>
      <c r="E159" s="29">
        <f>IF(C159-Table_1463457142[Congo]&gt;0, C159-Table_1463457142[Congo], 0)</f>
        <v>0</v>
      </c>
      <c r="F159" s="29">
        <f>IF(C159-Table_1463457142[Egypt]&gt;0, C159-Table_1463457142[Egypt], 0)</f>
        <v>102.30531147873083</v>
      </c>
      <c r="G159" s="29">
        <f>IF(C159-Table_1463457142[Eritrea]&gt;0, C159-Table_1463457142[Eritrea], 0)</f>
        <v>0</v>
      </c>
      <c r="H159" s="29">
        <f>IF(C159-Table_1463457142[Ethiopia]&gt;0, C159-Table_1463457142[Ethiopia], 0)</f>
        <v>39.226401107940262</v>
      </c>
      <c r="I159" s="29">
        <f>IF(C159-Table_1463457142[Kenya]&gt;0, C159-Table_1463457142[Kenya], 0)</f>
        <v>11.731900227351229</v>
      </c>
      <c r="J159" s="29">
        <f>IF(C159-Table_1463457142[Rwanda]&gt;0, C159-Table_1463457142[Rwanda], 0)</f>
        <v>0</v>
      </c>
      <c r="K159" s="29">
        <f>IF(C159-Table_1463457142[South Sudan]&gt;0, C159-Table_1463457142[South Sudan], 0)</f>
        <v>36.052813902249667</v>
      </c>
      <c r="L159" s="29">
        <f>IF(C159-Table_1463457142[Sudan]&gt;0, C159-Table_1463457142[Sudan], 0)</f>
        <v>0</v>
      </c>
      <c r="M159" s="29">
        <f>IF(C159-Table_1463457142[Tanzania]&gt;0, C159-Table_1463457142[Tanzania], 0)</f>
        <v>0.80382058520505595</v>
      </c>
      <c r="N159" s="29">
        <f>IF(C159-Table_1463457142[Uganda]&gt;0, C159-Table_1463457142[Uganda], 0)</f>
        <v>43.015746290088771</v>
      </c>
      <c r="P159" s="21" t="s">
        <v>38</v>
      </c>
      <c r="Q159" s="99">
        <f t="shared" si="16"/>
        <v>-5.3327066780172287E-3</v>
      </c>
      <c r="R159" s="99">
        <f t="shared" si="15"/>
        <v>-5.3327066780172287E-3</v>
      </c>
      <c r="S159" s="99">
        <f t="shared" si="15"/>
        <v>0.56587709059620794</v>
      </c>
      <c r="T159" s="99">
        <f t="shared" si="15"/>
        <v>-5.3327066780172287E-3</v>
      </c>
      <c r="U159" s="99">
        <f t="shared" si="15"/>
        <v>2.2029040738401923E-2</v>
      </c>
      <c r="V159" s="99">
        <f t="shared" si="15"/>
        <v>-5.3327066780172287E-3</v>
      </c>
      <c r="W159" s="99">
        <f t="shared" si="15"/>
        <v>-5.3327066780172287E-3</v>
      </c>
      <c r="X159" s="99">
        <f t="shared" si="15"/>
        <v>-5.3327066780172287E-3</v>
      </c>
      <c r="Y159" s="99">
        <f t="shared" si="15"/>
        <v>-5.3327066780172287E-3</v>
      </c>
      <c r="Z159" s="99">
        <f t="shared" si="15"/>
        <v>-5.3327066780172287E-3</v>
      </c>
      <c r="AA159" s="99">
        <f t="shared" si="15"/>
        <v>5.4699674638632234E-2</v>
      </c>
    </row>
    <row r="160" spans="1:31" ht="12.75" customHeight="1" x14ac:dyDescent="0.25">
      <c r="B160" s="21" t="s">
        <v>9</v>
      </c>
      <c r="C160" s="97">
        <f>Annual_sorted!U27</f>
        <v>-52.172279261413046</v>
      </c>
      <c r="D160" s="29">
        <f>IF(C160-Table_1463457142[Burundi]&gt;0, C160-Table_1463457142[Burundi], 0)</f>
        <v>0</v>
      </c>
      <c r="E160" s="29">
        <f>IF(C160-Table_1463457142[Congo]&gt;0, C160-Table_1463457142[Congo], 0)</f>
        <v>0</v>
      </c>
      <c r="F160" s="29">
        <f>IF(C160-Table_1463457142[Egypt]&gt;0, C160-Table_1463457142[Egypt], 0)</f>
        <v>66.252497576481147</v>
      </c>
      <c r="G160" s="29">
        <f>IF(C160-Table_1463457142[Eritrea]&gt;0, C160-Table_1463457142[Eritrea], 0)</f>
        <v>0</v>
      </c>
      <c r="H160" s="29">
        <f>IF(C160-Table_1463457142[Ethiopia]&gt;0, C160-Table_1463457142[Ethiopia], 0)</f>
        <v>3.1735872056905947</v>
      </c>
      <c r="I160" s="29">
        <f>IF(C160-Table_1463457142[Kenya]&gt;0, C160-Table_1463457142[Kenya], 0)</f>
        <v>0</v>
      </c>
      <c r="J160" s="29">
        <f>IF(C160-Table_1463457142[Rwanda]&gt;0, C160-Table_1463457142[Rwanda], 0)</f>
        <v>0</v>
      </c>
      <c r="K160" s="29">
        <f>IF(C160-Table_1463457142[South Sudan]&gt;0, C160-Table_1463457142[South Sudan], 0)</f>
        <v>0</v>
      </c>
      <c r="L160" s="29">
        <f>IF(C160-Table_1463457142[Sudan]&gt;0, C160-Table_1463457142[Sudan], 0)</f>
        <v>0</v>
      </c>
      <c r="M160" s="29">
        <f>IF(C160-Table_1463457142[Tanzania]&gt;0, C160-Table_1463457142[Tanzania], 0)</f>
        <v>0</v>
      </c>
      <c r="N160" s="29">
        <f>IF(C160-Table_1463457142[Uganda]&gt;0, C160-Table_1463457142[Uganda], 0)</f>
        <v>6.9629323878391034</v>
      </c>
      <c r="P160" s="21" t="s">
        <v>8</v>
      </c>
      <c r="Q160" s="99">
        <f t="shared" si="16"/>
        <v>-5.3327066780172287E-3</v>
      </c>
      <c r="R160" s="99">
        <f t="shared" si="15"/>
        <v>-5.3327066780172287E-3</v>
      </c>
      <c r="S160" s="99">
        <f t="shared" si="15"/>
        <v>0.88304669057770002</v>
      </c>
      <c r="T160" s="99">
        <f t="shared" si="15"/>
        <v>-5.3327066780172287E-3</v>
      </c>
      <c r="U160" s="99">
        <f t="shared" si="15"/>
        <v>0.33919864071989408</v>
      </c>
      <c r="V160" s="99">
        <f t="shared" si="15"/>
        <v>0.10214903732905671</v>
      </c>
      <c r="W160" s="99">
        <f t="shared" si="15"/>
        <v>1E-3</v>
      </c>
      <c r="X160" s="99">
        <f t="shared" si="15"/>
        <v>0.31183689330347492</v>
      </c>
      <c r="Y160" s="99">
        <f t="shared" si="15"/>
        <v>-5.3327066780172287E-3</v>
      </c>
      <c r="Z160" s="99">
        <f t="shared" si="15"/>
        <v>7.9303076912653914E-3</v>
      </c>
      <c r="AA160" s="99">
        <f t="shared" si="15"/>
        <v>0.37186927462012437</v>
      </c>
    </row>
    <row r="161" spans="2:31" ht="12.75" customHeight="1" x14ac:dyDescent="0.25">
      <c r="B161" s="21" t="s">
        <v>8</v>
      </c>
      <c r="C161" s="97">
        <f>Annual_sorted!U28</f>
        <v>-15.384958290412097</v>
      </c>
      <c r="D161" s="29">
        <f>IF(C161-Table_1463457142[Burundi]&gt;0, C161-Table_1463457142[Burundi], 0)</f>
        <v>0</v>
      </c>
      <c r="E161" s="29">
        <f>IF(C161-Table_1463457142[Congo]&gt;0, C161-Table_1463457142[Congo], 0)</f>
        <v>0</v>
      </c>
      <c r="F161" s="29">
        <f>IF(C161-Table_1463457142[Egypt]&gt;0, C161-Table_1463457142[Egypt], 0)</f>
        <v>103.0398185474821</v>
      </c>
      <c r="G161" s="29">
        <f>IF(C161-Table_1463457142[Eritrea]&gt;0, C161-Table_1463457142[Eritrea], 0)</f>
        <v>0</v>
      </c>
      <c r="H161" s="29">
        <f>IF(C161-Table_1463457142[Ethiopia]&gt;0, C161-Table_1463457142[Ethiopia], 0)</f>
        <v>39.960908176691547</v>
      </c>
      <c r="I161" s="29">
        <f>IF(C161-Table_1463457142[Kenya]&gt;0, C161-Table_1463457142[Kenya], 0)</f>
        <v>12.466407296102506</v>
      </c>
      <c r="J161" s="29">
        <f>IF(C161-Table_1463457142[Rwanda]&gt;0, C161-Table_1463457142[Rwanda], 0)</f>
        <v>0.73450706875127736</v>
      </c>
      <c r="K161" s="29">
        <f>IF(C161-Table_1463457142[South Sudan]&gt;0, C161-Table_1463457142[South Sudan], 0)</f>
        <v>36.787320971000952</v>
      </c>
      <c r="L161" s="29">
        <f>IF(C161-Table_1463457142[Sudan]&gt;0, C161-Table_1463457142[Sudan], 0)</f>
        <v>0</v>
      </c>
      <c r="M161" s="29">
        <f>IF(C161-Table_1463457142[Tanzania]&gt;0, C161-Table_1463457142[Tanzania], 0)</f>
        <v>1.5383276539563333</v>
      </c>
      <c r="N161" s="29">
        <f>IF(C161-Table_1463457142[Uganda]&gt;0, C161-Table_1463457142[Uganda], 0)</f>
        <v>43.750253358840055</v>
      </c>
      <c r="P161" s="21" t="s">
        <v>10</v>
      </c>
      <c r="Q161" s="99">
        <f t="shared" si="16"/>
        <v>-5.3327066780172287E-3</v>
      </c>
      <c r="R161" s="99">
        <f t="shared" si="15"/>
        <v>-5.3327066780172287E-3</v>
      </c>
      <c r="S161" s="99">
        <f t="shared" si="15"/>
        <v>0.86978367620841734</v>
      </c>
      <c r="T161" s="99">
        <f t="shared" si="15"/>
        <v>-5.3327066780172287E-3</v>
      </c>
      <c r="U161" s="99">
        <f t="shared" si="15"/>
        <v>0.32593562635061141</v>
      </c>
      <c r="V161" s="99">
        <f t="shared" si="15"/>
        <v>8.8886022959774103E-2</v>
      </c>
      <c r="W161" s="99">
        <f t="shared" si="15"/>
        <v>-5.3327066780172287E-3</v>
      </c>
      <c r="X161" s="99">
        <f t="shared" si="15"/>
        <v>0.29857387893419229</v>
      </c>
      <c r="Y161" s="99">
        <f t="shared" si="15"/>
        <v>-5.3327066780172287E-3</v>
      </c>
      <c r="Z161" s="99">
        <f t="shared" si="15"/>
        <v>-5.3327066780172287E-3</v>
      </c>
      <c r="AA161" s="99">
        <f t="shared" si="15"/>
        <v>0.35860626025084169</v>
      </c>
    </row>
    <row r="162" spans="2:31" ht="12.75" customHeight="1" thickBot="1" x14ac:dyDescent="0.3">
      <c r="B162" s="21" t="s">
        <v>10</v>
      </c>
      <c r="C162" s="97">
        <f>Annual_sorted!U29</f>
        <v>-16.92328594436843</v>
      </c>
      <c r="D162" s="29">
        <f>IF(C162-Table_1463457142[Burundi]&gt;0, C162-Table_1463457142[Burundi], 0)</f>
        <v>0</v>
      </c>
      <c r="E162" s="29">
        <f>IF(C162-Table_1463457142[Congo]&gt;0, C162-Table_1463457142[Congo], 0)</f>
        <v>0</v>
      </c>
      <c r="F162" s="29">
        <f>IF(C162-Table_1463457142[Egypt]&gt;0, C162-Table_1463457142[Egypt], 0)</f>
        <v>101.50149089352577</v>
      </c>
      <c r="G162" s="29">
        <f>IF(C162-Table_1463457142[Eritrea]&gt;0, C162-Table_1463457142[Eritrea], 0)</f>
        <v>0</v>
      </c>
      <c r="H162" s="29">
        <f>IF(C162-Table_1463457142[Ethiopia]&gt;0, C162-Table_1463457142[Ethiopia], 0)</f>
        <v>38.42258052273521</v>
      </c>
      <c r="I162" s="29">
        <f>IF(C162-Table_1463457142[Kenya]&gt;0, C162-Table_1463457142[Kenya], 0)</f>
        <v>10.928079642146173</v>
      </c>
      <c r="J162" s="29">
        <f>IF(C162-Table_1463457142[Rwanda]&gt;0, C162-Table_1463457142[Rwanda], 0)</f>
        <v>0</v>
      </c>
      <c r="K162" s="29">
        <f>IF(C162-Table_1463457142[South Sudan]&gt;0, C162-Table_1463457142[South Sudan], 0)</f>
        <v>35.248993317044615</v>
      </c>
      <c r="L162" s="29">
        <f>IF(C162-Table_1463457142[Sudan]&gt;0, C162-Table_1463457142[Sudan], 0)</f>
        <v>0</v>
      </c>
      <c r="M162" s="29">
        <f>IF(C162-Table_1463457142[Tanzania]&gt;0, C162-Table_1463457142[Tanzania], 0)</f>
        <v>0</v>
      </c>
      <c r="N162" s="29">
        <f>IF(C162-Table_1463457142[Uganda]&gt;0, C162-Table_1463457142[Uganda], 0)</f>
        <v>42.211925704883718</v>
      </c>
      <c r="P162" s="22" t="s">
        <v>11</v>
      </c>
      <c r="Q162" s="100">
        <f t="shared" si="16"/>
        <v>-5.3327066780172287E-3</v>
      </c>
      <c r="R162" s="100">
        <f t="shared" si="15"/>
        <v>-5.3327066780172287E-3</v>
      </c>
      <c r="S162" s="100">
        <f t="shared" si="15"/>
        <v>0.50584470927955849</v>
      </c>
      <c r="T162" s="100">
        <f t="shared" si="15"/>
        <v>-5.3327066780172287E-3</v>
      </c>
      <c r="U162" s="100">
        <f t="shared" si="15"/>
        <v>-5.3327066780172287E-3</v>
      </c>
      <c r="V162" s="100">
        <f t="shared" si="15"/>
        <v>-5.3327066780172287E-3</v>
      </c>
      <c r="W162" s="100">
        <f t="shared" si="15"/>
        <v>-5.3327066780172287E-3</v>
      </c>
      <c r="X162" s="100">
        <f t="shared" si="15"/>
        <v>-5.3327066780172287E-3</v>
      </c>
      <c r="Y162" s="100">
        <f t="shared" si="15"/>
        <v>-5.3327066780172287E-3</v>
      </c>
      <c r="Z162" s="100">
        <f t="shared" si="15"/>
        <v>-5.3327066780172287E-3</v>
      </c>
      <c r="AA162" s="100">
        <f t="shared" si="15"/>
        <v>-5.3327066780172287E-3</v>
      </c>
    </row>
    <row r="163" spans="2:31" ht="12.75" customHeight="1" thickBot="1" x14ac:dyDescent="0.3">
      <c r="B163" s="22" t="s">
        <v>11</v>
      </c>
      <c r="C163" s="98">
        <f>Annual_sorted!U30</f>
        <v>-59.135211649252149</v>
      </c>
      <c r="D163" s="32">
        <f>IF(C163-Table_1463457142[Burundi]&gt;0, C163-Table_1463457142[Burundi], 0)</f>
        <v>0</v>
      </c>
      <c r="E163" s="32">
        <f>IF(C163-Table_1463457142[Congo]&gt;0, C163-Table_1463457142[Congo], 0)</f>
        <v>0</v>
      </c>
      <c r="F163" s="32">
        <f>IF(C163-Table_1463457142[Egypt]&gt;0, C163-Table_1463457142[Egypt], 0)</f>
        <v>59.289565188642051</v>
      </c>
      <c r="G163" s="32">
        <f>IF(C163-Table_1463457142[Eritrea]&gt;0, C163-Table_1463457142[Eritrea], 0)</f>
        <v>0</v>
      </c>
      <c r="H163" s="32">
        <f>IF(C163-Table_1463457142[Ethiopia]&gt;0, C163-Table_1463457142[Ethiopia], 0)</f>
        <v>0</v>
      </c>
      <c r="I163" s="32">
        <f>IF(C163-Table_1463457142[Kenya]&gt;0, C163-Table_1463457142[Kenya], 0)</f>
        <v>0</v>
      </c>
      <c r="J163" s="32">
        <f>IF(C163-Table_1463457142[Rwanda]&gt;0, C163-Table_1463457142[Rwanda], 0)</f>
        <v>0</v>
      </c>
      <c r="K163" s="32">
        <f>IF(C163-Table_1463457142[South Sudan]&gt;0, C163-Table_1463457142[South Sudan], 0)</f>
        <v>0</v>
      </c>
      <c r="L163" s="32">
        <f>IF(C163-Table_1463457142[Sudan]&gt;0, C163-Table_1463457142[Sudan], 0)</f>
        <v>0</v>
      </c>
      <c r="M163" s="32">
        <f>IF(C163-Table_1463457142[Tanzania]&gt;0, C163-Table_1463457142[Tanzania], 0)</f>
        <v>0</v>
      </c>
      <c r="N163" s="32">
        <f>IF(C163-Table_1463457142[Uganda]&gt;0, C163-Table_1463457142[Uganda], 0)</f>
        <v>0</v>
      </c>
    </row>
    <row r="164" spans="2:31" ht="12.75" customHeight="1" x14ac:dyDescent="0.25"/>
    <row r="165" spans="2:31" ht="12.75" customHeight="1" x14ac:dyDescent="0.25"/>
    <row r="166" spans="2:31" ht="12.75" customHeight="1" x14ac:dyDescent="0.25"/>
    <row r="167" spans="2:31" ht="12.75" customHeight="1" x14ac:dyDescent="0.25"/>
    <row r="168" spans="2:31" ht="12.75" customHeight="1" thickBot="1" x14ac:dyDescent="0.3">
      <c r="B168" s="214" t="s">
        <v>104</v>
      </c>
      <c r="C168" s="214"/>
      <c r="D168" s="214"/>
      <c r="E168" s="214"/>
      <c r="F168" s="214"/>
      <c r="G168" s="214"/>
      <c r="H168" s="214"/>
      <c r="I168" s="214"/>
      <c r="J168" s="214"/>
      <c r="K168" s="214"/>
      <c r="L168" s="214"/>
      <c r="M168" s="214"/>
      <c r="N168" s="214"/>
      <c r="P168" s="214" t="s">
        <v>105</v>
      </c>
      <c r="Q168" s="214"/>
      <c r="R168" s="214"/>
      <c r="S168" s="214"/>
      <c r="T168" s="214"/>
      <c r="U168" s="214"/>
      <c r="V168" s="214"/>
      <c r="W168" s="214"/>
      <c r="X168" s="214"/>
      <c r="Y168" s="214"/>
      <c r="Z168" s="214"/>
      <c r="AA168" s="214"/>
      <c r="AB168" s="10"/>
      <c r="AC168" s="3" t="s">
        <v>23</v>
      </c>
      <c r="AD168" s="13" t="s">
        <v>24</v>
      </c>
      <c r="AE168" s="76">
        <f t="array" ref="AE168">MIN(IF(D171:N181&gt;0,D171:N181))</f>
        <v>2.6457167343396728</v>
      </c>
    </row>
    <row r="169" spans="2:31" ht="12.75" customHeight="1" thickBot="1" x14ac:dyDescent="0.3">
      <c r="B169" s="77" t="s">
        <v>14</v>
      </c>
      <c r="C169" s="68" t="s">
        <v>15</v>
      </c>
      <c r="D169" s="69" t="s">
        <v>1</v>
      </c>
      <c r="E169" s="69" t="s">
        <v>2</v>
      </c>
      <c r="F169" s="69" t="s">
        <v>3</v>
      </c>
      <c r="G169" s="69" t="s">
        <v>4</v>
      </c>
      <c r="H169" s="69" t="s">
        <v>5</v>
      </c>
      <c r="I169" s="69" t="s">
        <v>6</v>
      </c>
      <c r="J169" s="69" t="s">
        <v>7</v>
      </c>
      <c r="K169" s="69" t="s">
        <v>9</v>
      </c>
      <c r="L169" s="69" t="s">
        <v>8</v>
      </c>
      <c r="M169" s="69" t="s">
        <v>10</v>
      </c>
      <c r="N169" s="69" t="s">
        <v>11</v>
      </c>
      <c r="P169" s="78" t="s">
        <v>20</v>
      </c>
      <c r="Q169" s="79" t="s">
        <v>1</v>
      </c>
      <c r="R169" s="79" t="s">
        <v>2</v>
      </c>
      <c r="S169" s="79" t="s">
        <v>3</v>
      </c>
      <c r="T169" s="79" t="s">
        <v>4</v>
      </c>
      <c r="U169" s="79" t="s">
        <v>5</v>
      </c>
      <c r="V169" s="79" t="s">
        <v>6</v>
      </c>
      <c r="W169" s="79" t="s">
        <v>7</v>
      </c>
      <c r="X169" s="79" t="s">
        <v>32</v>
      </c>
      <c r="Y169" s="79" t="s">
        <v>8</v>
      </c>
      <c r="Z169" s="79" t="s">
        <v>10</v>
      </c>
      <c r="AA169" s="79" t="s">
        <v>11</v>
      </c>
      <c r="AB169" s="213" t="s">
        <v>27</v>
      </c>
      <c r="AC169" s="213"/>
      <c r="AD169" s="13" t="s">
        <v>25</v>
      </c>
      <c r="AE169" s="20">
        <f>MAX(D171:N181)</f>
        <v>399.01441056271932</v>
      </c>
    </row>
    <row r="170" spans="2:31" ht="12.75" customHeight="1" x14ac:dyDescent="0.25">
      <c r="B170" s="95"/>
      <c r="C170" s="96" t="s">
        <v>83</v>
      </c>
      <c r="D170" s="97">
        <f>C171</f>
        <v>-5.0588793560992267</v>
      </c>
      <c r="E170" s="97">
        <f>C172</f>
        <v>1.3574668529991745</v>
      </c>
      <c r="F170" s="97">
        <f>C173</f>
        <v>303.78772081694262</v>
      </c>
      <c r="G170" s="97">
        <f>C174</f>
        <v>-1.6304870956761233</v>
      </c>
      <c r="H170" s="97">
        <f>C175</f>
        <v>-95.226689745776696</v>
      </c>
      <c r="I170" s="97">
        <f>C176</f>
        <v>-22.489897359347463</v>
      </c>
      <c r="J170" s="97">
        <f>C177</f>
        <v>-7.7045960904388995</v>
      </c>
      <c r="K170" s="97">
        <f>C178</f>
        <v>174.5648561640424</v>
      </c>
      <c r="L170" s="97">
        <f>C179</f>
        <v>4.5983171492134192</v>
      </c>
      <c r="M170" s="97">
        <f>C180</f>
        <v>-27.268297927085023</v>
      </c>
      <c r="N170" s="97">
        <f>C181</f>
        <v>-30.895711309989764</v>
      </c>
      <c r="P170" s="21" t="s">
        <v>1</v>
      </c>
      <c r="Q170" s="99">
        <f>$AE$170+(D171-$AE$168)*($AE$171-$AE$170)/($AE$169-$AE$168)</f>
        <v>-5.6682133547856185E-3</v>
      </c>
      <c r="R170" s="99">
        <f t="shared" ref="R170:AA180" si="17">$AE$170+(E171-$AE$168)*($AE$171-$AE$170)/($AE$169-$AE$168)</f>
        <v>-5.6682133547856185E-3</v>
      </c>
      <c r="S170" s="99">
        <f t="shared" si="17"/>
        <v>-5.6682133547856185E-3</v>
      </c>
      <c r="T170" s="99">
        <f t="shared" si="17"/>
        <v>-5.6682133547856185E-3</v>
      </c>
      <c r="U170" s="99">
        <f t="shared" si="17"/>
        <v>0.22158899434560292</v>
      </c>
      <c r="V170" s="99">
        <f t="shared" si="17"/>
        <v>3.8264587737686012E-2</v>
      </c>
      <c r="W170" s="99">
        <f t="shared" si="17"/>
        <v>1E-3</v>
      </c>
      <c r="X170" s="99">
        <f t="shared" si="17"/>
        <v>-5.6682133547856185E-3</v>
      </c>
      <c r="Y170" s="99">
        <f t="shared" si="17"/>
        <v>-5.6682133547856185E-3</v>
      </c>
      <c r="Z170" s="99">
        <f t="shared" si="17"/>
        <v>5.0307976233036539E-2</v>
      </c>
      <c r="AA170" s="99">
        <f t="shared" si="17"/>
        <v>5.9450438859236954E-2</v>
      </c>
      <c r="AD170" s="3" t="s">
        <v>26</v>
      </c>
      <c r="AE170" s="2">
        <v>1E-3</v>
      </c>
    </row>
    <row r="171" spans="2:31" ht="12.75" customHeight="1" x14ac:dyDescent="0.25">
      <c r="B171" s="21" t="s">
        <v>1</v>
      </c>
      <c r="C171" s="97">
        <f>Annual_sorted!V20</f>
        <v>-5.0588793560992267</v>
      </c>
      <c r="D171" s="29">
        <f>IF(C171-Table_146345781129183[Burundi]&gt;0, C171-Table_146345781129183[Burundi], 0)</f>
        <v>0</v>
      </c>
      <c r="E171" s="29">
        <f>IF(C171-Table_146345781129183[Congo]&gt;0, C171-Table_146345781129183[Congo], 0)</f>
        <v>0</v>
      </c>
      <c r="F171" s="29">
        <f>IF(C171-Table_146345781129183[Egypt]&gt;0, C171-Table_146345781129183[Egypt], 0)</f>
        <v>0</v>
      </c>
      <c r="G171" s="29">
        <f>IF(C171-Table_146345781129183[Eritrea]&gt;0, C171-Table_146345781129183[Eritrea], 0)</f>
        <v>0</v>
      </c>
      <c r="H171" s="29">
        <f>IF(C171-Table_146345781129183[Ethiopia]&gt;0, C171-Table_146345781129183[Ethiopia], 0)</f>
        <v>90.16781038967747</v>
      </c>
      <c r="I171" s="29">
        <f>IF(C171-Table_146345781129183[Kenya]&gt;0, C171-Table_146345781129183[Kenya], 0)</f>
        <v>17.431018003248237</v>
      </c>
      <c r="J171" s="29">
        <f>IF(C171-Table_146345781129183[Rwanda]&gt;0, C171-Table_146345781129183[Rwanda], 0)</f>
        <v>2.6457167343396728</v>
      </c>
      <c r="K171" s="29">
        <f>IF(C171-Table_146345781129183[South Sudan]&gt;0, C171-Table_146345781129183[South Sudan], 0)</f>
        <v>0</v>
      </c>
      <c r="L171" s="29">
        <f>IF(C171-Table_146345781129183[Sudan]&gt;0, C171-Table_146345781129183[Sudan], 0)</f>
        <v>0</v>
      </c>
      <c r="M171" s="29">
        <f>IF(C171-Table_146345781129183[Tanzania]&gt;0, C171-Table_146345781129183[Tanzania], 0)</f>
        <v>22.209418570985797</v>
      </c>
      <c r="N171" s="29">
        <f>IF(C171-Table_146345781129183[Uganda]&gt;0, C171-Table_146345781129183[Uganda], 0)</f>
        <v>25.836831953890538</v>
      </c>
      <c r="P171" s="21" t="s">
        <v>2</v>
      </c>
      <c r="Q171" s="99">
        <f t="shared" ref="Q171:Q180" si="18">$AE$170+(D172-$AE$168)*($AE$171-$AE$170)/($AE$169-$AE$168)</f>
        <v>1.0503421697867367E-2</v>
      </c>
      <c r="R171" s="99">
        <f t="shared" si="17"/>
        <v>-5.6682133547856185E-3</v>
      </c>
      <c r="S171" s="99">
        <f t="shared" si="17"/>
        <v>-5.6682133547856185E-3</v>
      </c>
      <c r="T171" s="99">
        <f t="shared" si="17"/>
        <v>1.86256806464469E-3</v>
      </c>
      <c r="U171" s="99">
        <f t="shared" si="17"/>
        <v>0.23776062939825593</v>
      </c>
      <c r="V171" s="99">
        <f t="shared" si="17"/>
        <v>5.4436222790338988E-2</v>
      </c>
      <c r="W171" s="99">
        <f t="shared" si="17"/>
        <v>1.7171635052652984E-2</v>
      </c>
      <c r="X171" s="99">
        <f t="shared" si="17"/>
        <v>-5.6682133547856185E-3</v>
      </c>
      <c r="Y171" s="99">
        <f t="shared" si="17"/>
        <v>-5.6682133547856185E-3</v>
      </c>
      <c r="Z171" s="99">
        <f t="shared" si="17"/>
        <v>6.6479611285689508E-2</v>
      </c>
      <c r="AA171" s="99">
        <f t="shared" si="17"/>
        <v>7.5622073911889923E-2</v>
      </c>
      <c r="AD171" s="3" t="s">
        <v>84</v>
      </c>
      <c r="AE171" s="2">
        <v>1</v>
      </c>
    </row>
    <row r="172" spans="2:31" ht="12.75" customHeight="1" x14ac:dyDescent="0.25">
      <c r="B172" s="21" t="s">
        <v>2</v>
      </c>
      <c r="C172" s="97">
        <f>Annual_sorted!V21</f>
        <v>1.3574668529991745</v>
      </c>
      <c r="D172" s="29">
        <f>IF(C172-Table_146345781129183[Burundi]&gt;0, C172-Table_146345781129183[Burundi], 0)</f>
        <v>6.4163462090984016</v>
      </c>
      <c r="E172" s="29">
        <f>IF(C172-Table_146345781129183[Congo]&gt;0, C172-Table_146345781129183[Congo], 0)</f>
        <v>0</v>
      </c>
      <c r="F172" s="29">
        <f>IF(C172-Table_146345781129183[Egypt]&gt;0, C172-Table_146345781129183[Egypt], 0)</f>
        <v>0</v>
      </c>
      <c r="G172" s="29">
        <f>IF(C172-Table_146345781129183[Eritrea]&gt;0, C172-Table_146345781129183[Eritrea], 0)</f>
        <v>2.9879539486752975</v>
      </c>
      <c r="H172" s="29">
        <f>IF(C172-Table_146345781129183[Ethiopia]&gt;0, C172-Table_146345781129183[Ethiopia], 0)</f>
        <v>96.584156598775877</v>
      </c>
      <c r="I172" s="29">
        <f>IF(C172-Table_146345781129183[Kenya]&gt;0, C172-Table_146345781129183[Kenya], 0)</f>
        <v>23.847364212346637</v>
      </c>
      <c r="J172" s="29">
        <f>IF(C172-Table_146345781129183[Rwanda]&gt;0, C172-Table_146345781129183[Rwanda], 0)</f>
        <v>9.0620629434380735</v>
      </c>
      <c r="K172" s="29">
        <f>IF(C172-Table_146345781129183[South Sudan]&gt;0, C172-Table_146345781129183[South Sudan], 0)</f>
        <v>0</v>
      </c>
      <c r="L172" s="29">
        <f>IF(C172-Table_146345781129183[Sudan]&gt;0, C172-Table_146345781129183[Sudan], 0)</f>
        <v>0</v>
      </c>
      <c r="M172" s="29">
        <f>IF(C172-Table_146345781129183[Tanzania]&gt;0, C172-Table_146345781129183[Tanzania], 0)</f>
        <v>28.625764780084197</v>
      </c>
      <c r="N172" s="29">
        <f>IF(C172-Table_146345781129183[Uganda]&gt;0, C172-Table_146345781129183[Uganda], 0)</f>
        <v>32.253178162988938</v>
      </c>
      <c r="P172" s="21" t="s">
        <v>3</v>
      </c>
      <c r="Q172" s="99">
        <f t="shared" si="18"/>
        <v>0.77274279229961151</v>
      </c>
      <c r="R172" s="99">
        <f t="shared" si="17"/>
        <v>0.75657115724695856</v>
      </c>
      <c r="S172" s="99">
        <f t="shared" si="17"/>
        <v>-5.6682133547856185E-3</v>
      </c>
      <c r="T172" s="99">
        <f t="shared" si="17"/>
        <v>0.76410193866638876</v>
      </c>
      <c r="U172" s="99">
        <f t="shared" si="17"/>
        <v>1</v>
      </c>
      <c r="V172" s="99">
        <f t="shared" si="17"/>
        <v>0.81667559339208307</v>
      </c>
      <c r="W172" s="99">
        <f t="shared" si="17"/>
        <v>0.77941100565439692</v>
      </c>
      <c r="X172" s="99">
        <f t="shared" si="17"/>
        <v>0.32002259875597733</v>
      </c>
      <c r="Y172" s="99">
        <f t="shared" si="17"/>
        <v>0.74840298075792466</v>
      </c>
      <c r="Z172" s="99">
        <f t="shared" si="17"/>
        <v>0.82871898188743365</v>
      </c>
      <c r="AA172" s="99">
        <f t="shared" si="17"/>
        <v>0.83786144451363409</v>
      </c>
    </row>
    <row r="173" spans="2:31" ht="12.75" customHeight="1" x14ac:dyDescent="0.25">
      <c r="B173" s="21" t="s">
        <v>3</v>
      </c>
      <c r="C173" s="97">
        <f>Annual_sorted!V22</f>
        <v>303.78772081694262</v>
      </c>
      <c r="D173" s="29">
        <f>IF(C173-Table_146345781129183[Burundi]&gt;0, C173-Table_146345781129183[Burundi], 0)</f>
        <v>308.84660017304185</v>
      </c>
      <c r="E173" s="29">
        <f>IF(C173-Table_146345781129183[Congo]&gt;0, C173-Table_146345781129183[Congo], 0)</f>
        <v>302.43025396394347</v>
      </c>
      <c r="F173" s="29">
        <f>IF(C173-Table_146345781129183[Egypt]&gt;0, C173-Table_146345781129183[Egypt], 0)</f>
        <v>0</v>
      </c>
      <c r="G173" s="29">
        <f>IF(C173-Table_146345781129183[Eritrea]&gt;0, C173-Table_146345781129183[Eritrea], 0)</f>
        <v>305.41820791261875</v>
      </c>
      <c r="H173" s="29">
        <f>IF(C173-Table_146345781129183[Ethiopia]&gt;0, C173-Table_146345781129183[Ethiopia], 0)</f>
        <v>399.01441056271932</v>
      </c>
      <c r="I173" s="29">
        <f>IF(C173-Table_146345781129183[Kenya]&gt;0, C173-Table_146345781129183[Kenya], 0)</f>
        <v>326.2776181762901</v>
      </c>
      <c r="J173" s="29">
        <f>IF(C173-Table_146345781129183[Rwanda]&gt;0, C173-Table_146345781129183[Rwanda], 0)</f>
        <v>311.49231690738151</v>
      </c>
      <c r="K173" s="29">
        <f>IF(C173-Table_146345781129183[South Sudan]&gt;0, C173-Table_146345781129183[South Sudan], 0)</f>
        <v>129.22286465290023</v>
      </c>
      <c r="L173" s="29">
        <f>IF(C173-Table_146345781129183[Sudan]&gt;0, C173-Table_146345781129183[Sudan], 0)</f>
        <v>299.18940366772921</v>
      </c>
      <c r="M173" s="29">
        <f>IF(C173-Table_146345781129183[Tanzania]&gt;0, C173-Table_146345781129183[Tanzania], 0)</f>
        <v>331.05601874402765</v>
      </c>
      <c r="N173" s="29">
        <f>IF(C173-Table_146345781129183[Uganda]&gt;0, C173-Table_146345781129183[Uganda], 0)</f>
        <v>334.68343212693242</v>
      </c>
      <c r="P173" s="21" t="s">
        <v>4</v>
      </c>
      <c r="Q173" s="99">
        <f t="shared" si="18"/>
        <v>2.9726402784370559E-3</v>
      </c>
      <c r="R173" s="99">
        <f t="shared" si="17"/>
        <v>-5.6682133547856185E-3</v>
      </c>
      <c r="S173" s="99">
        <f t="shared" si="17"/>
        <v>-5.6682133547856185E-3</v>
      </c>
      <c r="T173" s="99">
        <f t="shared" si="17"/>
        <v>-5.6682133547856185E-3</v>
      </c>
      <c r="U173" s="99">
        <f t="shared" si="17"/>
        <v>0.23022984797882565</v>
      </c>
      <c r="V173" s="99">
        <f t="shared" si="17"/>
        <v>4.6905441370908678E-2</v>
      </c>
      <c r="W173" s="99">
        <f t="shared" si="17"/>
        <v>9.6408536332226735E-3</v>
      </c>
      <c r="X173" s="99">
        <f t="shared" si="17"/>
        <v>-5.6682133547856185E-3</v>
      </c>
      <c r="Y173" s="99">
        <f t="shared" si="17"/>
        <v>-5.6682133547856185E-3</v>
      </c>
      <c r="Z173" s="99">
        <f t="shared" si="17"/>
        <v>5.8948829866259204E-2</v>
      </c>
      <c r="AA173" s="99">
        <f t="shared" si="17"/>
        <v>6.8091292492459626E-2</v>
      </c>
    </row>
    <row r="174" spans="2:31" ht="12.75" customHeight="1" x14ac:dyDescent="0.25">
      <c r="B174" s="21" t="s">
        <v>4</v>
      </c>
      <c r="C174" s="97">
        <f>Annual_sorted!V23</f>
        <v>-1.6304870956761233</v>
      </c>
      <c r="D174" s="29">
        <f>IF(C174-Table_146345781129183[Burundi]&gt;0, C174-Table_146345781129183[Burundi], 0)</f>
        <v>3.4283922604231032</v>
      </c>
      <c r="E174" s="29">
        <f>IF(C174-Table_146345781129183[Congo]&gt;0, C174-Table_146345781129183[Congo], 0)</f>
        <v>0</v>
      </c>
      <c r="F174" s="29">
        <f>IF(C174-Table_146345781129183[Egypt]&gt;0, C174-Table_146345781129183[Egypt], 0)</f>
        <v>0</v>
      </c>
      <c r="G174" s="29">
        <f>IF(C174-Table_146345781129183[Eritrea]&gt;0, C174-Table_146345781129183[Eritrea], 0)</f>
        <v>0</v>
      </c>
      <c r="H174" s="29">
        <f>IF(C174-Table_146345781129183[Ethiopia]&gt;0, C174-Table_146345781129183[Ethiopia], 0)</f>
        <v>93.596202650100579</v>
      </c>
      <c r="I174" s="29">
        <f>IF(C174-Table_146345781129183[Kenya]&gt;0, C174-Table_146345781129183[Kenya], 0)</f>
        <v>20.859410263671339</v>
      </c>
      <c r="J174" s="29">
        <f>IF(C174-Table_146345781129183[Rwanda]&gt;0, C174-Table_146345781129183[Rwanda], 0)</f>
        <v>6.074108994762776</v>
      </c>
      <c r="K174" s="29">
        <f>IF(C174-Table_146345781129183[South Sudan]&gt;0, C174-Table_146345781129183[South Sudan], 0)</f>
        <v>0</v>
      </c>
      <c r="L174" s="29">
        <f>IF(C174-Table_146345781129183[Sudan]&gt;0, C174-Table_146345781129183[Sudan], 0)</f>
        <v>0</v>
      </c>
      <c r="M174" s="29">
        <f>IF(C174-Table_146345781129183[Tanzania]&gt;0, C174-Table_146345781129183[Tanzania], 0)</f>
        <v>25.637810831408899</v>
      </c>
      <c r="N174" s="29">
        <f>IF(C174-Table_146345781129183[Uganda]&gt;0, C174-Table_146345781129183[Uganda], 0)</f>
        <v>29.265224214313641</v>
      </c>
      <c r="P174" s="21" t="s">
        <v>5</v>
      </c>
      <c r="Q174" s="99">
        <f t="shared" si="18"/>
        <v>-5.6682133547856185E-3</v>
      </c>
      <c r="R174" s="99">
        <f t="shared" si="17"/>
        <v>-5.6682133547856185E-3</v>
      </c>
      <c r="S174" s="99">
        <f t="shared" si="17"/>
        <v>-5.6682133547856185E-3</v>
      </c>
      <c r="T174" s="99">
        <f t="shared" si="17"/>
        <v>-5.6682133547856185E-3</v>
      </c>
      <c r="U174" s="99">
        <f t="shared" si="17"/>
        <v>-5.6682133547856185E-3</v>
      </c>
      <c r="V174" s="99">
        <f t="shared" si="17"/>
        <v>-5.6682133547856185E-3</v>
      </c>
      <c r="W174" s="99">
        <f t="shared" si="17"/>
        <v>-5.6682133547856185E-3</v>
      </c>
      <c r="X174" s="99">
        <f t="shared" si="17"/>
        <v>-5.6682133547856185E-3</v>
      </c>
      <c r="Y174" s="99">
        <f t="shared" si="17"/>
        <v>-5.6682133547856185E-3</v>
      </c>
      <c r="Z174" s="99">
        <f t="shared" si="17"/>
        <v>-5.6682133547856185E-3</v>
      </c>
      <c r="AA174" s="99">
        <f t="shared" si="17"/>
        <v>-5.6682133547856185E-3</v>
      </c>
    </row>
    <row r="175" spans="2:31" ht="12.75" customHeight="1" x14ac:dyDescent="0.25">
      <c r="B175" s="21" t="s">
        <v>5</v>
      </c>
      <c r="C175" s="97">
        <f>Annual_sorted!V24</f>
        <v>-95.226689745776696</v>
      </c>
      <c r="D175" s="29">
        <f>IF(C175-Table_146345781129183[Burundi]&gt;0, C175-Table_146345781129183[Burundi], 0)</f>
        <v>0</v>
      </c>
      <c r="E175" s="29">
        <f>IF(C175-Table_146345781129183[Congo]&gt;0, C175-Table_146345781129183[Congo], 0)</f>
        <v>0</v>
      </c>
      <c r="F175" s="29">
        <f>IF(C175-Table_146345781129183[Egypt]&gt;0, C175-Table_146345781129183[Egypt], 0)</f>
        <v>0</v>
      </c>
      <c r="G175" s="29">
        <f>IF(C175-Table_146345781129183[Eritrea]&gt;0, C175-Table_146345781129183[Eritrea], 0)</f>
        <v>0</v>
      </c>
      <c r="H175" s="29">
        <f>IF(C175-Table_146345781129183[Ethiopia]&gt;0, C175-Table_146345781129183[Ethiopia], 0)</f>
        <v>0</v>
      </c>
      <c r="I175" s="29">
        <f>IF(C175-Table_146345781129183[Kenya]&gt;0, C175-Table_146345781129183[Kenya], 0)</f>
        <v>0</v>
      </c>
      <c r="J175" s="29">
        <f>IF(C175-Table_146345781129183[Rwanda]&gt;0, C175-Table_146345781129183[Rwanda], 0)</f>
        <v>0</v>
      </c>
      <c r="K175" s="29">
        <f>IF(C175-Table_146345781129183[South Sudan]&gt;0, C175-Table_146345781129183[South Sudan], 0)</f>
        <v>0</v>
      </c>
      <c r="L175" s="29">
        <f>IF(C175-Table_146345781129183[Sudan]&gt;0, C175-Table_146345781129183[Sudan], 0)</f>
        <v>0</v>
      </c>
      <c r="M175" s="29">
        <f>IF(C175-Table_146345781129183[Tanzania]&gt;0, C175-Table_146345781129183[Tanzania], 0)</f>
        <v>0</v>
      </c>
      <c r="N175" s="29">
        <f>IF(C175-Table_146345781129183[Uganda]&gt;0, C175-Table_146345781129183[Uganda], 0)</f>
        <v>0</v>
      </c>
      <c r="P175" s="21" t="s">
        <v>6</v>
      </c>
      <c r="Q175" s="99">
        <f t="shared" si="18"/>
        <v>-5.6682133547856185E-3</v>
      </c>
      <c r="R175" s="99">
        <f t="shared" si="17"/>
        <v>-5.6682133547856185E-3</v>
      </c>
      <c r="S175" s="99">
        <f t="shared" si="17"/>
        <v>-5.6682133547856185E-3</v>
      </c>
      <c r="T175" s="99">
        <f t="shared" si="17"/>
        <v>-5.6682133547856185E-3</v>
      </c>
      <c r="U175" s="99">
        <f t="shared" si="17"/>
        <v>0.17765619325313131</v>
      </c>
      <c r="V175" s="99">
        <f t="shared" si="17"/>
        <v>-5.6682133547856185E-3</v>
      </c>
      <c r="W175" s="99">
        <f t="shared" si="17"/>
        <v>-5.6682133547856185E-3</v>
      </c>
      <c r="X175" s="99">
        <f t="shared" si="17"/>
        <v>-5.6682133547856185E-3</v>
      </c>
      <c r="Y175" s="99">
        <f t="shared" si="17"/>
        <v>-5.6682133547856185E-3</v>
      </c>
      <c r="Z175" s="99">
        <f t="shared" si="17"/>
        <v>6.3751751405649064E-3</v>
      </c>
      <c r="AA175" s="99">
        <f t="shared" si="17"/>
        <v>1.5517637766765322E-2</v>
      </c>
    </row>
    <row r="176" spans="2:31" ht="12.75" customHeight="1" x14ac:dyDescent="0.25">
      <c r="B176" s="21" t="s">
        <v>6</v>
      </c>
      <c r="C176" s="97">
        <f>Annual_sorted!V25</f>
        <v>-22.489897359347463</v>
      </c>
      <c r="D176" s="29">
        <f>IF(C176-Table_146345781129183[Burundi]&gt;0, C176-Table_146345781129183[Burundi], 0)</f>
        <v>0</v>
      </c>
      <c r="E176" s="29">
        <f>IF(C176-Table_146345781129183[Congo]&gt;0, C176-Table_146345781129183[Congo], 0)</f>
        <v>0</v>
      </c>
      <c r="F176" s="29">
        <f>IF(C176-Table_146345781129183[Egypt]&gt;0, C176-Table_146345781129183[Egypt], 0)</f>
        <v>0</v>
      </c>
      <c r="G176" s="29">
        <f>IF(C176-Table_146345781129183[Eritrea]&gt;0, C176-Table_146345781129183[Eritrea], 0)</f>
        <v>0</v>
      </c>
      <c r="H176" s="29">
        <f>IF(C176-Table_146345781129183[Ethiopia]&gt;0, C176-Table_146345781129183[Ethiopia], 0)</f>
        <v>72.736792386429229</v>
      </c>
      <c r="I176" s="29">
        <f>IF(C176-Table_146345781129183[Kenya]&gt;0, C176-Table_146345781129183[Kenya], 0)</f>
        <v>0</v>
      </c>
      <c r="J176" s="29">
        <f>IF(C176-Table_146345781129183[Rwanda]&gt;0, C176-Table_146345781129183[Rwanda], 0)</f>
        <v>0</v>
      </c>
      <c r="K176" s="29">
        <f>IF(C176-Table_146345781129183[South Sudan]&gt;0, C176-Table_146345781129183[South Sudan], 0)</f>
        <v>0</v>
      </c>
      <c r="L176" s="29">
        <f>IF(C176-Table_146345781129183[Sudan]&gt;0, C176-Table_146345781129183[Sudan], 0)</f>
        <v>0</v>
      </c>
      <c r="M176" s="29">
        <f>IF(C176-Table_146345781129183[Tanzania]&gt;0, C176-Table_146345781129183[Tanzania], 0)</f>
        <v>4.7784005677375596</v>
      </c>
      <c r="N176" s="29">
        <f>IF(C176-Table_146345781129183[Uganda]&gt;0, C176-Table_146345781129183[Uganda], 0)</f>
        <v>8.4058139506423011</v>
      </c>
      <c r="P176" s="21" t="s">
        <v>7</v>
      </c>
      <c r="Q176" s="99">
        <f t="shared" si="18"/>
        <v>-5.6682133547856185E-3</v>
      </c>
      <c r="R176" s="99">
        <f t="shared" si="17"/>
        <v>-5.6682133547856185E-3</v>
      </c>
      <c r="S176" s="99">
        <f t="shared" si="17"/>
        <v>-5.6682133547856185E-3</v>
      </c>
      <c r="T176" s="99">
        <f t="shared" si="17"/>
        <v>-5.6682133547856185E-3</v>
      </c>
      <c r="U176" s="99">
        <f t="shared" si="17"/>
        <v>0.2149207809908173</v>
      </c>
      <c r="V176" s="99">
        <f t="shared" si="17"/>
        <v>3.1596374382900382E-2</v>
      </c>
      <c r="W176" s="99">
        <f t="shared" si="17"/>
        <v>-5.6682133547856185E-3</v>
      </c>
      <c r="X176" s="99">
        <f t="shared" si="17"/>
        <v>-5.6682133547856185E-3</v>
      </c>
      <c r="Y176" s="99">
        <f t="shared" si="17"/>
        <v>-5.6682133547856185E-3</v>
      </c>
      <c r="Z176" s="99">
        <f t="shared" si="17"/>
        <v>4.3639762878250915E-2</v>
      </c>
      <c r="AA176" s="99">
        <f t="shared" si="17"/>
        <v>5.2782225504451337E-2</v>
      </c>
    </row>
    <row r="177" spans="1:27" ht="12.75" customHeight="1" x14ac:dyDescent="0.25">
      <c r="B177" s="21" t="s">
        <v>7</v>
      </c>
      <c r="C177" s="97">
        <f>Annual_sorted!V26</f>
        <v>-7.7045960904388995</v>
      </c>
      <c r="D177" s="29">
        <f>IF(C177-Table_146345781129183[Burundi]&gt;0, C177-Table_146345781129183[Burundi], 0)</f>
        <v>0</v>
      </c>
      <c r="E177" s="29">
        <f>IF(C177-Table_146345781129183[Congo]&gt;0, C177-Table_146345781129183[Congo], 0)</f>
        <v>0</v>
      </c>
      <c r="F177" s="29">
        <f>IF(C177-Table_146345781129183[Egypt]&gt;0, C177-Table_146345781129183[Egypt], 0)</f>
        <v>0</v>
      </c>
      <c r="G177" s="29">
        <f>IF(C177-Table_146345781129183[Eritrea]&gt;0, C177-Table_146345781129183[Eritrea], 0)</f>
        <v>0</v>
      </c>
      <c r="H177" s="29">
        <f>IF(C177-Table_146345781129183[Ethiopia]&gt;0, C177-Table_146345781129183[Ethiopia], 0)</f>
        <v>87.522093655337798</v>
      </c>
      <c r="I177" s="29">
        <f>IF(C177-Table_146345781129183[Kenya]&gt;0, C177-Table_146345781129183[Kenya], 0)</f>
        <v>14.785301268908563</v>
      </c>
      <c r="J177" s="29">
        <f>IF(C177-Table_146345781129183[Rwanda]&gt;0, C177-Table_146345781129183[Rwanda], 0)</f>
        <v>0</v>
      </c>
      <c r="K177" s="29">
        <f>IF(C177-Table_146345781129183[South Sudan]&gt;0, C177-Table_146345781129183[South Sudan], 0)</f>
        <v>0</v>
      </c>
      <c r="L177" s="29">
        <f>IF(C177-Table_146345781129183[Sudan]&gt;0, C177-Table_146345781129183[Sudan], 0)</f>
        <v>0</v>
      </c>
      <c r="M177" s="29">
        <f>IF(C177-Table_146345781129183[Tanzania]&gt;0, C177-Table_146345781129183[Tanzania], 0)</f>
        <v>19.563701836646125</v>
      </c>
      <c r="N177" s="29">
        <f>IF(C177-Table_146345781129183[Uganda]&gt;0, C177-Table_146345781129183[Uganda], 0)</f>
        <v>23.191115219550866</v>
      </c>
      <c r="P177" s="21" t="s">
        <v>38</v>
      </c>
      <c r="Q177" s="99">
        <f t="shared" si="18"/>
        <v>0.44705198018884845</v>
      </c>
      <c r="R177" s="99">
        <f t="shared" si="17"/>
        <v>0.43088034513619544</v>
      </c>
      <c r="S177" s="99">
        <f t="shared" si="17"/>
        <v>-5.6682133547856185E-3</v>
      </c>
      <c r="T177" s="99">
        <f t="shared" si="17"/>
        <v>0.43841112655562575</v>
      </c>
      <c r="U177" s="99">
        <f t="shared" si="17"/>
        <v>0.67430918788923699</v>
      </c>
      <c r="V177" s="99">
        <f t="shared" si="17"/>
        <v>0.49098478128132006</v>
      </c>
      <c r="W177" s="99">
        <f t="shared" si="17"/>
        <v>0.45372019354363408</v>
      </c>
      <c r="X177" s="99">
        <f t="shared" si="17"/>
        <v>-5.6682133547856185E-3</v>
      </c>
      <c r="Y177" s="99">
        <f t="shared" si="17"/>
        <v>0.4227121686471616</v>
      </c>
      <c r="Z177" s="99">
        <f t="shared" si="17"/>
        <v>0.50302816977667064</v>
      </c>
      <c r="AA177" s="99">
        <f t="shared" si="17"/>
        <v>0.51217063240287097</v>
      </c>
    </row>
    <row r="178" spans="1:27" ht="12.75" customHeight="1" x14ac:dyDescent="0.25">
      <c r="B178" s="21" t="s">
        <v>9</v>
      </c>
      <c r="C178" s="97">
        <f>Annual_sorted!V27</f>
        <v>174.5648561640424</v>
      </c>
      <c r="D178" s="29">
        <f>IF(C178-Table_146345781129183[Burundi]&gt;0, C178-Table_146345781129183[Burundi], 0)</f>
        <v>179.62373552014162</v>
      </c>
      <c r="E178" s="29">
        <f>IF(C178-Table_146345781129183[Congo]&gt;0, C178-Table_146345781129183[Congo], 0)</f>
        <v>173.20738931104322</v>
      </c>
      <c r="F178" s="29">
        <f>IF(C178-Table_146345781129183[Egypt]&gt;0, C178-Table_146345781129183[Egypt], 0)</f>
        <v>0</v>
      </c>
      <c r="G178" s="29">
        <f>IF(C178-Table_146345781129183[Eritrea]&gt;0, C178-Table_146345781129183[Eritrea], 0)</f>
        <v>176.19534325971853</v>
      </c>
      <c r="H178" s="29">
        <f>IF(C178-Table_146345781129183[Ethiopia]&gt;0, C178-Table_146345781129183[Ethiopia], 0)</f>
        <v>269.79154590981909</v>
      </c>
      <c r="I178" s="29">
        <f>IF(C178-Table_146345781129183[Kenya]&gt;0, C178-Table_146345781129183[Kenya], 0)</f>
        <v>197.05475352338985</v>
      </c>
      <c r="J178" s="29">
        <f>IF(C178-Table_146345781129183[Rwanda]&gt;0, C178-Table_146345781129183[Rwanda], 0)</f>
        <v>182.26945225448131</v>
      </c>
      <c r="K178" s="29">
        <f>IF(C178-Table_146345781129183[South Sudan]&gt;0, C178-Table_146345781129183[South Sudan], 0)</f>
        <v>0</v>
      </c>
      <c r="L178" s="29">
        <f>IF(C178-Table_146345781129183[Sudan]&gt;0, C178-Table_146345781129183[Sudan], 0)</f>
        <v>169.96653901482898</v>
      </c>
      <c r="M178" s="29">
        <f>IF(C178-Table_146345781129183[Tanzania]&gt;0, C178-Table_146345781129183[Tanzania], 0)</f>
        <v>201.83315409112743</v>
      </c>
      <c r="N178" s="29">
        <f>IF(C178-Table_146345781129183[Uganda]&gt;0, C178-Table_146345781129183[Uganda], 0)</f>
        <v>205.46056747403216</v>
      </c>
      <c r="P178" s="21" t="s">
        <v>8</v>
      </c>
      <c r="Q178" s="99">
        <f t="shared" si="18"/>
        <v>1.8671598186901225E-2</v>
      </c>
      <c r="R178" s="99">
        <f t="shared" si="17"/>
        <v>2.4999631342482401E-3</v>
      </c>
      <c r="S178" s="99">
        <f t="shared" si="17"/>
        <v>-5.6682133547856185E-3</v>
      </c>
      <c r="T178" s="99">
        <f t="shared" si="17"/>
        <v>1.0030744553678549E-2</v>
      </c>
      <c r="U178" s="99">
        <f t="shared" si="17"/>
        <v>0.24592880588728974</v>
      </c>
      <c r="V178" s="99">
        <f t="shared" si="17"/>
        <v>6.2604399279372849E-2</v>
      </c>
      <c r="W178" s="99">
        <f t="shared" si="17"/>
        <v>2.5339811541686848E-2</v>
      </c>
      <c r="X178" s="99">
        <f t="shared" si="17"/>
        <v>-5.6682133547856185E-3</v>
      </c>
      <c r="Y178" s="99">
        <f t="shared" si="17"/>
        <v>-5.6682133547856185E-3</v>
      </c>
      <c r="Z178" s="99">
        <f t="shared" si="17"/>
        <v>7.4647787774723376E-2</v>
      </c>
      <c r="AA178" s="99">
        <f t="shared" si="17"/>
        <v>8.3790250400923805E-2</v>
      </c>
    </row>
    <row r="179" spans="1:27" ht="12.75" customHeight="1" x14ac:dyDescent="0.25">
      <c r="B179" s="21" t="s">
        <v>8</v>
      </c>
      <c r="C179" s="97">
        <f>Annual_sorted!V28</f>
        <v>4.5983171492134192</v>
      </c>
      <c r="D179" s="29">
        <f>IF(C179-Table_146345781129183[Burundi]&gt;0, C179-Table_146345781129183[Burundi], 0)</f>
        <v>9.6571965053126458</v>
      </c>
      <c r="E179" s="29">
        <f>IF(C179-Table_146345781129183[Congo]&gt;0, C179-Table_146345781129183[Congo], 0)</f>
        <v>3.2408502962142447</v>
      </c>
      <c r="F179" s="29">
        <f>IF(C179-Table_146345781129183[Egypt]&gt;0, C179-Table_146345781129183[Egypt], 0)</f>
        <v>0</v>
      </c>
      <c r="G179" s="29">
        <f>IF(C179-Table_146345781129183[Eritrea]&gt;0, C179-Table_146345781129183[Eritrea], 0)</f>
        <v>6.2288042448895427</v>
      </c>
      <c r="H179" s="29">
        <f>IF(C179-Table_146345781129183[Ethiopia]&gt;0, C179-Table_146345781129183[Ethiopia], 0)</f>
        <v>99.825006894990111</v>
      </c>
      <c r="I179" s="29">
        <f>IF(C179-Table_146345781129183[Kenya]&gt;0, C179-Table_146345781129183[Kenya], 0)</f>
        <v>27.088214508560881</v>
      </c>
      <c r="J179" s="29">
        <f>IF(C179-Table_146345781129183[Rwanda]&gt;0, C179-Table_146345781129183[Rwanda], 0)</f>
        <v>12.30291323965232</v>
      </c>
      <c r="K179" s="29">
        <f>IF(C179-Table_146345781129183[South Sudan]&gt;0, C179-Table_146345781129183[South Sudan], 0)</f>
        <v>0</v>
      </c>
      <c r="L179" s="29">
        <f>IF(C179-Table_146345781129183[Sudan]&gt;0, C179-Table_146345781129183[Sudan], 0)</f>
        <v>0</v>
      </c>
      <c r="M179" s="29">
        <f>IF(C179-Table_146345781129183[Tanzania]&gt;0, C179-Table_146345781129183[Tanzania], 0)</f>
        <v>31.866615076298441</v>
      </c>
      <c r="N179" s="29">
        <f>IF(C179-Table_146345781129183[Uganda]&gt;0, C179-Table_146345781129183[Uganda], 0)</f>
        <v>35.494028459203186</v>
      </c>
      <c r="P179" s="21" t="s">
        <v>10</v>
      </c>
      <c r="Q179" s="99">
        <f t="shared" si="18"/>
        <v>-5.6682133547856185E-3</v>
      </c>
      <c r="R179" s="99">
        <f t="shared" si="17"/>
        <v>-5.6682133547856185E-3</v>
      </c>
      <c r="S179" s="99">
        <f t="shared" si="17"/>
        <v>-5.6682133547856185E-3</v>
      </c>
      <c r="T179" s="99">
        <f t="shared" si="17"/>
        <v>-5.6682133547856185E-3</v>
      </c>
      <c r="U179" s="99">
        <f t="shared" si="17"/>
        <v>0.16561280475778076</v>
      </c>
      <c r="V179" s="99">
        <f t="shared" si="17"/>
        <v>-5.6682133547856185E-3</v>
      </c>
      <c r="W179" s="99">
        <f t="shared" si="17"/>
        <v>-5.6682133547856185E-3</v>
      </c>
      <c r="X179" s="99">
        <f t="shared" si="17"/>
        <v>-5.6682133547856185E-3</v>
      </c>
      <c r="Y179" s="99">
        <f t="shared" si="17"/>
        <v>-5.6682133547856185E-3</v>
      </c>
      <c r="Z179" s="99">
        <f t="shared" si="17"/>
        <v>-5.6682133547856185E-3</v>
      </c>
      <c r="AA179" s="99">
        <f t="shared" si="17"/>
        <v>3.4742492714147982E-3</v>
      </c>
    </row>
    <row r="180" spans="1:27" ht="12.75" customHeight="1" thickBot="1" x14ac:dyDescent="0.3">
      <c r="B180" s="21" t="s">
        <v>10</v>
      </c>
      <c r="C180" s="97">
        <f>Annual_sorted!V29</f>
        <v>-27.268297927085023</v>
      </c>
      <c r="D180" s="29">
        <f>IF(C180-Table_146345781129183[Burundi]&gt;0, C180-Table_146345781129183[Burundi], 0)</f>
        <v>0</v>
      </c>
      <c r="E180" s="29">
        <f>IF(C180-Table_146345781129183[Congo]&gt;0, C180-Table_146345781129183[Congo], 0)</f>
        <v>0</v>
      </c>
      <c r="F180" s="29">
        <f>IF(C180-Table_146345781129183[Egypt]&gt;0, C180-Table_146345781129183[Egypt], 0)</f>
        <v>0</v>
      </c>
      <c r="G180" s="29">
        <f>IF(C180-Table_146345781129183[Eritrea]&gt;0, C180-Table_146345781129183[Eritrea], 0)</f>
        <v>0</v>
      </c>
      <c r="H180" s="29">
        <f>IF(C180-Table_146345781129183[Ethiopia]&gt;0, C180-Table_146345781129183[Ethiopia], 0)</f>
        <v>67.958391818691666</v>
      </c>
      <c r="I180" s="29">
        <f>IF(C180-Table_146345781129183[Kenya]&gt;0, C180-Table_146345781129183[Kenya], 0)</f>
        <v>0</v>
      </c>
      <c r="J180" s="29">
        <f>IF(C180-Table_146345781129183[Rwanda]&gt;0, C180-Table_146345781129183[Rwanda], 0)</f>
        <v>0</v>
      </c>
      <c r="K180" s="29">
        <f>IF(C180-Table_146345781129183[South Sudan]&gt;0, C180-Table_146345781129183[South Sudan], 0)</f>
        <v>0</v>
      </c>
      <c r="L180" s="29">
        <f>IF(C180-Table_146345781129183[Sudan]&gt;0, C180-Table_146345781129183[Sudan], 0)</f>
        <v>0</v>
      </c>
      <c r="M180" s="29">
        <f>IF(C180-Table_146345781129183[Tanzania]&gt;0, C180-Table_146345781129183[Tanzania], 0)</f>
        <v>0</v>
      </c>
      <c r="N180" s="29">
        <f>IF(C180-Table_146345781129183[Uganda]&gt;0, C180-Table_146345781129183[Uganda], 0)</f>
        <v>3.6274133829047415</v>
      </c>
      <c r="P180" s="22" t="s">
        <v>11</v>
      </c>
      <c r="Q180" s="100">
        <f t="shared" si="18"/>
        <v>-5.6682133547856185E-3</v>
      </c>
      <c r="R180" s="100">
        <f t="shared" si="17"/>
        <v>-5.6682133547856185E-3</v>
      </c>
      <c r="S180" s="100">
        <f t="shared" si="17"/>
        <v>-5.6682133547856185E-3</v>
      </c>
      <c r="T180" s="100">
        <f t="shared" si="17"/>
        <v>-5.6682133547856185E-3</v>
      </c>
      <c r="U180" s="100">
        <f t="shared" si="17"/>
        <v>0.15647034213158037</v>
      </c>
      <c r="V180" s="100">
        <f t="shared" si="17"/>
        <v>-5.6682133547856185E-3</v>
      </c>
      <c r="W180" s="100">
        <f t="shared" si="17"/>
        <v>-5.6682133547856185E-3</v>
      </c>
      <c r="X180" s="100">
        <f t="shared" si="17"/>
        <v>-5.6682133547856185E-3</v>
      </c>
      <c r="Y180" s="100">
        <f t="shared" si="17"/>
        <v>-5.6682133547856185E-3</v>
      </c>
      <c r="Z180" s="100">
        <f t="shared" si="17"/>
        <v>-5.6682133547856185E-3</v>
      </c>
      <c r="AA180" s="100">
        <f t="shared" si="17"/>
        <v>-5.6682133547856185E-3</v>
      </c>
    </row>
    <row r="181" spans="1:27" ht="12.75" customHeight="1" thickBot="1" x14ac:dyDescent="0.3">
      <c r="B181" s="22" t="s">
        <v>11</v>
      </c>
      <c r="C181" s="98">
        <f>Annual_sorted!V30</f>
        <v>-30.895711309989764</v>
      </c>
      <c r="D181" s="32">
        <f>IF(C181-Table_146345781129183[Burundi]&gt;0, C181-Table_146345781129183[Burundi], 0)</f>
        <v>0</v>
      </c>
      <c r="E181" s="32">
        <f>IF(C181-Table_146345781129183[Congo]&gt;0, C181-Table_146345781129183[Congo], 0)</f>
        <v>0</v>
      </c>
      <c r="F181" s="32">
        <f>IF(C181-Table_146345781129183[Egypt]&gt;0, C181-Table_146345781129183[Egypt], 0)</f>
        <v>0</v>
      </c>
      <c r="G181" s="32">
        <f>IF(C181-Table_146345781129183[Eritrea]&gt;0, C181-Table_146345781129183[Eritrea], 0)</f>
        <v>0</v>
      </c>
      <c r="H181" s="32">
        <f>IF(C181-Table_146345781129183[Ethiopia]&gt;0, C181-Table_146345781129183[Ethiopia], 0)</f>
        <v>64.330978435786932</v>
      </c>
      <c r="I181" s="32">
        <f>IF(C181-Table_146345781129183[Kenya]&gt;0, C181-Table_146345781129183[Kenya], 0)</f>
        <v>0</v>
      </c>
      <c r="J181" s="32">
        <f>IF(C181-Table_146345781129183[Rwanda]&gt;0, C181-Table_146345781129183[Rwanda], 0)</f>
        <v>0</v>
      </c>
      <c r="K181" s="32">
        <f>IF(C181-Table_146345781129183[South Sudan]&gt;0, C181-Table_146345781129183[South Sudan], 0)</f>
        <v>0</v>
      </c>
      <c r="L181" s="32">
        <f>IF(C181-Table_146345781129183[Sudan]&gt;0, C181-Table_146345781129183[Sudan], 0)</f>
        <v>0</v>
      </c>
      <c r="M181" s="32">
        <f>IF(C181-Table_146345781129183[Tanzania]&gt;0, C181-Table_146345781129183[Tanzania], 0)</f>
        <v>0</v>
      </c>
      <c r="N181" s="32">
        <f>IF(C181-Table_146345781129183[Uganda]&gt;0, C181-Table_146345781129183[Uganda], 0)</f>
        <v>0</v>
      </c>
    </row>
    <row r="182" spans="1:27" ht="12.75" customHeight="1" x14ac:dyDescent="0.25"/>
    <row r="183" spans="1:27" ht="12.75" customHeight="1" x14ac:dyDescent="0.25">
      <c r="A183" s="210" t="s">
        <v>122</v>
      </c>
      <c r="B183" s="210"/>
      <c r="C183" s="210"/>
      <c r="D183" s="210"/>
      <c r="E183" s="210"/>
      <c r="F183" s="210"/>
      <c r="G183" s="210"/>
      <c r="H183" s="210"/>
      <c r="I183" s="210"/>
      <c r="J183" s="210"/>
    </row>
    <row r="184" spans="1:27" ht="12.75" customHeight="1" x14ac:dyDescent="0.25"/>
    <row r="185" spans="1:27" ht="12.75" customHeight="1" x14ac:dyDescent="0.25"/>
    <row r="186" spans="1:27" ht="12.75" customHeight="1" x14ac:dyDescent="0.25"/>
    <row r="187" spans="1:27" ht="12.75" customHeight="1" x14ac:dyDescent="0.25"/>
    <row r="188" spans="1:27" ht="12.75" customHeight="1" x14ac:dyDescent="0.25"/>
    <row r="189" spans="1:27" ht="12.75" customHeight="1" x14ac:dyDescent="0.25"/>
    <row r="190" spans="1:27" ht="12.75" customHeight="1" x14ac:dyDescent="0.25"/>
    <row r="191" spans="1:27" ht="12.75" customHeight="1" x14ac:dyDescent="0.25"/>
    <row r="192" spans="1:27"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sheetData>
  <mergeCells count="34">
    <mergeCell ref="A74:F74"/>
    <mergeCell ref="AB132:AC132"/>
    <mergeCell ref="P95:AA95"/>
    <mergeCell ref="B95:N95"/>
    <mergeCell ref="AB78:AC78"/>
    <mergeCell ref="P77:AA77"/>
    <mergeCell ref="B77:N77"/>
    <mergeCell ref="AB96:AC96"/>
    <mergeCell ref="B113:N113"/>
    <mergeCell ref="P113:AA113"/>
    <mergeCell ref="AB114:AC114"/>
    <mergeCell ref="B131:N131"/>
    <mergeCell ref="P131:AA131"/>
    <mergeCell ref="AB58:AC58"/>
    <mergeCell ref="AB22:AC22"/>
    <mergeCell ref="B39:N39"/>
    <mergeCell ref="P39:AA39"/>
    <mergeCell ref="AB40:AC40"/>
    <mergeCell ref="B57:N57"/>
    <mergeCell ref="P57:AA57"/>
    <mergeCell ref="A1:F1"/>
    <mergeCell ref="B3:N3"/>
    <mergeCell ref="P3:AA3"/>
    <mergeCell ref="AB4:AC4"/>
    <mergeCell ref="B21:N21"/>
    <mergeCell ref="P21:AA21"/>
    <mergeCell ref="AB169:AC169"/>
    <mergeCell ref="A183:J183"/>
    <mergeCell ref="A147:J147"/>
    <mergeCell ref="B150:N150"/>
    <mergeCell ref="P150:AA150"/>
    <mergeCell ref="AB151:AC151"/>
    <mergeCell ref="B168:N168"/>
    <mergeCell ref="P168:AA168"/>
  </mergeCells>
  <conditionalFormatting sqref="Q5:AA15">
    <cfRule type="dataBar" priority="23">
      <dataBar>
        <cfvo type="min"/>
        <cfvo type="max"/>
        <color rgb="FFFFB628"/>
      </dataBar>
      <extLst>
        <ext xmlns:x14="http://schemas.microsoft.com/office/spreadsheetml/2009/9/main" uri="{B025F937-C7B1-47D3-B67F-A62EFF666E3E}">
          <x14:id>{7B29B97B-96AB-4F30-8DB5-D1CA3F2D5478}</x14:id>
        </ext>
      </extLst>
    </cfRule>
    <cfRule type="dataBar" priority="24">
      <dataBar>
        <cfvo type="min"/>
        <cfvo type="max"/>
        <color rgb="FFFF555A"/>
      </dataBar>
      <extLst>
        <ext xmlns:x14="http://schemas.microsoft.com/office/spreadsheetml/2009/9/main" uri="{B025F937-C7B1-47D3-B67F-A62EFF666E3E}">
          <x14:id>{F290F74E-5AA9-48C3-86D5-052A9786E5A7}</x14:id>
        </ext>
      </extLst>
    </cfRule>
  </conditionalFormatting>
  <conditionalFormatting sqref="Q23:AA33">
    <cfRule type="dataBar" priority="21">
      <dataBar>
        <cfvo type="min"/>
        <cfvo type="max"/>
        <color rgb="FFFFB628"/>
      </dataBar>
      <extLst>
        <ext xmlns:x14="http://schemas.microsoft.com/office/spreadsheetml/2009/9/main" uri="{B025F937-C7B1-47D3-B67F-A62EFF666E3E}">
          <x14:id>{BB5D72A7-428E-440F-A3E7-68CDE168F84E}</x14:id>
        </ext>
      </extLst>
    </cfRule>
    <cfRule type="dataBar" priority="22">
      <dataBar>
        <cfvo type="min"/>
        <cfvo type="max"/>
        <color rgb="FFFF555A"/>
      </dataBar>
      <extLst>
        <ext xmlns:x14="http://schemas.microsoft.com/office/spreadsheetml/2009/9/main" uri="{B025F937-C7B1-47D3-B67F-A62EFF666E3E}">
          <x14:id>{90205C74-013B-441A-AE4A-D4FAA3882DB5}</x14:id>
        </ext>
      </extLst>
    </cfRule>
  </conditionalFormatting>
  <conditionalFormatting sqref="Q41:AA51">
    <cfRule type="dataBar" priority="19">
      <dataBar>
        <cfvo type="min"/>
        <cfvo type="max"/>
        <color rgb="FFFFB628"/>
      </dataBar>
      <extLst>
        <ext xmlns:x14="http://schemas.microsoft.com/office/spreadsheetml/2009/9/main" uri="{B025F937-C7B1-47D3-B67F-A62EFF666E3E}">
          <x14:id>{D3383477-9971-4E30-AD9D-9425B8B89F57}</x14:id>
        </ext>
      </extLst>
    </cfRule>
    <cfRule type="dataBar" priority="20">
      <dataBar>
        <cfvo type="min"/>
        <cfvo type="max"/>
        <color rgb="FFFF555A"/>
      </dataBar>
      <extLst>
        <ext xmlns:x14="http://schemas.microsoft.com/office/spreadsheetml/2009/9/main" uri="{B025F937-C7B1-47D3-B67F-A62EFF666E3E}">
          <x14:id>{FBD7C167-33CC-428F-B0F3-22BDD965D490}</x14:id>
        </ext>
      </extLst>
    </cfRule>
  </conditionalFormatting>
  <conditionalFormatting sqref="Q59:AA69">
    <cfRule type="dataBar" priority="17">
      <dataBar>
        <cfvo type="min"/>
        <cfvo type="max"/>
        <color rgb="FFFFB628"/>
      </dataBar>
      <extLst>
        <ext xmlns:x14="http://schemas.microsoft.com/office/spreadsheetml/2009/9/main" uri="{B025F937-C7B1-47D3-B67F-A62EFF666E3E}">
          <x14:id>{7198FA66-1DC8-46CE-89D2-ECB75C067D9F}</x14:id>
        </ext>
      </extLst>
    </cfRule>
    <cfRule type="dataBar" priority="18">
      <dataBar>
        <cfvo type="min"/>
        <cfvo type="max"/>
        <color rgb="FFFF555A"/>
      </dataBar>
      <extLst>
        <ext xmlns:x14="http://schemas.microsoft.com/office/spreadsheetml/2009/9/main" uri="{B025F937-C7B1-47D3-B67F-A62EFF666E3E}">
          <x14:id>{C21B967C-5E49-4AF1-9BC5-4F646C11414B}</x14:id>
        </ext>
      </extLst>
    </cfRule>
  </conditionalFormatting>
  <conditionalFormatting sqref="Q79:AA89">
    <cfRule type="dataBar" priority="15">
      <dataBar>
        <cfvo type="min"/>
        <cfvo type="max"/>
        <color rgb="FFFFB628"/>
      </dataBar>
      <extLst>
        <ext xmlns:x14="http://schemas.microsoft.com/office/spreadsheetml/2009/9/main" uri="{B025F937-C7B1-47D3-B67F-A62EFF666E3E}">
          <x14:id>{9B2804A0-A15F-4EFE-8934-EDFDD955C66B}</x14:id>
        </ext>
      </extLst>
    </cfRule>
    <cfRule type="dataBar" priority="16">
      <dataBar>
        <cfvo type="min"/>
        <cfvo type="max"/>
        <color rgb="FFFF555A"/>
      </dataBar>
      <extLst>
        <ext xmlns:x14="http://schemas.microsoft.com/office/spreadsheetml/2009/9/main" uri="{B025F937-C7B1-47D3-B67F-A62EFF666E3E}">
          <x14:id>{94C9B90E-8FFA-42F9-93B5-52D014E21E6B}</x14:id>
        </ext>
      </extLst>
    </cfRule>
  </conditionalFormatting>
  <conditionalFormatting sqref="Q97:AA107">
    <cfRule type="dataBar" priority="13">
      <dataBar>
        <cfvo type="min"/>
        <cfvo type="max"/>
        <color rgb="FFFFB628"/>
      </dataBar>
      <extLst>
        <ext xmlns:x14="http://schemas.microsoft.com/office/spreadsheetml/2009/9/main" uri="{B025F937-C7B1-47D3-B67F-A62EFF666E3E}">
          <x14:id>{A7643B88-D7F2-48E5-9475-8FFA56471C0D}</x14:id>
        </ext>
      </extLst>
    </cfRule>
    <cfRule type="dataBar" priority="14">
      <dataBar>
        <cfvo type="min"/>
        <cfvo type="max"/>
        <color rgb="FFFF555A"/>
      </dataBar>
      <extLst>
        <ext xmlns:x14="http://schemas.microsoft.com/office/spreadsheetml/2009/9/main" uri="{B025F937-C7B1-47D3-B67F-A62EFF666E3E}">
          <x14:id>{D46E0ABB-4D6F-4F2D-A724-2858392D2375}</x14:id>
        </ext>
      </extLst>
    </cfRule>
  </conditionalFormatting>
  <conditionalFormatting sqref="Q115:AA125">
    <cfRule type="dataBar" priority="11">
      <dataBar>
        <cfvo type="min"/>
        <cfvo type="max"/>
        <color rgb="FFFFB628"/>
      </dataBar>
      <extLst>
        <ext xmlns:x14="http://schemas.microsoft.com/office/spreadsheetml/2009/9/main" uri="{B025F937-C7B1-47D3-B67F-A62EFF666E3E}">
          <x14:id>{1053930E-0FFA-4131-A80C-73F8C2EBED52}</x14:id>
        </ext>
      </extLst>
    </cfRule>
    <cfRule type="dataBar" priority="12">
      <dataBar>
        <cfvo type="min"/>
        <cfvo type="max"/>
        <color rgb="FFFF555A"/>
      </dataBar>
      <extLst>
        <ext xmlns:x14="http://schemas.microsoft.com/office/spreadsheetml/2009/9/main" uri="{B025F937-C7B1-47D3-B67F-A62EFF666E3E}">
          <x14:id>{A88D415B-7CE0-4694-9EEC-704713E35472}</x14:id>
        </ext>
      </extLst>
    </cfRule>
  </conditionalFormatting>
  <conditionalFormatting sqref="Q133:AA143">
    <cfRule type="dataBar" priority="9">
      <dataBar>
        <cfvo type="min"/>
        <cfvo type="max"/>
        <color rgb="FFFFB628"/>
      </dataBar>
      <extLst>
        <ext xmlns:x14="http://schemas.microsoft.com/office/spreadsheetml/2009/9/main" uri="{B025F937-C7B1-47D3-B67F-A62EFF666E3E}">
          <x14:id>{22887078-E9F9-49FB-B522-48E0894A2D50}</x14:id>
        </ext>
      </extLst>
    </cfRule>
    <cfRule type="dataBar" priority="10">
      <dataBar>
        <cfvo type="min"/>
        <cfvo type="max"/>
        <color rgb="FFFF555A"/>
      </dataBar>
      <extLst>
        <ext xmlns:x14="http://schemas.microsoft.com/office/spreadsheetml/2009/9/main" uri="{B025F937-C7B1-47D3-B67F-A62EFF666E3E}">
          <x14:id>{A8EA15CB-4C19-4C68-8B8F-6525A4662313}</x14:id>
        </ext>
      </extLst>
    </cfRule>
  </conditionalFormatting>
  <conditionalFormatting sqref="Q152:AA162">
    <cfRule type="dataBar" priority="5">
      <dataBar>
        <cfvo type="min"/>
        <cfvo type="max"/>
        <color rgb="FFFFB628"/>
      </dataBar>
      <extLst>
        <ext xmlns:x14="http://schemas.microsoft.com/office/spreadsheetml/2009/9/main" uri="{B025F937-C7B1-47D3-B67F-A62EFF666E3E}">
          <x14:id>{0959B9E2-A46D-4BBB-9205-1433FC77CE26}</x14:id>
        </ext>
      </extLst>
    </cfRule>
    <cfRule type="dataBar" priority="6">
      <dataBar>
        <cfvo type="min"/>
        <cfvo type="max"/>
        <color rgb="FFFF555A"/>
      </dataBar>
      <extLst>
        <ext xmlns:x14="http://schemas.microsoft.com/office/spreadsheetml/2009/9/main" uri="{B025F937-C7B1-47D3-B67F-A62EFF666E3E}">
          <x14:id>{3D042CEA-5F69-44CE-B6DB-B0179C9C29E6}</x14:id>
        </ext>
      </extLst>
    </cfRule>
  </conditionalFormatting>
  <conditionalFormatting sqref="Q170:AA180">
    <cfRule type="dataBar" priority="1">
      <dataBar>
        <cfvo type="min"/>
        <cfvo type="max"/>
        <color rgb="FFFFB628"/>
      </dataBar>
      <extLst>
        <ext xmlns:x14="http://schemas.microsoft.com/office/spreadsheetml/2009/9/main" uri="{B025F937-C7B1-47D3-B67F-A62EFF666E3E}">
          <x14:id>{CD18B52F-2448-472F-BE52-35CDB05B2D9B}</x14:id>
        </ext>
      </extLst>
    </cfRule>
    <cfRule type="dataBar" priority="2">
      <dataBar>
        <cfvo type="min"/>
        <cfvo type="max"/>
        <color rgb="FFFF555A"/>
      </dataBar>
      <extLst>
        <ext xmlns:x14="http://schemas.microsoft.com/office/spreadsheetml/2009/9/main" uri="{B025F937-C7B1-47D3-B67F-A62EFF666E3E}">
          <x14:id>{7AB08F2A-E718-4BBB-8686-CC452C82C791}</x14:id>
        </ext>
      </extLst>
    </cfRule>
  </conditionalFormatting>
  <pageMargins left="0.7" right="0.7" top="0.75" bottom="0.75" header="0" footer="0"/>
  <pageSetup paperSize="9" orientation="portrait" r:id="rId1"/>
  <tableParts count="10">
    <tablePart r:id="rId2"/>
    <tablePart r:id="rId3"/>
    <tablePart r:id="rId4"/>
    <tablePart r:id="rId5"/>
    <tablePart r:id="rId6"/>
    <tablePart r:id="rId7"/>
    <tablePart r:id="rId8"/>
    <tablePart r:id="rId9"/>
    <tablePart r:id="rId10"/>
    <tablePart r:id="rId11"/>
  </tableParts>
  <extLst>
    <ext xmlns:x14="http://schemas.microsoft.com/office/spreadsheetml/2009/9/main" uri="{78C0D931-6437-407d-A8EE-F0AAD7539E65}">
      <x14:conditionalFormattings>
        <x14:conditionalFormatting xmlns:xm="http://schemas.microsoft.com/office/excel/2006/main">
          <x14:cfRule type="dataBar" id="{7B29B97B-96AB-4F30-8DB5-D1CA3F2D5478}">
            <x14:dataBar minLength="0" maxLength="100" gradient="0">
              <x14:cfvo type="autoMin"/>
              <x14:cfvo type="autoMax"/>
              <x14:negativeFillColor rgb="FFFF0000"/>
              <x14:axisColor rgb="FF000000"/>
            </x14:dataBar>
          </x14:cfRule>
          <x14:cfRule type="dataBar" id="{F290F74E-5AA9-48C3-86D5-052A9786E5A7}">
            <x14:dataBar minLength="0" maxLength="100" border="1" negativeBarBorderColorSameAsPositive="0">
              <x14:cfvo type="autoMin"/>
              <x14:cfvo type="autoMax"/>
              <x14:borderColor rgb="FFFF555A"/>
              <x14:negativeFillColor rgb="FFFF0000"/>
              <x14:negativeBorderColor rgb="FFFF0000"/>
              <x14:axisColor rgb="FF000000"/>
            </x14:dataBar>
          </x14:cfRule>
          <xm:sqref>Q5:AA15</xm:sqref>
        </x14:conditionalFormatting>
        <x14:conditionalFormatting xmlns:xm="http://schemas.microsoft.com/office/excel/2006/main">
          <x14:cfRule type="dataBar" id="{BB5D72A7-428E-440F-A3E7-68CDE168F84E}">
            <x14:dataBar minLength="0" maxLength="100" gradient="0">
              <x14:cfvo type="autoMin"/>
              <x14:cfvo type="autoMax"/>
              <x14:negativeFillColor rgb="FFFF0000"/>
              <x14:axisColor rgb="FF000000"/>
            </x14:dataBar>
          </x14:cfRule>
          <x14:cfRule type="dataBar" id="{90205C74-013B-441A-AE4A-D4FAA3882DB5}">
            <x14:dataBar minLength="0" maxLength="100" border="1" negativeBarBorderColorSameAsPositive="0">
              <x14:cfvo type="autoMin"/>
              <x14:cfvo type="autoMax"/>
              <x14:borderColor rgb="FFFF555A"/>
              <x14:negativeFillColor rgb="FFFF0000"/>
              <x14:negativeBorderColor rgb="FFFF0000"/>
              <x14:axisColor rgb="FF000000"/>
            </x14:dataBar>
          </x14:cfRule>
          <xm:sqref>Q23:AA33</xm:sqref>
        </x14:conditionalFormatting>
        <x14:conditionalFormatting xmlns:xm="http://schemas.microsoft.com/office/excel/2006/main">
          <x14:cfRule type="dataBar" id="{D3383477-9971-4E30-AD9D-9425B8B89F57}">
            <x14:dataBar minLength="0" maxLength="100" gradient="0">
              <x14:cfvo type="autoMin"/>
              <x14:cfvo type="autoMax"/>
              <x14:negativeFillColor rgb="FFFF0000"/>
              <x14:axisColor rgb="FF000000"/>
            </x14:dataBar>
          </x14:cfRule>
          <x14:cfRule type="dataBar" id="{FBD7C167-33CC-428F-B0F3-22BDD965D490}">
            <x14:dataBar minLength="0" maxLength="100" border="1" negativeBarBorderColorSameAsPositive="0">
              <x14:cfvo type="autoMin"/>
              <x14:cfvo type="autoMax"/>
              <x14:borderColor rgb="FFFF555A"/>
              <x14:negativeFillColor rgb="FFFF0000"/>
              <x14:negativeBorderColor rgb="FFFF0000"/>
              <x14:axisColor rgb="FF000000"/>
            </x14:dataBar>
          </x14:cfRule>
          <xm:sqref>Q41:AA51</xm:sqref>
        </x14:conditionalFormatting>
        <x14:conditionalFormatting xmlns:xm="http://schemas.microsoft.com/office/excel/2006/main">
          <x14:cfRule type="dataBar" id="{7198FA66-1DC8-46CE-89D2-ECB75C067D9F}">
            <x14:dataBar minLength="0" maxLength="100" gradient="0">
              <x14:cfvo type="autoMin"/>
              <x14:cfvo type="autoMax"/>
              <x14:negativeFillColor rgb="FFFF0000"/>
              <x14:axisColor rgb="FF000000"/>
            </x14:dataBar>
          </x14:cfRule>
          <x14:cfRule type="dataBar" id="{C21B967C-5E49-4AF1-9BC5-4F646C11414B}">
            <x14:dataBar minLength="0" maxLength="100" border="1" negativeBarBorderColorSameAsPositive="0">
              <x14:cfvo type="autoMin"/>
              <x14:cfvo type="autoMax"/>
              <x14:borderColor rgb="FFFF555A"/>
              <x14:negativeFillColor rgb="FFFF0000"/>
              <x14:negativeBorderColor rgb="FFFF0000"/>
              <x14:axisColor rgb="FF000000"/>
            </x14:dataBar>
          </x14:cfRule>
          <xm:sqref>Q59:AA69</xm:sqref>
        </x14:conditionalFormatting>
        <x14:conditionalFormatting xmlns:xm="http://schemas.microsoft.com/office/excel/2006/main">
          <x14:cfRule type="dataBar" id="{9B2804A0-A15F-4EFE-8934-EDFDD955C66B}">
            <x14:dataBar minLength="0" maxLength="100" gradient="0">
              <x14:cfvo type="autoMin"/>
              <x14:cfvo type="autoMax"/>
              <x14:negativeFillColor rgb="FFFF0000"/>
              <x14:axisColor rgb="FF000000"/>
            </x14:dataBar>
          </x14:cfRule>
          <x14:cfRule type="dataBar" id="{94C9B90E-8FFA-42F9-93B5-52D014E21E6B}">
            <x14:dataBar minLength="0" maxLength="100" border="1" negativeBarBorderColorSameAsPositive="0">
              <x14:cfvo type="autoMin"/>
              <x14:cfvo type="autoMax"/>
              <x14:borderColor rgb="FFFF555A"/>
              <x14:negativeFillColor rgb="FFFF0000"/>
              <x14:negativeBorderColor rgb="FFFF0000"/>
              <x14:axisColor rgb="FF000000"/>
            </x14:dataBar>
          </x14:cfRule>
          <xm:sqref>Q79:AA89</xm:sqref>
        </x14:conditionalFormatting>
        <x14:conditionalFormatting xmlns:xm="http://schemas.microsoft.com/office/excel/2006/main">
          <x14:cfRule type="dataBar" id="{A7643B88-D7F2-48E5-9475-8FFA56471C0D}">
            <x14:dataBar minLength="0" maxLength="100" gradient="0">
              <x14:cfvo type="autoMin"/>
              <x14:cfvo type="autoMax"/>
              <x14:negativeFillColor rgb="FFFF0000"/>
              <x14:axisColor rgb="FF000000"/>
            </x14:dataBar>
          </x14:cfRule>
          <x14:cfRule type="dataBar" id="{D46E0ABB-4D6F-4F2D-A724-2858392D2375}">
            <x14:dataBar minLength="0" maxLength="100" border="1" negativeBarBorderColorSameAsPositive="0">
              <x14:cfvo type="autoMin"/>
              <x14:cfvo type="autoMax"/>
              <x14:borderColor rgb="FFFF555A"/>
              <x14:negativeFillColor rgb="FFFF0000"/>
              <x14:negativeBorderColor rgb="FFFF0000"/>
              <x14:axisColor rgb="FF000000"/>
            </x14:dataBar>
          </x14:cfRule>
          <xm:sqref>Q97:AA107</xm:sqref>
        </x14:conditionalFormatting>
        <x14:conditionalFormatting xmlns:xm="http://schemas.microsoft.com/office/excel/2006/main">
          <x14:cfRule type="dataBar" id="{1053930E-0FFA-4131-A80C-73F8C2EBED52}">
            <x14:dataBar minLength="0" maxLength="100" gradient="0">
              <x14:cfvo type="autoMin"/>
              <x14:cfvo type="autoMax"/>
              <x14:negativeFillColor rgb="FFFF0000"/>
              <x14:axisColor rgb="FF000000"/>
            </x14:dataBar>
          </x14:cfRule>
          <x14:cfRule type="dataBar" id="{A88D415B-7CE0-4694-9EEC-704713E35472}">
            <x14:dataBar minLength="0" maxLength="100" border="1" negativeBarBorderColorSameAsPositive="0">
              <x14:cfvo type="autoMin"/>
              <x14:cfvo type="autoMax"/>
              <x14:borderColor rgb="FFFF555A"/>
              <x14:negativeFillColor rgb="FFFF0000"/>
              <x14:negativeBorderColor rgb="FFFF0000"/>
              <x14:axisColor rgb="FF000000"/>
            </x14:dataBar>
          </x14:cfRule>
          <xm:sqref>Q115:AA125</xm:sqref>
        </x14:conditionalFormatting>
        <x14:conditionalFormatting xmlns:xm="http://schemas.microsoft.com/office/excel/2006/main">
          <x14:cfRule type="dataBar" id="{22887078-E9F9-49FB-B522-48E0894A2D50}">
            <x14:dataBar minLength="0" maxLength="100" gradient="0">
              <x14:cfvo type="autoMin"/>
              <x14:cfvo type="autoMax"/>
              <x14:negativeFillColor rgb="FFFF0000"/>
              <x14:axisColor rgb="FF000000"/>
            </x14:dataBar>
          </x14:cfRule>
          <x14:cfRule type="dataBar" id="{A8EA15CB-4C19-4C68-8B8F-6525A4662313}">
            <x14:dataBar minLength="0" maxLength="100" border="1" negativeBarBorderColorSameAsPositive="0">
              <x14:cfvo type="autoMin"/>
              <x14:cfvo type="autoMax"/>
              <x14:borderColor rgb="FFFF555A"/>
              <x14:negativeFillColor rgb="FFFF0000"/>
              <x14:negativeBorderColor rgb="FFFF0000"/>
              <x14:axisColor rgb="FF000000"/>
            </x14:dataBar>
          </x14:cfRule>
          <xm:sqref>Q133:AA143</xm:sqref>
        </x14:conditionalFormatting>
        <x14:conditionalFormatting xmlns:xm="http://schemas.microsoft.com/office/excel/2006/main">
          <x14:cfRule type="dataBar" id="{0959B9E2-A46D-4BBB-9205-1433FC77CE26}">
            <x14:dataBar minLength="0" maxLength="100" gradient="0">
              <x14:cfvo type="autoMin"/>
              <x14:cfvo type="autoMax"/>
              <x14:negativeFillColor rgb="FFFF0000"/>
              <x14:axisColor rgb="FF000000"/>
            </x14:dataBar>
          </x14:cfRule>
          <x14:cfRule type="dataBar" id="{3D042CEA-5F69-44CE-B6DB-B0179C9C29E6}">
            <x14:dataBar minLength="0" maxLength="100" border="1" negativeBarBorderColorSameAsPositive="0">
              <x14:cfvo type="autoMin"/>
              <x14:cfvo type="autoMax"/>
              <x14:borderColor rgb="FFFF555A"/>
              <x14:negativeFillColor rgb="FFFF0000"/>
              <x14:negativeBorderColor rgb="FFFF0000"/>
              <x14:axisColor rgb="FF000000"/>
            </x14:dataBar>
          </x14:cfRule>
          <xm:sqref>Q152:AA162</xm:sqref>
        </x14:conditionalFormatting>
        <x14:conditionalFormatting xmlns:xm="http://schemas.microsoft.com/office/excel/2006/main">
          <x14:cfRule type="dataBar" id="{CD18B52F-2448-472F-BE52-35CDB05B2D9B}">
            <x14:dataBar minLength="0" maxLength="100" gradient="0">
              <x14:cfvo type="autoMin"/>
              <x14:cfvo type="autoMax"/>
              <x14:negativeFillColor rgb="FFFF0000"/>
              <x14:axisColor rgb="FF000000"/>
            </x14:dataBar>
          </x14:cfRule>
          <x14:cfRule type="dataBar" id="{7AB08F2A-E718-4BBB-8686-CC452C82C791}">
            <x14:dataBar minLength="0" maxLength="100" border="1" negativeBarBorderColorSameAsPositive="0">
              <x14:cfvo type="autoMin"/>
              <x14:cfvo type="autoMax"/>
              <x14:borderColor rgb="FFFF555A"/>
              <x14:negativeFillColor rgb="FFFF0000"/>
              <x14:negativeBorderColor rgb="FFFF0000"/>
              <x14:axisColor rgb="FF000000"/>
            </x14:dataBar>
          </x14:cfRule>
          <xm:sqref>Q170:AA180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632"/>
  <sheetViews>
    <sheetView showGridLines="0" tabSelected="1" topLeftCell="A223" zoomScale="57" zoomScaleNormal="60" workbookViewId="0">
      <selection activeCell="R244" sqref="R244"/>
    </sheetView>
  </sheetViews>
  <sheetFormatPr defaultColWidth="12.6640625" defaultRowHeight="15" customHeight="1" x14ac:dyDescent="0.25"/>
  <cols>
    <col min="1" max="1" width="8.6640625" style="2" customWidth="1"/>
    <col min="2" max="2" width="15.109375" style="2" bestFit="1" customWidth="1"/>
    <col min="3" max="3" width="16.33203125" style="2" bestFit="1" customWidth="1"/>
    <col min="4" max="4" width="13.21875" style="2" customWidth="1"/>
    <col min="5" max="5" width="8.44140625" style="2" customWidth="1"/>
    <col min="6" max="6" width="13.33203125" style="2" customWidth="1"/>
    <col min="7" max="7" width="14" style="2" bestFit="1" customWidth="1"/>
    <col min="8" max="8" width="14.21875" style="2" bestFit="1" customWidth="1"/>
    <col min="9" max="9" width="20.21875" style="2" bestFit="1" customWidth="1"/>
    <col min="10" max="13" width="16.109375" style="2" customWidth="1"/>
    <col min="14" max="14" width="20" style="2" customWidth="1"/>
    <col min="15" max="15" width="12.6640625" style="2"/>
    <col min="16" max="16" width="27.77734375" style="2" customWidth="1"/>
    <col min="17" max="17" width="14.77734375" style="2" bestFit="1" customWidth="1"/>
    <col min="18" max="18" width="14.88671875" style="2" bestFit="1" customWidth="1"/>
    <col min="19" max="19" width="17" style="2" bestFit="1" customWidth="1"/>
    <col min="20" max="20" width="26.6640625" style="2" bestFit="1" customWidth="1"/>
    <col min="21" max="21" width="13.88671875" style="2" bestFit="1" customWidth="1"/>
    <col min="22" max="22" width="12" style="2" bestFit="1" customWidth="1"/>
    <col min="23" max="23" width="7.88671875" style="2" customWidth="1"/>
    <col min="24" max="24" width="13" style="2" customWidth="1"/>
    <col min="25" max="25" width="9" style="2" bestFit="1" customWidth="1"/>
    <col min="26" max="26" width="12.6640625" style="2"/>
    <col min="27" max="27" width="4.33203125" style="2" bestFit="1" customWidth="1"/>
    <col min="28" max="28" width="15.109375" style="2" bestFit="1" customWidth="1"/>
    <col min="29" max="29" width="6.33203125" style="2" bestFit="1" customWidth="1"/>
    <col min="30" max="30" width="8.5546875" style="2" bestFit="1" customWidth="1"/>
    <col min="31" max="31" width="15.109375" style="2" bestFit="1" customWidth="1"/>
    <col min="32" max="32" width="6.21875" style="2" bestFit="1" customWidth="1"/>
    <col min="33" max="33" width="7.77734375" style="2" customWidth="1"/>
    <col min="34" max="34" width="15.109375" style="2" bestFit="1" customWidth="1"/>
    <col min="35" max="35" width="6.5546875" style="2" bestFit="1" customWidth="1"/>
    <col min="36" max="36" width="7.77734375" style="2" customWidth="1"/>
    <col min="37" max="37" width="12.33203125" style="2" bestFit="1" customWidth="1"/>
    <col min="38" max="38" width="7.6640625" style="2" bestFit="1" customWidth="1"/>
    <col min="39" max="39" width="7.44140625" style="2" customWidth="1"/>
    <col min="40" max="16384" width="12.6640625" style="2"/>
  </cols>
  <sheetData>
    <row r="1" spans="1:39" ht="25.05" customHeight="1" x14ac:dyDescent="0.25">
      <c r="A1" s="211" t="s">
        <v>96</v>
      </c>
      <c r="B1" s="211"/>
      <c r="C1" s="211"/>
      <c r="D1" s="211"/>
      <c r="E1" s="211"/>
      <c r="F1" s="211"/>
    </row>
    <row r="2" spans="1:39" ht="12.75" customHeight="1" x14ac:dyDescent="0.25">
      <c r="D2" s="1"/>
    </row>
    <row r="3" spans="1:39" ht="12.75" customHeight="1" x14ac:dyDescent="0.25"/>
    <row r="4" spans="1:39" ht="21" customHeight="1" thickBot="1" x14ac:dyDescent="0.35">
      <c r="B4" s="209" t="s">
        <v>110</v>
      </c>
      <c r="C4" s="209"/>
      <c r="D4" s="209"/>
      <c r="E4" s="209"/>
      <c r="F4" s="209"/>
      <c r="G4" s="209"/>
      <c r="H4" s="209"/>
      <c r="I4" s="209"/>
    </row>
    <row r="5" spans="1:39" s="8" customFormat="1" ht="40.200000000000003" customHeight="1" thickBot="1" x14ac:dyDescent="0.3">
      <c r="B5" s="36" t="s">
        <v>20</v>
      </c>
      <c r="C5" s="37" t="s">
        <v>47</v>
      </c>
      <c r="D5" s="37" t="s">
        <v>46</v>
      </c>
      <c r="E5" s="37" t="s">
        <v>30</v>
      </c>
      <c r="F5" s="37" t="s">
        <v>17</v>
      </c>
      <c r="G5" s="37" t="s">
        <v>31</v>
      </c>
      <c r="H5" s="37" t="s">
        <v>136</v>
      </c>
      <c r="I5" s="37" t="s">
        <v>21</v>
      </c>
      <c r="AA5" s="146"/>
      <c r="AB5" s="146"/>
      <c r="AC5" s="146"/>
      <c r="AD5" s="146"/>
      <c r="AE5" s="146"/>
      <c r="AF5" s="146"/>
      <c r="AG5" s="146"/>
      <c r="AH5" s="146"/>
      <c r="AI5" s="146"/>
      <c r="AJ5" s="146"/>
      <c r="AK5" s="146"/>
      <c r="AL5" s="146"/>
      <c r="AM5" s="146"/>
    </row>
    <row r="6" spans="1:39" ht="12.75" customHeight="1" thickBot="1" x14ac:dyDescent="0.3">
      <c r="B6" s="4"/>
      <c r="C6" s="26">
        <v>0</v>
      </c>
      <c r="D6" s="26">
        <v>0</v>
      </c>
      <c r="E6" s="50">
        <v>0</v>
      </c>
      <c r="F6" s="50">
        <v>0</v>
      </c>
      <c r="G6" s="50">
        <v>0</v>
      </c>
      <c r="H6" s="51">
        <f>F6</f>
        <v>0</v>
      </c>
      <c r="I6" s="50">
        <v>0</v>
      </c>
      <c r="P6" s="18"/>
      <c r="Q6" s="14"/>
      <c r="R6" s="15"/>
      <c r="AA6" s="208" t="s">
        <v>170</v>
      </c>
      <c r="AB6" s="208"/>
      <c r="AC6" s="208"/>
      <c r="AD6" s="208"/>
      <c r="AE6" s="208"/>
      <c r="AF6" s="208"/>
      <c r="AG6" s="208"/>
      <c r="AH6" s="208"/>
      <c r="AI6" s="208"/>
      <c r="AJ6" s="208"/>
      <c r="AK6" s="208"/>
      <c r="AL6" s="208"/>
      <c r="AM6" s="208"/>
    </row>
    <row r="7" spans="1:39" ht="12.75" customHeight="1" thickBot="1" x14ac:dyDescent="0.3">
      <c r="B7" s="21" t="s">
        <v>3</v>
      </c>
      <c r="C7" s="29">
        <v>4.4920799454716969</v>
      </c>
      <c r="D7" s="29">
        <v>83.946549000000005</v>
      </c>
      <c r="E7" s="50">
        <f t="shared" ref="E7:E17" si="0">C7/$C$18</f>
        <v>2.0572122059260146E-3</v>
      </c>
      <c r="F7" s="50">
        <f t="shared" ref="F7:F17" si="1">D7/$D$18</f>
        <v>0.3138345928266002</v>
      </c>
      <c r="G7" s="50">
        <f t="shared" ref="G7:G17" si="2">G6+E7</f>
        <v>2.0572122059260146E-3</v>
      </c>
      <c r="H7" s="51">
        <f t="shared" ref="H7:H17" si="3">F7+H6</f>
        <v>0.3138345928266002</v>
      </c>
      <c r="I7" s="50">
        <f t="shared" ref="I7:I17" si="4">(G6+G7)*0.5*(H7-H6)</f>
        <v>3.2281217750235143E-4</v>
      </c>
      <c r="P7" s="18"/>
      <c r="Q7" s="14"/>
      <c r="R7" s="15"/>
      <c r="AA7" s="38" t="s">
        <v>160</v>
      </c>
      <c r="AB7" s="153"/>
      <c r="AC7" s="149" t="s">
        <v>161</v>
      </c>
      <c r="AD7" s="150" t="s">
        <v>163</v>
      </c>
      <c r="AE7" s="35"/>
      <c r="AF7" s="35" t="s">
        <v>162</v>
      </c>
      <c r="AG7" s="35" t="s">
        <v>163</v>
      </c>
      <c r="AH7" s="153"/>
      <c r="AI7" s="149" t="s">
        <v>164</v>
      </c>
      <c r="AJ7" s="149" t="s">
        <v>163</v>
      </c>
      <c r="AK7" s="156"/>
      <c r="AL7" s="35" t="s">
        <v>165</v>
      </c>
      <c r="AM7" s="35" t="s">
        <v>166</v>
      </c>
    </row>
    <row r="8" spans="1:39" ht="12.75" customHeight="1" x14ac:dyDescent="0.25">
      <c r="B8" s="21" t="s">
        <v>4</v>
      </c>
      <c r="C8" s="29">
        <v>14.349918475935281</v>
      </c>
      <c r="D8" s="29">
        <v>1.2901100000000001</v>
      </c>
      <c r="E8" s="50">
        <f t="shared" si="0"/>
        <v>6.5717502362121075E-3</v>
      </c>
      <c r="F8" s="50">
        <f>D8/$D$18</f>
        <v>4.8230826802841556E-3</v>
      </c>
      <c r="G8" s="50">
        <f>G7+E8</f>
        <v>8.6289624421381217E-3</v>
      </c>
      <c r="H8" s="51">
        <f t="shared" si="3"/>
        <v>0.31865767550688434</v>
      </c>
      <c r="I8" s="50">
        <f t="shared" si="4"/>
        <v>2.5770151931784806E-5</v>
      </c>
      <c r="P8" s="18"/>
      <c r="Q8" s="14"/>
      <c r="R8" s="15"/>
      <c r="AA8" s="147">
        <v>1</v>
      </c>
      <c r="AB8" s="154" t="s">
        <v>3</v>
      </c>
      <c r="AC8" s="144">
        <v>2.0572122059260146E-3</v>
      </c>
      <c r="AD8" s="151">
        <v>0.3138345928266002</v>
      </c>
      <c r="AE8" s="140" t="s">
        <v>4</v>
      </c>
      <c r="AF8" s="141">
        <v>5.6387986055587242E-3</v>
      </c>
      <c r="AG8" s="141">
        <v>4.8230826802841548E-3</v>
      </c>
      <c r="AH8" s="154" t="s">
        <v>3</v>
      </c>
      <c r="AI8" s="144">
        <v>0</v>
      </c>
      <c r="AJ8" s="144">
        <v>0.31383459282660014</v>
      </c>
      <c r="AK8" s="157" t="s">
        <v>2</v>
      </c>
      <c r="AL8" s="148">
        <v>3.4564517331350051E-3</v>
      </c>
      <c r="AM8" s="148">
        <v>1.4487850841712153E-2</v>
      </c>
    </row>
    <row r="9" spans="1:39" ht="12.75" customHeight="1" x14ac:dyDescent="0.25">
      <c r="B9" s="21" t="s">
        <v>1</v>
      </c>
      <c r="C9" s="29">
        <v>19.81100613627877</v>
      </c>
      <c r="D9" s="29">
        <v>6.169632</v>
      </c>
      <c r="E9" s="50">
        <f t="shared" si="0"/>
        <v>9.07273337294719E-3</v>
      </c>
      <c r="F9" s="50">
        <f t="shared" si="1"/>
        <v>2.3065200054977402E-2</v>
      </c>
      <c r="G9" s="50">
        <f t="shared" si="2"/>
        <v>1.7701695815085312E-2</v>
      </c>
      <c r="H9" s="51">
        <f t="shared" si="3"/>
        <v>0.34172287556186176</v>
      </c>
      <c r="I9" s="50">
        <f t="shared" si="4"/>
        <v>3.0366095014105077E-4</v>
      </c>
      <c r="P9" s="18"/>
      <c r="Q9" s="14"/>
      <c r="R9" s="15"/>
      <c r="AA9" s="147">
        <v>2</v>
      </c>
      <c r="AB9" s="154" t="s">
        <v>4</v>
      </c>
      <c r="AC9" s="144">
        <v>8.6289624421381217E-3</v>
      </c>
      <c r="AD9" s="151">
        <v>0.31865767550688434</v>
      </c>
      <c r="AE9" s="140" t="s">
        <v>1</v>
      </c>
      <c r="AF9" s="141">
        <v>1.1360188457287819E-2</v>
      </c>
      <c r="AG9" s="141">
        <v>2.788828273526155E-2</v>
      </c>
      <c r="AH9" s="154" t="s">
        <v>8</v>
      </c>
      <c r="AI9" s="144">
        <v>0</v>
      </c>
      <c r="AJ9" s="144">
        <v>0.45209506885227224</v>
      </c>
      <c r="AK9" s="157" t="s">
        <v>4</v>
      </c>
      <c r="AL9" s="148">
        <v>8.4493008852779827E-3</v>
      </c>
      <c r="AM9" s="148">
        <v>1.931093352199631E-2</v>
      </c>
    </row>
    <row r="10" spans="1:39" ht="12.75" customHeight="1" x14ac:dyDescent="0.25">
      <c r="B10" s="21" t="s">
        <v>2</v>
      </c>
      <c r="C10" s="29">
        <v>27.244562190582403</v>
      </c>
      <c r="D10" s="29">
        <v>3.8753060000000001</v>
      </c>
      <c r="E10" s="50">
        <f t="shared" si="0"/>
        <v>1.2477036598619828E-2</v>
      </c>
      <c r="F10" s="50">
        <f t="shared" si="1"/>
        <v>1.4487850841712157E-2</v>
      </c>
      <c r="G10" s="50">
        <f>G9+E10</f>
        <v>3.0178732413705139E-2</v>
      </c>
      <c r="H10" s="51">
        <f t="shared" si="3"/>
        <v>0.35621072640357393</v>
      </c>
      <c r="I10" s="50">
        <f t="shared" si="4"/>
        <v>3.4684225120801038E-4</v>
      </c>
      <c r="P10" s="18"/>
      <c r="Q10" s="14"/>
      <c r="R10" s="15"/>
      <c r="AA10" s="147">
        <v>3</v>
      </c>
      <c r="AB10" s="154" t="s">
        <v>1</v>
      </c>
      <c r="AC10" s="144">
        <v>1.7701695815085312E-2</v>
      </c>
      <c r="AD10" s="151">
        <v>0.34172287556186176</v>
      </c>
      <c r="AE10" s="140" t="s">
        <v>7</v>
      </c>
      <c r="AF10" s="141">
        <v>2.024176629132083E-2</v>
      </c>
      <c r="AG10" s="141">
        <v>7.0606082022317218E-2</v>
      </c>
      <c r="AH10" s="154" t="s">
        <v>9</v>
      </c>
      <c r="AI10" s="144">
        <v>0</v>
      </c>
      <c r="AJ10" s="144">
        <v>0.49286636899442893</v>
      </c>
      <c r="AK10" s="157" t="s">
        <v>1</v>
      </c>
      <c r="AL10" s="148">
        <v>2.7144395442591892E-2</v>
      </c>
      <c r="AM10" s="148">
        <v>4.2376133576973701E-2</v>
      </c>
    </row>
    <row r="11" spans="1:39" ht="12.75" customHeight="1" x14ac:dyDescent="0.25">
      <c r="B11" s="21" t="s">
        <v>7</v>
      </c>
      <c r="C11" s="29">
        <v>27.762864026902566</v>
      </c>
      <c r="D11" s="29">
        <v>11.426439</v>
      </c>
      <c r="E11" s="50">
        <f t="shared" si="0"/>
        <v>1.2714400331450664E-2</v>
      </c>
      <c r="F11" s="50">
        <f>D11/$D$18</f>
        <v>4.2717799287055679E-2</v>
      </c>
      <c r="G11" s="50">
        <f t="shared" si="2"/>
        <v>4.2893132745155806E-2</v>
      </c>
      <c r="H11" s="51">
        <f>F11+H10</f>
        <v>0.39892852569062959</v>
      </c>
      <c r="I11" s="50">
        <f t="shared" si="4"/>
        <v>1.5607346346935085E-3</v>
      </c>
      <c r="P11" s="18"/>
      <c r="Q11" s="14"/>
      <c r="R11" s="15"/>
      <c r="AA11" s="147">
        <v>4</v>
      </c>
      <c r="AB11" s="154" t="s">
        <v>2</v>
      </c>
      <c r="AC11" s="144">
        <v>3.0178732413705139E-2</v>
      </c>
      <c r="AD11" s="151">
        <v>0.35621072640357393</v>
      </c>
      <c r="AE11" s="140" t="s">
        <v>2</v>
      </c>
      <c r="AF11" s="141">
        <v>3.2012888050712042E-2</v>
      </c>
      <c r="AG11" s="141">
        <v>8.5093932864029373E-2</v>
      </c>
      <c r="AH11" s="154" t="s">
        <v>2</v>
      </c>
      <c r="AI11" s="144">
        <v>5.4290577913134646E-3</v>
      </c>
      <c r="AJ11" s="144">
        <v>0.50735421983614104</v>
      </c>
      <c r="AK11" s="157" t="s">
        <v>7</v>
      </c>
      <c r="AL11" s="148">
        <v>5.8435636670972346E-2</v>
      </c>
      <c r="AM11" s="148">
        <v>8.5093932864029373E-2</v>
      </c>
    </row>
    <row r="12" spans="1:39" ht="12.75" customHeight="1" x14ac:dyDescent="0.25">
      <c r="B12" s="21" t="s">
        <v>6</v>
      </c>
      <c r="C12" s="29">
        <v>83.428364274259323</v>
      </c>
      <c r="D12" s="29">
        <v>19.742709999999999</v>
      </c>
      <c r="E12" s="50">
        <f>C12/$C$18</f>
        <v>3.8207211667829283E-2</v>
      </c>
      <c r="F12" s="50">
        <f t="shared" si="1"/>
        <v>7.3808219967966132E-2</v>
      </c>
      <c r="G12" s="50">
        <f t="shared" si="2"/>
        <v>8.1100344412985081E-2</v>
      </c>
      <c r="H12" s="51">
        <f t="shared" si="3"/>
        <v>0.47273674565859569</v>
      </c>
      <c r="I12" s="50">
        <f t="shared" si="4"/>
        <v>4.5758689183405211E-3</v>
      </c>
      <c r="P12" s="18"/>
      <c r="Q12" s="14"/>
      <c r="R12" s="15"/>
      <c r="AA12" s="147">
        <v>5</v>
      </c>
      <c r="AB12" s="154" t="s">
        <v>7</v>
      </c>
      <c r="AC12" s="144">
        <v>4.2893132745155806E-2</v>
      </c>
      <c r="AD12" s="151">
        <v>0.39892852569062959</v>
      </c>
      <c r="AE12" s="140" t="s">
        <v>6</v>
      </c>
      <c r="AF12" s="141">
        <v>5.7762823909743397E-2</v>
      </c>
      <c r="AG12" s="141">
        <v>0.15890215283199549</v>
      </c>
      <c r="AH12" s="154" t="s">
        <v>4</v>
      </c>
      <c r="AI12" s="144">
        <v>1.3271339033212672E-2</v>
      </c>
      <c r="AJ12" s="144">
        <v>0.51217730251642524</v>
      </c>
      <c r="AK12" s="157" t="s">
        <v>9</v>
      </c>
      <c r="AL12" s="148">
        <v>0.1198547150976936</v>
      </c>
      <c r="AM12" s="148">
        <v>0.12586523300618602</v>
      </c>
    </row>
    <row r="13" spans="1:39" ht="12.75" customHeight="1" x14ac:dyDescent="0.25">
      <c r="B13" s="21" t="s">
        <v>10</v>
      </c>
      <c r="C13" s="29">
        <v>162.7577156565315</v>
      </c>
      <c r="D13" s="29">
        <v>11.996235</v>
      </c>
      <c r="E13" s="50">
        <f t="shared" si="0"/>
        <v>7.4537221804073045E-2</v>
      </c>
      <c r="F13" s="50">
        <f t="shared" si="1"/>
        <v>4.4847984479709946E-2</v>
      </c>
      <c r="G13" s="50">
        <f t="shared" si="2"/>
        <v>0.15563756621705813</v>
      </c>
      <c r="H13" s="51">
        <f t="shared" si="3"/>
        <v>0.51758473013830564</v>
      </c>
      <c r="I13" s="50">
        <f t="shared" si="4"/>
        <v>5.3086090708475689E-3</v>
      </c>
      <c r="P13" s="18"/>
      <c r="Q13" s="14"/>
      <c r="R13" s="15"/>
      <c r="AA13" s="147">
        <v>6</v>
      </c>
      <c r="AB13" s="154" t="s">
        <v>6</v>
      </c>
      <c r="AC13" s="144">
        <v>8.1100344412985081E-2</v>
      </c>
      <c r="AD13" s="151">
        <v>0.47273674565859569</v>
      </c>
      <c r="AE13" s="140" t="s">
        <v>3</v>
      </c>
      <c r="AF13" s="141">
        <v>8.8550981159494335E-2</v>
      </c>
      <c r="AG13" s="141">
        <v>0.47273674565859564</v>
      </c>
      <c r="AH13" s="154" t="s">
        <v>1</v>
      </c>
      <c r="AI13" s="144">
        <v>4.2635773025661156E-2</v>
      </c>
      <c r="AJ13" s="144">
        <v>0.5352425025714026</v>
      </c>
      <c r="AK13" s="157" t="s">
        <v>6</v>
      </c>
      <c r="AL13" s="148">
        <v>0.19303489364868062</v>
      </c>
      <c r="AM13" s="148">
        <v>0.19967345297415212</v>
      </c>
    </row>
    <row r="14" spans="1:39" ht="12.75" customHeight="1" x14ac:dyDescent="0.25">
      <c r="B14" s="21" t="s">
        <v>11</v>
      </c>
      <c r="C14" s="29">
        <v>330.96219581347026</v>
      </c>
      <c r="D14" s="29">
        <v>41.918567000000003</v>
      </c>
      <c r="E14" s="50">
        <f t="shared" si="0"/>
        <v>0.15156886724910063</v>
      </c>
      <c r="F14" s="50">
        <f t="shared" si="1"/>
        <v>0.15671277215123591</v>
      </c>
      <c r="G14" s="50">
        <f t="shared" si="2"/>
        <v>0.30720643346615872</v>
      </c>
      <c r="H14" s="51">
        <f t="shared" si="3"/>
        <v>0.67429750228954155</v>
      </c>
      <c r="I14" s="50">
        <f t="shared" si="4"/>
        <v>3.6266783131961335E-2</v>
      </c>
      <c r="P14" s="18"/>
      <c r="Q14" s="14"/>
      <c r="R14" s="15"/>
      <c r="AA14" s="147">
        <v>7</v>
      </c>
      <c r="AB14" s="154" t="s">
        <v>10</v>
      </c>
      <c r="AC14" s="144">
        <v>0.15563756621705813</v>
      </c>
      <c r="AD14" s="151">
        <v>0.51758473013830564</v>
      </c>
      <c r="AE14" s="140" t="s">
        <v>10</v>
      </c>
      <c r="AF14" s="141">
        <v>0.1404898543639673</v>
      </c>
      <c r="AG14" s="141">
        <v>0.51758473013830553</v>
      </c>
      <c r="AH14" s="154" t="s">
        <v>7</v>
      </c>
      <c r="AI14" s="144">
        <v>7.6185424270137081E-2</v>
      </c>
      <c r="AJ14" s="144">
        <v>0.57796030185845826</v>
      </c>
      <c r="AK14" s="157" t="s">
        <v>8</v>
      </c>
      <c r="AL14" s="148">
        <v>0.28137382347094353</v>
      </c>
      <c r="AM14" s="148">
        <v>0.33793392899982422</v>
      </c>
    </row>
    <row r="15" spans="1:39" ht="12.75" customHeight="1" x14ac:dyDescent="0.25">
      <c r="B15" s="21" t="s">
        <v>8</v>
      </c>
      <c r="C15" s="29">
        <v>416.80308732067164</v>
      </c>
      <c r="D15" s="29">
        <v>36.982824999999998</v>
      </c>
      <c r="E15" s="50">
        <f t="shared" si="0"/>
        <v>0.19088093023992125</v>
      </c>
      <c r="F15" s="50">
        <f t="shared" si="1"/>
        <v>0.13826047602567212</v>
      </c>
      <c r="G15" s="50">
        <f t="shared" si="2"/>
        <v>0.49808736370607998</v>
      </c>
      <c r="H15" s="51">
        <f t="shared" si="3"/>
        <v>0.8125579783152137</v>
      </c>
      <c r="I15" s="50">
        <f t="shared" si="4"/>
        <v>5.5670151868777398E-2</v>
      </c>
      <c r="P15" s="18"/>
      <c r="Q15" s="14"/>
      <c r="R15" s="15"/>
      <c r="AA15" s="147">
        <v>8</v>
      </c>
      <c r="AB15" s="154" t="s">
        <v>11</v>
      </c>
      <c r="AC15" s="144">
        <v>0.30720643346615872</v>
      </c>
      <c r="AD15" s="151">
        <v>0.67429750228954155</v>
      </c>
      <c r="AE15" s="140" t="s">
        <v>11</v>
      </c>
      <c r="AF15" s="141">
        <v>0.26486530011936027</v>
      </c>
      <c r="AG15" s="141">
        <v>0.67429750228954144</v>
      </c>
      <c r="AH15" s="154" t="s">
        <v>6</v>
      </c>
      <c r="AI15" s="144">
        <v>0.18981189410229665</v>
      </c>
      <c r="AJ15" s="144">
        <v>0.65176852182642442</v>
      </c>
      <c r="AK15" s="157" t="s">
        <v>3</v>
      </c>
      <c r="AL15" s="148">
        <v>0.42904096947561376</v>
      </c>
      <c r="AM15" s="148">
        <v>0.65176852182642442</v>
      </c>
    </row>
    <row r="16" spans="1:39" ht="12.75" customHeight="1" x14ac:dyDescent="0.25">
      <c r="B16" s="21" t="s">
        <v>5</v>
      </c>
      <c r="C16" s="29">
        <v>448.50336533961865</v>
      </c>
      <c r="D16" s="29">
        <v>39.232453</v>
      </c>
      <c r="E16" s="50">
        <f t="shared" si="0"/>
        <v>0.20539852557736976</v>
      </c>
      <c r="F16" s="50">
        <f t="shared" si="1"/>
        <v>0.14667072154262981</v>
      </c>
      <c r="G16" s="50">
        <f t="shared" si="2"/>
        <v>0.70348588928344968</v>
      </c>
      <c r="H16" s="51">
        <f t="shared" si="3"/>
        <v>0.95922869985784354</v>
      </c>
      <c r="I16" s="50">
        <f t="shared" si="4"/>
        <v>8.81178080011496E-2</v>
      </c>
      <c r="P16" s="18"/>
      <c r="Q16" s="14"/>
      <c r="R16" s="15"/>
      <c r="AA16" s="147">
        <v>9</v>
      </c>
      <c r="AB16" s="154" t="s">
        <v>8</v>
      </c>
      <c r="AC16" s="144">
        <v>0.49808736370607998</v>
      </c>
      <c r="AD16" s="151">
        <v>0.8125579783152137</v>
      </c>
      <c r="AE16" s="140" t="s">
        <v>5</v>
      </c>
      <c r="AF16" s="141">
        <v>0.43265145785843007</v>
      </c>
      <c r="AG16" s="141">
        <v>0.82096822383217116</v>
      </c>
      <c r="AH16" s="154" t="s">
        <v>10</v>
      </c>
      <c r="AI16" s="144">
        <v>0.43188628237804488</v>
      </c>
      <c r="AJ16" s="144">
        <v>0.69661650630613436</v>
      </c>
      <c r="AK16" s="157" t="s">
        <v>10</v>
      </c>
      <c r="AL16" s="148">
        <v>0.583159505521051</v>
      </c>
      <c r="AM16" s="148">
        <v>0.69661650630613436</v>
      </c>
    </row>
    <row r="17" spans="1:39" ht="12.75" customHeight="1" thickBot="1" x14ac:dyDescent="0.3">
      <c r="B17" s="22" t="s">
        <v>9</v>
      </c>
      <c r="C17" s="32">
        <v>647.46120330334657</v>
      </c>
      <c r="D17" s="32">
        <v>10.9057765568511</v>
      </c>
      <c r="E17" s="52">
        <f t="shared" si="0"/>
        <v>0.29651411071655015</v>
      </c>
      <c r="F17" s="52">
        <f t="shared" si="1"/>
        <v>4.0771300142156491E-2</v>
      </c>
      <c r="G17" s="50">
        <f t="shared" si="2"/>
        <v>0.99999999999999978</v>
      </c>
      <c r="H17" s="53">
        <f t="shared" si="3"/>
        <v>1</v>
      </c>
      <c r="I17" s="52">
        <f t="shared" si="4"/>
        <v>3.4726667239951915E-2</v>
      </c>
      <c r="AA17" s="147">
        <v>10</v>
      </c>
      <c r="AB17" s="154" t="s">
        <v>5</v>
      </c>
      <c r="AC17" s="144">
        <v>0.70348588928344968</v>
      </c>
      <c r="AD17" s="151">
        <v>0.95922869985784354</v>
      </c>
      <c r="AE17" s="140" t="s">
        <v>8</v>
      </c>
      <c r="AF17" s="141">
        <v>0.64822411816596082</v>
      </c>
      <c r="AG17" s="141">
        <v>0.9592286998578432</v>
      </c>
      <c r="AH17" s="154" t="s">
        <v>11</v>
      </c>
      <c r="AI17" s="144">
        <v>0.6826176704974718</v>
      </c>
      <c r="AJ17" s="144">
        <v>0.85332927845737028</v>
      </c>
      <c r="AK17" s="157" t="s">
        <v>5</v>
      </c>
      <c r="AL17" s="148">
        <v>0.78522342619448249</v>
      </c>
      <c r="AM17" s="148">
        <v>0.8432872278487642</v>
      </c>
    </row>
    <row r="18" spans="1:39" ht="12.75" customHeight="1" thickBot="1" x14ac:dyDescent="0.3">
      <c r="B18" s="35" t="s">
        <v>13</v>
      </c>
      <c r="C18" s="6">
        <f>SUM(C6:C17)</f>
        <v>2183.5763624830688</v>
      </c>
      <c r="D18" s="6">
        <f>SUM(D6:D17)</f>
        <v>267.4866025568511</v>
      </c>
      <c r="E18" s="60">
        <f>SUM(E7:E17)</f>
        <v>0.99999999999999978</v>
      </c>
      <c r="F18" s="60">
        <f>SUM(F7:F17)</f>
        <v>1</v>
      </c>
      <c r="G18" s="54"/>
      <c r="H18" s="54"/>
      <c r="I18" s="60">
        <f>SUM(I6:I17)</f>
        <v>0.22722570839650505</v>
      </c>
      <c r="AA18" s="40">
        <v>11</v>
      </c>
      <c r="AB18" s="155" t="s">
        <v>9</v>
      </c>
      <c r="AC18" s="145">
        <v>0.99999999999999978</v>
      </c>
      <c r="AD18" s="152">
        <v>1</v>
      </c>
      <c r="AE18" s="142" t="s">
        <v>9</v>
      </c>
      <c r="AF18" s="143">
        <v>1</v>
      </c>
      <c r="AG18" s="143">
        <v>0.99999999999999989</v>
      </c>
      <c r="AH18" s="155" t="s">
        <v>5</v>
      </c>
      <c r="AI18" s="145">
        <v>1</v>
      </c>
      <c r="AJ18" s="145">
        <v>1</v>
      </c>
      <c r="AK18" s="158" t="s">
        <v>11</v>
      </c>
      <c r="AL18" s="57">
        <v>0.99999999999999989</v>
      </c>
      <c r="AM18" s="57">
        <v>1</v>
      </c>
    </row>
    <row r="19" spans="1:39" ht="12.75" customHeight="1" thickBot="1" x14ac:dyDescent="0.3">
      <c r="B19" s="4"/>
      <c r="C19" s="4"/>
      <c r="D19" s="4"/>
      <c r="E19" s="51"/>
      <c r="F19" s="51"/>
      <c r="G19" s="51"/>
      <c r="H19" s="54"/>
      <c r="I19" s="54"/>
    </row>
    <row r="20" spans="1:39" ht="12.75" customHeight="1" thickBot="1" x14ac:dyDescent="0.3">
      <c r="B20" s="4"/>
      <c r="C20" s="4"/>
      <c r="D20" s="4"/>
      <c r="E20" s="51"/>
      <c r="F20" s="51"/>
      <c r="G20" s="56"/>
      <c r="H20" s="57" t="s">
        <v>34</v>
      </c>
      <c r="I20" s="53">
        <f>1-(2*I18)</f>
        <v>0.54554858320698996</v>
      </c>
    </row>
    <row r="21" spans="1:39" ht="12.75" customHeight="1" thickBot="1" x14ac:dyDescent="0.3">
      <c r="AA21" s="208" t="s">
        <v>171</v>
      </c>
      <c r="AB21" s="208"/>
      <c r="AC21" s="208"/>
      <c r="AD21" s="208"/>
      <c r="AE21" s="208"/>
      <c r="AF21" s="208"/>
      <c r="AG21" s="208"/>
      <c r="AH21" s="208"/>
      <c r="AI21" s="208"/>
      <c r="AJ21" s="208"/>
      <c r="AK21" s="208"/>
      <c r="AL21" s="208"/>
      <c r="AM21" s="208"/>
    </row>
    <row r="22" spans="1:39" ht="12.75" customHeight="1" thickBot="1" x14ac:dyDescent="0.3">
      <c r="AA22" s="38" t="s">
        <v>160</v>
      </c>
      <c r="AB22" s="153"/>
      <c r="AC22" s="173" t="s">
        <v>161</v>
      </c>
      <c r="AD22" s="174" t="s">
        <v>173</v>
      </c>
      <c r="AE22" s="38"/>
      <c r="AF22" s="38" t="s">
        <v>162</v>
      </c>
      <c r="AG22" s="38" t="s">
        <v>173</v>
      </c>
      <c r="AH22" s="175"/>
      <c r="AI22" s="173" t="s">
        <v>164</v>
      </c>
      <c r="AJ22" s="173" t="s">
        <v>173</v>
      </c>
      <c r="AK22" s="176"/>
      <c r="AL22" s="38" t="s">
        <v>165</v>
      </c>
      <c r="AM22" s="38" t="s">
        <v>173</v>
      </c>
    </row>
    <row r="23" spans="1:39" ht="12.75" customHeight="1" x14ac:dyDescent="0.25">
      <c r="AA23" s="147">
        <v>1</v>
      </c>
      <c r="AB23" s="154" t="s">
        <v>3</v>
      </c>
      <c r="AC23" s="144">
        <v>2.0572122059260146E-3</v>
      </c>
      <c r="AD23" s="151">
        <v>6.1580410728501248E-2</v>
      </c>
      <c r="AE23" s="140" t="s">
        <v>4</v>
      </c>
      <c r="AF23" s="141">
        <v>5.6387986055587242E-3</v>
      </c>
      <c r="AG23" s="141">
        <v>8.6508040877704764E-3</v>
      </c>
      <c r="AH23" s="154" t="s">
        <v>3</v>
      </c>
      <c r="AI23" s="144">
        <v>0</v>
      </c>
      <c r="AJ23" s="144">
        <v>6.1580410728501248E-2</v>
      </c>
      <c r="AK23" s="157" t="s">
        <v>2</v>
      </c>
      <c r="AL23" s="148">
        <v>3.4564517331350051E-3</v>
      </c>
      <c r="AM23" s="148">
        <v>8.3030863015460567E-3</v>
      </c>
    </row>
    <row r="24" spans="1:39" ht="13.2" customHeight="1" x14ac:dyDescent="0.25">
      <c r="AA24" s="147">
        <v>2</v>
      </c>
      <c r="AB24" s="154" t="s">
        <v>4</v>
      </c>
      <c r="AC24" s="144">
        <v>8.6289624421381217E-3</v>
      </c>
      <c r="AD24" s="151">
        <v>7.0231214816271731E-2</v>
      </c>
      <c r="AE24" s="140" t="s">
        <v>1</v>
      </c>
      <c r="AF24" s="141">
        <v>1.1360188457287819E-2</v>
      </c>
      <c r="AG24" s="141">
        <v>2.233691110888162E-2</v>
      </c>
      <c r="AH24" s="154" t="s">
        <v>8</v>
      </c>
      <c r="AI24" s="144">
        <v>0</v>
      </c>
      <c r="AJ24" s="144">
        <v>0.38878998458508923</v>
      </c>
      <c r="AK24" s="157" t="s">
        <v>4</v>
      </c>
      <c r="AL24" s="148">
        <v>8.4493008852779827E-3</v>
      </c>
      <c r="AM24" s="148">
        <v>1.6953890389316533E-2</v>
      </c>
    </row>
    <row r="25" spans="1:39" ht="14.4" customHeight="1" thickBot="1" x14ac:dyDescent="0.35">
      <c r="B25" s="209" t="s">
        <v>111</v>
      </c>
      <c r="C25" s="209"/>
      <c r="D25" s="209"/>
      <c r="E25" s="209"/>
      <c r="F25" s="209"/>
      <c r="G25" s="209"/>
      <c r="H25" s="209"/>
      <c r="I25" s="209"/>
      <c r="U25" s="23"/>
      <c r="V25" s="125" t="s">
        <v>152</v>
      </c>
      <c r="W25" s="136" t="s">
        <v>155</v>
      </c>
      <c r="X25" s="136" t="s">
        <v>153</v>
      </c>
      <c r="Y25" s="136" t="s">
        <v>154</v>
      </c>
      <c r="AA25" s="147">
        <v>3</v>
      </c>
      <c r="AB25" s="154" t="s">
        <v>1</v>
      </c>
      <c r="AC25" s="144">
        <v>1.7701695815085312E-2</v>
      </c>
      <c r="AD25" s="151">
        <v>8.3917321837382874E-2</v>
      </c>
      <c r="AE25" s="140" t="s">
        <v>7</v>
      </c>
      <c r="AF25" s="141">
        <v>2.024176629132083E-2</v>
      </c>
      <c r="AG25" s="141">
        <v>4.5534073596056365E-2</v>
      </c>
      <c r="AH25" s="154" t="s">
        <v>9</v>
      </c>
      <c r="AI25" s="144">
        <v>0</v>
      </c>
      <c r="AJ25" s="144">
        <v>0.40414506788187921</v>
      </c>
      <c r="AK25" s="157" t="s">
        <v>1</v>
      </c>
      <c r="AL25" s="148">
        <v>2.7144395442591892E-2</v>
      </c>
      <c r="AM25" s="148">
        <v>3.0639997410427677E-2</v>
      </c>
    </row>
    <row r="26" spans="1:39" ht="12.6" customHeight="1" thickBot="1" x14ac:dyDescent="0.3">
      <c r="B26" s="36" t="s">
        <v>20</v>
      </c>
      <c r="C26" s="37" t="s">
        <v>112</v>
      </c>
      <c r="D26" s="37" t="s">
        <v>46</v>
      </c>
      <c r="E26" s="37" t="s">
        <v>35</v>
      </c>
      <c r="F26" s="37" t="s">
        <v>17</v>
      </c>
      <c r="G26" s="37" t="s">
        <v>36</v>
      </c>
      <c r="H26" s="37" t="s">
        <v>136</v>
      </c>
      <c r="I26" s="37" t="s">
        <v>21</v>
      </c>
      <c r="J26" s="8"/>
      <c r="K26" s="8"/>
      <c r="L26" s="8"/>
      <c r="M26" s="8"/>
      <c r="N26" s="8"/>
      <c r="U26" s="18" t="s">
        <v>0</v>
      </c>
      <c r="V26" s="61">
        <f>I20</f>
        <v>0.54554858320698996</v>
      </c>
      <c r="W26" s="61">
        <f>I41</f>
        <v>0.55218492816660647</v>
      </c>
      <c r="X26" s="61">
        <f>I63</f>
        <v>0.5245034116831544</v>
      </c>
      <c r="Y26" s="61">
        <f>I84</f>
        <v>0.15133674183777068</v>
      </c>
      <c r="AA26" s="147">
        <v>4</v>
      </c>
      <c r="AB26" s="154" t="s">
        <v>2</v>
      </c>
      <c r="AC26" s="144">
        <v>3.0178732413705139E-2</v>
      </c>
      <c r="AD26" s="151">
        <v>9.2220408138928928E-2</v>
      </c>
      <c r="AE26" s="140" t="s">
        <v>2</v>
      </c>
      <c r="AF26" s="141">
        <v>3.2012888050712042E-2</v>
      </c>
      <c r="AG26" s="141">
        <v>5.3837159897602418E-2</v>
      </c>
      <c r="AH26" s="154" t="s">
        <v>2</v>
      </c>
      <c r="AI26" s="144">
        <v>5.4290577913134646E-3</v>
      </c>
      <c r="AJ26" s="144">
        <v>0.41244815418342529</v>
      </c>
      <c r="AK26" s="157" t="s">
        <v>7</v>
      </c>
      <c r="AL26" s="148">
        <v>5.8435636670972346E-2</v>
      </c>
      <c r="AM26" s="148">
        <v>5.3837159897602418E-2</v>
      </c>
    </row>
    <row r="27" spans="1:39" ht="12.75" customHeight="1" x14ac:dyDescent="0.25">
      <c r="B27" s="4"/>
      <c r="C27" s="26">
        <v>0</v>
      </c>
      <c r="D27" s="26">
        <v>0</v>
      </c>
      <c r="E27" s="50">
        <f t="shared" ref="E27:E37" si="5">C27/$C$39</f>
        <v>0</v>
      </c>
      <c r="F27" s="50">
        <f>D27/$D$39</f>
        <v>0</v>
      </c>
      <c r="G27" s="50">
        <v>0</v>
      </c>
      <c r="H27" s="51">
        <f>F27</f>
        <v>0</v>
      </c>
      <c r="I27" s="50">
        <v>0</v>
      </c>
      <c r="U27" s="18" t="s">
        <v>151</v>
      </c>
      <c r="V27" s="61">
        <f>I108</f>
        <v>0.29405465047680157</v>
      </c>
      <c r="W27" s="61">
        <f>I129</f>
        <v>0.34478885002522397</v>
      </c>
      <c r="X27" s="61">
        <f>I150</f>
        <v>0.32926258331093394</v>
      </c>
      <c r="Y27" s="61">
        <f>I171</f>
        <v>9.6583555165077994E-2</v>
      </c>
      <c r="AA27" s="147">
        <v>5</v>
      </c>
      <c r="AB27" s="154" t="s">
        <v>7</v>
      </c>
      <c r="AC27" s="144">
        <v>4.2893132745155806E-2</v>
      </c>
      <c r="AD27" s="151">
        <v>0.11541757062610367</v>
      </c>
      <c r="AE27" s="140" t="s">
        <v>6</v>
      </c>
      <c r="AF27" s="141">
        <v>5.7762823909743397E-2</v>
      </c>
      <c r="AG27" s="141">
        <v>0.11688690634392547</v>
      </c>
      <c r="AH27" s="154" t="s">
        <v>4</v>
      </c>
      <c r="AI27" s="144">
        <v>1.3271339033212672E-2</v>
      </c>
      <c r="AJ27" s="144">
        <v>0.42109895827119576</v>
      </c>
      <c r="AK27" s="157" t="s">
        <v>9</v>
      </c>
      <c r="AL27" s="148">
        <v>0.1198547150976936</v>
      </c>
      <c r="AM27" s="148">
        <v>6.9192243194392378E-2</v>
      </c>
    </row>
    <row r="28" spans="1:39" ht="13.8" thickBot="1" x14ac:dyDescent="0.3">
      <c r="A28" s="8"/>
      <c r="B28" s="21" t="s">
        <v>4</v>
      </c>
      <c r="C28" s="29">
        <v>12.495254145281351</v>
      </c>
      <c r="D28" s="29">
        <v>1.2901100000000001</v>
      </c>
      <c r="E28" s="50">
        <f t="shared" si="5"/>
        <v>5.6387986055587242E-3</v>
      </c>
      <c r="F28" s="50">
        <f t="shared" ref="F28:F31" si="6">D28/$D$39</f>
        <v>4.8230826802841548E-3</v>
      </c>
      <c r="G28" s="50">
        <f t="shared" ref="G28:G38" si="7">G27+E28</f>
        <v>5.6387986055587242E-3</v>
      </c>
      <c r="H28" s="51">
        <f t="shared" ref="H28:H38" si="8">F28+H27</f>
        <v>4.8230826802841548E-3</v>
      </c>
      <c r="I28" s="50">
        <f t="shared" ref="I28:I38" si="9">(G27+G28)*0.5*(H28-H27)</f>
        <v>1.3598195946040363E-5</v>
      </c>
      <c r="U28" s="134" t="s">
        <v>156</v>
      </c>
      <c r="V28" s="135">
        <f>I192</f>
        <v>0.11209302356990047</v>
      </c>
      <c r="W28" s="135">
        <f>I213</f>
        <v>5.6055789516695098E-2</v>
      </c>
      <c r="X28" s="135">
        <f>I234</f>
        <v>0.68370275974215133</v>
      </c>
      <c r="Y28" s="135">
        <f>I255</f>
        <v>0.3517581294006481</v>
      </c>
      <c r="AA28" s="147">
        <v>6</v>
      </c>
      <c r="AB28" s="154" t="s">
        <v>6</v>
      </c>
      <c r="AC28" s="144">
        <v>8.1100344412985081E-2</v>
      </c>
      <c r="AD28" s="151">
        <v>0.17846731707242672</v>
      </c>
      <c r="AE28" s="140" t="s">
        <v>3</v>
      </c>
      <c r="AF28" s="141">
        <v>8.8550981159494335E-2</v>
      </c>
      <c r="AG28" s="141">
        <v>0.17846731707242672</v>
      </c>
      <c r="AH28" s="154" t="s">
        <v>1</v>
      </c>
      <c r="AI28" s="144">
        <v>4.2635773025661156E-2</v>
      </c>
      <c r="AJ28" s="144">
        <v>0.43478506529230687</v>
      </c>
      <c r="AK28" s="157" t="s">
        <v>6</v>
      </c>
      <c r="AL28" s="148">
        <v>0.19303489364868062</v>
      </c>
      <c r="AM28" s="148">
        <v>0.13224198964071543</v>
      </c>
    </row>
    <row r="29" spans="1:39" ht="12.75" customHeight="1" x14ac:dyDescent="0.25">
      <c r="B29" s="21" t="s">
        <v>1</v>
      </c>
      <c r="C29" s="29">
        <v>12.678271607557253</v>
      </c>
      <c r="D29" s="29">
        <v>6.169632</v>
      </c>
      <c r="E29" s="50">
        <f t="shared" si="5"/>
        <v>5.7213898517290938E-3</v>
      </c>
      <c r="F29" s="50">
        <f t="shared" si="6"/>
        <v>2.3065200054977395E-2</v>
      </c>
      <c r="G29" s="50">
        <f t="shared" si="7"/>
        <v>1.1360188457287819E-2</v>
      </c>
      <c r="H29" s="51">
        <f t="shared" si="8"/>
        <v>2.788828273526155E-2</v>
      </c>
      <c r="I29" s="50">
        <f t="shared" si="9"/>
        <v>1.9604251866826408E-4</v>
      </c>
      <c r="AA29" s="147">
        <v>7</v>
      </c>
      <c r="AB29" s="154" t="s">
        <v>10</v>
      </c>
      <c r="AC29" s="144">
        <v>0.15563756621705813</v>
      </c>
      <c r="AD29" s="151">
        <v>0.25736713399590871</v>
      </c>
      <c r="AE29" s="140" t="s">
        <v>10</v>
      </c>
      <c r="AF29" s="141">
        <v>0.1404898543639673</v>
      </c>
      <c r="AG29" s="141">
        <v>0.25736713399590871</v>
      </c>
      <c r="AH29" s="154" t="s">
        <v>7</v>
      </c>
      <c r="AI29" s="144">
        <v>7.6185424270137081E-2</v>
      </c>
      <c r="AJ29" s="144">
        <v>0.45798222777948161</v>
      </c>
      <c r="AK29" s="157" t="s">
        <v>8</v>
      </c>
      <c r="AL29" s="148">
        <v>0.28137382347094353</v>
      </c>
      <c r="AM29" s="148">
        <v>0.45945156349730343</v>
      </c>
    </row>
    <row r="30" spans="1:39" ht="12.75" customHeight="1" x14ac:dyDescent="0.25">
      <c r="B30" s="21" t="s">
        <v>7</v>
      </c>
      <c r="C30" s="29">
        <v>19.681066838943018</v>
      </c>
      <c r="D30" s="29">
        <v>11.426439</v>
      </c>
      <c r="E30" s="50">
        <f t="shared" si="5"/>
        <v>8.8815778340330109E-3</v>
      </c>
      <c r="F30" s="50">
        <f>D30/$D$39</f>
        <v>4.2717799287055672E-2</v>
      </c>
      <c r="G30" s="50">
        <f t="shared" si="7"/>
        <v>2.024176629132083E-2</v>
      </c>
      <c r="H30" s="51">
        <f t="shared" si="8"/>
        <v>7.0606082022317218E-2</v>
      </c>
      <c r="I30" s="50">
        <f t="shared" si="9"/>
        <v>6.7498298001484008E-4</v>
      </c>
      <c r="AA30" s="147">
        <v>8</v>
      </c>
      <c r="AB30" s="154" t="s">
        <v>11</v>
      </c>
      <c r="AC30" s="144">
        <v>0.30720643346615872</v>
      </c>
      <c r="AD30" s="151">
        <v>0.38405950424456814</v>
      </c>
      <c r="AE30" s="140" t="s">
        <v>11</v>
      </c>
      <c r="AF30" s="141">
        <v>0.26486530011936027</v>
      </c>
      <c r="AG30" s="141">
        <v>0.38405950424456814</v>
      </c>
      <c r="AH30" s="154" t="s">
        <v>6</v>
      </c>
      <c r="AI30" s="144">
        <v>0.18981189410229665</v>
      </c>
      <c r="AJ30" s="144">
        <v>0.52103197422580472</v>
      </c>
      <c r="AK30" s="157" t="s">
        <v>3</v>
      </c>
      <c r="AL30" s="148">
        <v>0.42904096947561376</v>
      </c>
      <c r="AM30" s="148">
        <v>0.52103197422580472</v>
      </c>
    </row>
    <row r="31" spans="1:39" ht="12.75" customHeight="1" x14ac:dyDescent="0.25">
      <c r="B31" s="21" t="s">
        <v>2</v>
      </c>
      <c r="C31" s="29">
        <v>26.084130370190923</v>
      </c>
      <c r="D31" s="29">
        <v>3.8753060000000001</v>
      </c>
      <c r="E31" s="50">
        <f t="shared" si="5"/>
        <v>1.1771121759391212E-2</v>
      </c>
      <c r="F31" s="50">
        <f t="shared" si="6"/>
        <v>1.4487850841712153E-2</v>
      </c>
      <c r="G31" s="50">
        <f t="shared" si="7"/>
        <v>3.2012888050712042E-2</v>
      </c>
      <c r="H31" s="51">
        <f t="shared" si="8"/>
        <v>8.5093932864029373E-2</v>
      </c>
      <c r="I31" s="50">
        <f t="shared" si="9"/>
        <v>3.7852881894629933E-4</v>
      </c>
      <c r="AA31" s="147">
        <v>9</v>
      </c>
      <c r="AB31" s="154" t="s">
        <v>8</v>
      </c>
      <c r="AC31" s="144">
        <v>0.49808736370607998</v>
      </c>
      <c r="AD31" s="151">
        <v>0.71126907810115614</v>
      </c>
      <c r="AE31" s="140" t="s">
        <v>5</v>
      </c>
      <c r="AF31" s="141">
        <v>0.43265145785843007</v>
      </c>
      <c r="AG31" s="141">
        <v>0.65743534284662219</v>
      </c>
      <c r="AH31" s="154" t="s">
        <v>10</v>
      </c>
      <c r="AI31" s="144">
        <v>0.43188628237804488</v>
      </c>
      <c r="AJ31" s="144">
        <v>0.59993179114928674</v>
      </c>
      <c r="AK31" s="157" t="s">
        <v>10</v>
      </c>
      <c r="AL31" s="148">
        <v>0.583159505521051</v>
      </c>
      <c r="AM31" s="148">
        <v>0.59993179114928674</v>
      </c>
    </row>
    <row r="32" spans="1:39" ht="12.75" customHeight="1" x14ac:dyDescent="0.25">
      <c r="B32" s="21" t="s">
        <v>6</v>
      </c>
      <c r="C32" s="29">
        <v>57.060380284925856</v>
      </c>
      <c r="D32" s="29">
        <v>19.742709999999999</v>
      </c>
      <c r="E32" s="50">
        <f t="shared" si="5"/>
        <v>2.5749935859031358E-2</v>
      </c>
      <c r="F32" s="50">
        <f>D32/$D$39</f>
        <v>7.3808219967966118E-2</v>
      </c>
      <c r="G32" s="50">
        <f>G31+E32</f>
        <v>5.7762823909743397E-2</v>
      </c>
      <c r="H32" s="51">
        <f t="shared" si="8"/>
        <v>0.15890215283199549</v>
      </c>
      <c r="I32" s="50">
        <f t="shared" si="9"/>
        <v>3.3130927480790311E-3</v>
      </c>
      <c r="AA32" s="147">
        <v>10</v>
      </c>
      <c r="AB32" s="154" t="s">
        <v>5</v>
      </c>
      <c r="AC32" s="144">
        <v>0.70348588928344968</v>
      </c>
      <c r="AD32" s="151">
        <v>0.98464491670321008</v>
      </c>
      <c r="AE32" s="140" t="s">
        <v>8</v>
      </c>
      <c r="AF32" s="141">
        <v>0.64822411816596082</v>
      </c>
      <c r="AG32" s="141">
        <v>0.98464491670321019</v>
      </c>
      <c r="AH32" s="154" t="s">
        <v>11</v>
      </c>
      <c r="AI32" s="144">
        <v>0.6826176704974718</v>
      </c>
      <c r="AJ32" s="144">
        <v>0.72662416139794617</v>
      </c>
      <c r="AK32" s="157" t="s">
        <v>5</v>
      </c>
      <c r="AL32" s="148">
        <v>0.78522342619448249</v>
      </c>
      <c r="AM32" s="148">
        <v>0.87330762975134069</v>
      </c>
    </row>
    <row r="33" spans="2:39" ht="12.75" customHeight="1" thickBot="1" x14ac:dyDescent="0.3">
      <c r="B33" s="21" t="s">
        <v>3</v>
      </c>
      <c r="C33" s="29">
        <v>68.224789784349042</v>
      </c>
      <c r="D33" s="29">
        <v>83.946549000000005</v>
      </c>
      <c r="E33" s="50">
        <f>C33/$C$39</f>
        <v>3.0788157249750939E-2</v>
      </c>
      <c r="F33" s="50">
        <f>D33/$D$39</f>
        <v>0.31383459282660014</v>
      </c>
      <c r="G33" s="50">
        <f t="shared" si="7"/>
        <v>8.8550981159494335E-2</v>
      </c>
      <c r="H33" s="51">
        <f>F33+H32</f>
        <v>0.47273674565859564</v>
      </c>
      <c r="I33" s="50">
        <f t="shared" si="9"/>
        <v>2.2959166719407387E-2</v>
      </c>
      <c r="AA33" s="40">
        <v>11</v>
      </c>
      <c r="AB33" s="155" t="s">
        <v>9</v>
      </c>
      <c r="AC33" s="145">
        <v>0.99999999999999978</v>
      </c>
      <c r="AD33" s="152">
        <v>1</v>
      </c>
      <c r="AE33" s="142" t="s">
        <v>9</v>
      </c>
      <c r="AF33" s="143">
        <v>1</v>
      </c>
      <c r="AG33" s="143">
        <v>1.0000000000000002</v>
      </c>
      <c r="AH33" s="155" t="s">
        <v>5</v>
      </c>
      <c r="AI33" s="145">
        <v>1</v>
      </c>
      <c r="AJ33" s="145">
        <v>1.0000000000000002</v>
      </c>
      <c r="AK33" s="158" t="s">
        <v>11</v>
      </c>
      <c r="AL33" s="57">
        <v>0.99999999999999989</v>
      </c>
      <c r="AM33" s="57">
        <v>1.0000000000000002</v>
      </c>
    </row>
    <row r="34" spans="2:39" ht="12.75" customHeight="1" thickBot="1" x14ac:dyDescent="0.3">
      <c r="B34" s="21" t="s">
        <v>10</v>
      </c>
      <c r="C34" s="29">
        <v>115.09356267302397</v>
      </c>
      <c r="D34" s="29">
        <v>11.996235</v>
      </c>
      <c r="E34" s="50">
        <f>C34/$C$39</f>
        <v>5.1938873204472963E-2</v>
      </c>
      <c r="F34" s="50">
        <f t="shared" ref="F34:F38" si="10">D34/$D$39</f>
        <v>4.4847984479709932E-2</v>
      </c>
      <c r="G34" s="50">
        <f t="shared" si="7"/>
        <v>0.1404898543639673</v>
      </c>
      <c r="H34" s="51">
        <f t="shared" si="8"/>
        <v>0.51758473013830553</v>
      </c>
      <c r="I34" s="50">
        <f t="shared" si="9"/>
        <v>5.1360099183879963E-3</v>
      </c>
    </row>
    <row r="35" spans="2:39" ht="12.75" customHeight="1" thickBot="1" x14ac:dyDescent="0.3">
      <c r="B35" s="21" t="s">
        <v>11</v>
      </c>
      <c r="C35" s="29">
        <v>275.60885090207972</v>
      </c>
      <c r="D35" s="29">
        <v>41.918567000000003</v>
      </c>
      <c r="E35" s="50">
        <f t="shared" si="5"/>
        <v>0.12437544575539296</v>
      </c>
      <c r="F35" s="50">
        <f t="shared" si="10"/>
        <v>0.15671277215123589</v>
      </c>
      <c r="G35" s="50">
        <f t="shared" si="7"/>
        <v>0.26486530011936027</v>
      </c>
      <c r="H35" s="51">
        <f t="shared" si="8"/>
        <v>0.67429750228954144</v>
      </c>
      <c r="I35" s="50">
        <f t="shared" si="9"/>
        <v>3.1762164982437377E-2</v>
      </c>
      <c r="AA35" s="208" t="s">
        <v>172</v>
      </c>
      <c r="AB35" s="208"/>
      <c r="AC35" s="208"/>
      <c r="AD35" s="208"/>
      <c r="AE35" s="208"/>
      <c r="AF35" s="208"/>
      <c r="AG35" s="208"/>
      <c r="AH35" s="208"/>
      <c r="AI35" s="208"/>
      <c r="AJ35" s="208"/>
      <c r="AK35" s="208"/>
      <c r="AL35" s="208"/>
      <c r="AM35" s="208"/>
    </row>
    <row r="36" spans="2:39" ht="12.75" customHeight="1" thickBot="1" x14ac:dyDescent="0.3">
      <c r="B36" s="21" t="s">
        <v>5</v>
      </c>
      <c r="C36" s="29">
        <v>371.80449767139828</v>
      </c>
      <c r="D36" s="29">
        <v>39.232453</v>
      </c>
      <c r="E36" s="50">
        <f t="shared" si="5"/>
        <v>0.16778615773906982</v>
      </c>
      <c r="F36" s="50">
        <f>D36/$D$39</f>
        <v>0.14667072154262978</v>
      </c>
      <c r="G36" s="50">
        <f t="shared" si="7"/>
        <v>0.43265145785843007</v>
      </c>
      <c r="H36" s="51">
        <f t="shared" si="8"/>
        <v>0.82096822383217116</v>
      </c>
      <c r="I36" s="50">
        <f t="shared" si="9"/>
        <v>5.1152643090339164E-2</v>
      </c>
      <c r="AA36" s="38" t="s">
        <v>160</v>
      </c>
      <c r="AB36" s="153"/>
      <c r="AC36" s="173" t="s">
        <v>161</v>
      </c>
      <c r="AD36" s="174" t="s">
        <v>169</v>
      </c>
      <c r="AE36" s="38"/>
      <c r="AF36" s="38" t="s">
        <v>162</v>
      </c>
      <c r="AG36" s="38" t="s">
        <v>169</v>
      </c>
      <c r="AH36" s="175"/>
      <c r="AI36" s="173" t="s">
        <v>164</v>
      </c>
      <c r="AJ36" s="173" t="s">
        <v>169</v>
      </c>
      <c r="AK36" s="176"/>
      <c r="AL36" s="38" t="s">
        <v>165</v>
      </c>
      <c r="AM36" s="38" t="s">
        <v>169</v>
      </c>
    </row>
    <row r="37" spans="2:39" ht="12.75" customHeight="1" x14ac:dyDescent="0.25">
      <c r="B37" s="21" t="s">
        <v>8</v>
      </c>
      <c r="C37" s="29">
        <v>477.69664528568518</v>
      </c>
      <c r="D37" s="29">
        <v>36.982824999999998</v>
      </c>
      <c r="E37" s="50">
        <f t="shared" si="5"/>
        <v>0.21557266030753078</v>
      </c>
      <c r="F37" s="50">
        <f t="shared" si="10"/>
        <v>0.1382604760256721</v>
      </c>
      <c r="G37" s="50">
        <f t="shared" si="7"/>
        <v>0.64822411816596082</v>
      </c>
      <c r="H37" s="51">
        <f t="shared" si="8"/>
        <v>0.9592286998578432</v>
      </c>
      <c r="I37" s="50">
        <f t="shared" si="9"/>
        <v>7.4721185832827372E-2</v>
      </c>
      <c r="AA37" s="147">
        <v>1</v>
      </c>
      <c r="AB37" s="154" t="s">
        <v>3</v>
      </c>
      <c r="AC37" s="144">
        <v>2.0572122059260146E-3</v>
      </c>
      <c r="AD37" s="151">
        <v>8.2249727275718124E-2</v>
      </c>
      <c r="AE37" s="140" t="s">
        <v>4</v>
      </c>
      <c r="AF37" s="141">
        <v>5.6387986055587242E-3</v>
      </c>
      <c r="AG37" s="141">
        <v>8.0135200470573958E-3</v>
      </c>
      <c r="AH37" s="154" t="s">
        <v>3</v>
      </c>
      <c r="AI37" s="144">
        <v>0</v>
      </c>
      <c r="AJ37" s="144">
        <v>8.2249727275718124E-2</v>
      </c>
      <c r="AK37" s="157" t="s">
        <v>2</v>
      </c>
      <c r="AL37" s="148">
        <v>3.4564517331350051E-3</v>
      </c>
      <c r="AM37" s="148">
        <v>6.6897636279041406E-3</v>
      </c>
    </row>
    <row r="38" spans="2:39" ht="12.75" customHeight="1" thickBot="1" x14ac:dyDescent="0.3">
      <c r="B38" s="22" t="s">
        <v>9</v>
      </c>
      <c r="C38" s="32">
        <v>779.51516859702542</v>
      </c>
      <c r="D38" s="32">
        <v>10.905776556851148</v>
      </c>
      <c r="E38" s="52">
        <f>C38/$C$39</f>
        <v>0.35177588183403924</v>
      </c>
      <c r="F38" s="50">
        <f t="shared" si="10"/>
        <v>4.0771300142156658E-2</v>
      </c>
      <c r="G38" s="52">
        <f t="shared" si="7"/>
        <v>1</v>
      </c>
      <c r="H38" s="53">
        <f t="shared" si="8"/>
        <v>0.99999999999999989</v>
      </c>
      <c r="I38" s="52">
        <f t="shared" si="9"/>
        <v>3.3600120111642963E-2</v>
      </c>
      <c r="AA38" s="147">
        <v>2</v>
      </c>
      <c r="AB38" s="154" t="s">
        <v>4</v>
      </c>
      <c r="AC38" s="144">
        <v>8.6289624421381217E-3</v>
      </c>
      <c r="AD38" s="151">
        <v>9.0263247322775519E-2</v>
      </c>
      <c r="AE38" s="140" t="s">
        <v>1</v>
      </c>
      <c r="AF38" s="141">
        <v>1.1360188457287819E-2</v>
      </c>
      <c r="AG38" s="141">
        <v>1.2331300548089792E-2</v>
      </c>
      <c r="AH38" s="154" t="s">
        <v>8</v>
      </c>
      <c r="AI38" s="144">
        <v>0</v>
      </c>
      <c r="AJ38" s="144">
        <v>0.52052312870831507</v>
      </c>
      <c r="AK38" s="157" t="s">
        <v>4</v>
      </c>
      <c r="AL38" s="148">
        <v>8.4493008852779827E-3</v>
      </c>
      <c r="AM38" s="148">
        <v>1.4703283674961536E-2</v>
      </c>
    </row>
    <row r="39" spans="2:39" ht="12.75" customHeight="1" thickBot="1" x14ac:dyDescent="0.3">
      <c r="B39" s="35" t="s">
        <v>13</v>
      </c>
      <c r="C39" s="6">
        <f>SUM(C27:C38)</f>
        <v>2215.9426181604599</v>
      </c>
      <c r="D39" s="6">
        <f>SUM(D27:D38)</f>
        <v>267.48660255685115</v>
      </c>
      <c r="E39" s="52">
        <f>SUM(E28:E38)</f>
        <v>1</v>
      </c>
      <c r="F39" s="60">
        <f>SUM(F28:F38)</f>
        <v>0.99999999999999989</v>
      </c>
      <c r="G39" s="54"/>
      <c r="H39" s="54"/>
      <c r="I39" s="60">
        <f>SUM(I27:I38)</f>
        <v>0.22390753591669674</v>
      </c>
      <c r="AA39" s="147">
        <v>3</v>
      </c>
      <c r="AB39" s="154" t="s">
        <v>1</v>
      </c>
      <c r="AC39" s="144">
        <v>1.7701695815085312E-2</v>
      </c>
      <c r="AD39" s="151">
        <v>9.4581027823807909E-2</v>
      </c>
      <c r="AE39" s="140" t="s">
        <v>7</v>
      </c>
      <c r="AF39" s="141">
        <v>2.024176629132083E-2</v>
      </c>
      <c r="AG39" s="141">
        <v>1.9147385865520176E-2</v>
      </c>
      <c r="AH39" s="154" t="s">
        <v>9</v>
      </c>
      <c r="AI39" s="144">
        <v>0</v>
      </c>
      <c r="AJ39" s="144">
        <v>0.7224070008195761</v>
      </c>
      <c r="AK39" s="157" t="s">
        <v>1</v>
      </c>
      <c r="AL39" s="148">
        <v>2.7144395442591892E-2</v>
      </c>
      <c r="AM39" s="148">
        <v>1.9021064175993932E-2</v>
      </c>
    </row>
    <row r="40" spans="2:39" ht="12.75" customHeight="1" thickBot="1" x14ac:dyDescent="0.3">
      <c r="B40" s="4"/>
      <c r="C40" s="4"/>
      <c r="D40" s="4"/>
      <c r="E40" s="51"/>
      <c r="F40" s="51"/>
      <c r="G40" s="51"/>
      <c r="H40" s="54"/>
      <c r="I40" s="54"/>
      <c r="AA40" s="147">
        <v>4</v>
      </c>
      <c r="AB40" s="154" t="s">
        <v>2</v>
      </c>
      <c r="AC40" s="144">
        <v>3.0178732413705139E-2</v>
      </c>
      <c r="AD40" s="151">
        <v>0.10127079145171206</v>
      </c>
      <c r="AE40" s="140" t="s">
        <v>2</v>
      </c>
      <c r="AF40" s="141">
        <v>3.2012888050712042E-2</v>
      </c>
      <c r="AG40" s="141">
        <v>2.5837149493424316E-2</v>
      </c>
      <c r="AH40" s="154" t="s">
        <v>2</v>
      </c>
      <c r="AI40" s="144">
        <v>5.4290577913134646E-3</v>
      </c>
      <c r="AJ40" s="144">
        <v>0.72909676444748028</v>
      </c>
      <c r="AK40" s="157" t="s">
        <v>7</v>
      </c>
      <c r="AL40" s="148">
        <v>5.8435636670972346E-2</v>
      </c>
      <c r="AM40" s="148">
        <v>2.5837149493424316E-2</v>
      </c>
    </row>
    <row r="41" spans="2:39" ht="12.75" customHeight="1" thickBot="1" x14ac:dyDescent="0.3">
      <c r="B41" s="4"/>
      <c r="C41" s="4"/>
      <c r="D41" s="4"/>
      <c r="E41" s="51"/>
      <c r="F41" s="51"/>
      <c r="G41" s="56"/>
      <c r="H41" s="57" t="s">
        <v>33</v>
      </c>
      <c r="I41" s="53">
        <f>1-(2*I39)</f>
        <v>0.55218492816660647</v>
      </c>
      <c r="AA41" s="147">
        <v>5</v>
      </c>
      <c r="AB41" s="154" t="s">
        <v>7</v>
      </c>
      <c r="AC41" s="144">
        <v>4.2893132745155806E-2</v>
      </c>
      <c r="AD41" s="151">
        <v>0.10808687676914244</v>
      </c>
      <c r="AE41" s="140" t="s">
        <v>6</v>
      </c>
      <c r="AF41" s="141">
        <v>5.7762823909743397E-2</v>
      </c>
      <c r="AG41" s="141">
        <v>4.2022014172822211E-2</v>
      </c>
      <c r="AH41" s="154" t="s">
        <v>4</v>
      </c>
      <c r="AI41" s="144">
        <v>1.3271339033212672E-2</v>
      </c>
      <c r="AJ41" s="144">
        <v>0.73711028449453764</v>
      </c>
      <c r="AK41" s="157" t="s">
        <v>9</v>
      </c>
      <c r="AL41" s="148">
        <v>0.1198547150976936</v>
      </c>
      <c r="AM41" s="148">
        <v>0.22772102160468533</v>
      </c>
    </row>
    <row r="42" spans="2:39" ht="12.75" customHeight="1" x14ac:dyDescent="0.25">
      <c r="E42" s="61"/>
      <c r="F42" s="61"/>
      <c r="G42" s="61"/>
      <c r="H42" s="61"/>
      <c r="I42" s="61"/>
      <c r="AA42" s="147">
        <v>6</v>
      </c>
      <c r="AB42" s="154" t="s">
        <v>6</v>
      </c>
      <c r="AC42" s="144">
        <v>8.1100344412985081E-2</v>
      </c>
      <c r="AD42" s="151">
        <v>0.12427174144854033</v>
      </c>
      <c r="AE42" s="140" t="s">
        <v>3</v>
      </c>
      <c r="AF42" s="141">
        <v>8.8550981159494335E-2</v>
      </c>
      <c r="AG42" s="141">
        <v>0.12427174144854033</v>
      </c>
      <c r="AH42" s="154" t="s">
        <v>1</v>
      </c>
      <c r="AI42" s="144">
        <v>4.2635773025661156E-2</v>
      </c>
      <c r="AJ42" s="144">
        <v>0.74142806499557001</v>
      </c>
      <c r="AK42" s="157" t="s">
        <v>6</v>
      </c>
      <c r="AL42" s="148">
        <v>0.19303489364868062</v>
      </c>
      <c r="AM42" s="148">
        <v>0.24390588628408322</v>
      </c>
    </row>
    <row r="43" spans="2:39" ht="12.75" customHeight="1" x14ac:dyDescent="0.25">
      <c r="AA43" s="147">
        <v>7</v>
      </c>
      <c r="AB43" s="154" t="s">
        <v>10</v>
      </c>
      <c r="AC43" s="144">
        <v>0.15563756621705813</v>
      </c>
      <c r="AD43" s="151">
        <v>0.16345651867644251</v>
      </c>
      <c r="AE43" s="140" t="s">
        <v>10</v>
      </c>
      <c r="AF43" s="141">
        <v>0.1404898543639673</v>
      </c>
      <c r="AG43" s="141">
        <v>0.16345651867644251</v>
      </c>
      <c r="AH43" s="154" t="s">
        <v>7</v>
      </c>
      <c r="AI43" s="144">
        <v>7.6185424270137081E-2</v>
      </c>
      <c r="AJ43" s="144">
        <v>0.7482441503130004</v>
      </c>
      <c r="AK43" s="157" t="s">
        <v>8</v>
      </c>
      <c r="AL43" s="148">
        <v>0.28137382347094353</v>
      </c>
      <c r="AM43" s="148">
        <v>0.68217928771668013</v>
      </c>
    </row>
    <row r="44" spans="2:39" ht="12.75" customHeight="1" x14ac:dyDescent="0.25">
      <c r="AA44" s="147">
        <v>8</v>
      </c>
      <c r="AB44" s="154" t="s">
        <v>11</v>
      </c>
      <c r="AC44" s="144">
        <v>0.30720643346615872</v>
      </c>
      <c r="AD44" s="151">
        <v>0.24099269172425059</v>
      </c>
      <c r="AE44" s="140" t="s">
        <v>11</v>
      </c>
      <c r="AF44" s="141">
        <v>0.26486530011936027</v>
      </c>
      <c r="AG44" s="141">
        <v>0.24099269172425059</v>
      </c>
      <c r="AH44" s="154" t="s">
        <v>6</v>
      </c>
      <c r="AI44" s="144">
        <v>0.18981189410229665</v>
      </c>
      <c r="AJ44" s="144">
        <v>0.76442901499239835</v>
      </c>
      <c r="AK44" s="157" t="s">
        <v>3</v>
      </c>
      <c r="AL44" s="148">
        <v>0.42904096947561376</v>
      </c>
      <c r="AM44" s="148">
        <v>0.76442901499239824</v>
      </c>
    </row>
    <row r="45" spans="2:39" ht="12.75" customHeight="1" x14ac:dyDescent="0.25">
      <c r="AA45" s="147">
        <v>9</v>
      </c>
      <c r="AB45" s="154" t="s">
        <v>8</v>
      </c>
      <c r="AC45" s="144">
        <v>0.49808736370607998</v>
      </c>
      <c r="AD45" s="151">
        <v>0.67926609315684749</v>
      </c>
      <c r="AE45" s="140" t="s">
        <v>5</v>
      </c>
      <c r="AF45" s="141">
        <v>0.43265145785843007</v>
      </c>
      <c r="AG45" s="141">
        <v>0.35984272645614207</v>
      </c>
      <c r="AH45" s="154" t="s">
        <v>10</v>
      </c>
      <c r="AI45" s="144">
        <v>0.43188628237804488</v>
      </c>
      <c r="AJ45" s="144">
        <v>0.80361379222030049</v>
      </c>
      <c r="AK45" s="157" t="s">
        <v>10</v>
      </c>
      <c r="AL45" s="148">
        <v>0.583159505521051</v>
      </c>
      <c r="AM45" s="148">
        <v>0.80361379222030038</v>
      </c>
    </row>
    <row r="46" spans="2:39" ht="12.75" customHeight="1" x14ac:dyDescent="0.25">
      <c r="AA46" s="147">
        <v>10</v>
      </c>
      <c r="AB46" s="154" t="s">
        <v>5</v>
      </c>
      <c r="AC46" s="144">
        <v>0.70348588928344968</v>
      </c>
      <c r="AD46" s="151">
        <v>0.79811612788873898</v>
      </c>
      <c r="AE46" s="140" t="s">
        <v>8</v>
      </c>
      <c r="AF46" s="141">
        <v>0.64822411816596082</v>
      </c>
      <c r="AG46" s="141">
        <v>0.79811612788873898</v>
      </c>
      <c r="AH46" s="154" t="s">
        <v>11</v>
      </c>
      <c r="AI46" s="144">
        <v>0.6826176704974718</v>
      </c>
      <c r="AJ46" s="144">
        <v>0.88114996526810863</v>
      </c>
      <c r="AK46" s="157" t="s">
        <v>5</v>
      </c>
      <c r="AL46" s="148">
        <v>0.78522342619448249</v>
      </c>
      <c r="AM46" s="148">
        <v>0.92246382695219187</v>
      </c>
    </row>
    <row r="47" spans="2:39" ht="16.2" thickBot="1" x14ac:dyDescent="0.35">
      <c r="B47" s="212" t="s">
        <v>119</v>
      </c>
      <c r="C47" s="212"/>
      <c r="D47" s="212"/>
      <c r="E47" s="212"/>
      <c r="F47" s="212"/>
      <c r="G47" s="212"/>
      <c r="H47" s="212"/>
      <c r="I47" s="212"/>
      <c r="J47" s="63"/>
      <c r="AA47" s="40">
        <v>11</v>
      </c>
      <c r="AB47" s="155" t="s">
        <v>9</v>
      </c>
      <c r="AC47" s="145">
        <v>0.99999999999999978</v>
      </c>
      <c r="AD47" s="152">
        <v>1</v>
      </c>
      <c r="AE47" s="142" t="s">
        <v>9</v>
      </c>
      <c r="AF47" s="143">
        <v>1</v>
      </c>
      <c r="AG47" s="143">
        <v>1</v>
      </c>
      <c r="AH47" s="155" t="s">
        <v>5</v>
      </c>
      <c r="AI47" s="145">
        <v>1</v>
      </c>
      <c r="AJ47" s="145">
        <v>1.0000000000000002</v>
      </c>
      <c r="AK47" s="158" t="s">
        <v>11</v>
      </c>
      <c r="AL47" s="57">
        <v>0.99999999999999989</v>
      </c>
      <c r="AM47" s="57">
        <v>1</v>
      </c>
    </row>
    <row r="48" spans="2:39" ht="27" thickBot="1" x14ac:dyDescent="0.3">
      <c r="B48" s="30" t="s">
        <v>20</v>
      </c>
      <c r="C48" s="31" t="s">
        <v>43</v>
      </c>
      <c r="D48" s="31" t="s">
        <v>46</v>
      </c>
      <c r="E48" s="31" t="s">
        <v>16</v>
      </c>
      <c r="F48" s="31" t="s">
        <v>17</v>
      </c>
      <c r="G48" s="31" t="s">
        <v>18</v>
      </c>
      <c r="H48" s="31" t="s">
        <v>136</v>
      </c>
      <c r="I48" s="31" t="s">
        <v>21</v>
      </c>
      <c r="J48" s="25"/>
      <c r="K48" s="8"/>
      <c r="L48" s="8"/>
      <c r="M48" s="8"/>
      <c r="N48" s="8"/>
    </row>
    <row r="49" spans="1:10" ht="12.75" customHeight="1" x14ac:dyDescent="0.25">
      <c r="B49" s="4"/>
      <c r="C49" s="26">
        <v>0</v>
      </c>
      <c r="D49" s="26">
        <v>0</v>
      </c>
      <c r="E49" s="50">
        <f t="shared" ref="E49:E53" si="11">C49/$C$61</f>
        <v>0</v>
      </c>
      <c r="F49" s="50">
        <f t="shared" ref="F49:F53" si="12">D49/$D$61</f>
        <v>0</v>
      </c>
      <c r="G49" s="50">
        <v>0</v>
      </c>
      <c r="H49" s="51">
        <f>F49</f>
        <v>0</v>
      </c>
      <c r="I49" s="50">
        <v>0</v>
      </c>
      <c r="J49" s="28"/>
    </row>
    <row r="50" spans="1:10" ht="12.75" customHeight="1" x14ac:dyDescent="0.25">
      <c r="B50" s="21" t="s">
        <v>3</v>
      </c>
      <c r="C50" s="29">
        <v>0</v>
      </c>
      <c r="D50" s="29">
        <v>83.946549000000005</v>
      </c>
      <c r="E50" s="50">
        <f t="shared" si="11"/>
        <v>0</v>
      </c>
      <c r="F50" s="50">
        <f t="shared" si="12"/>
        <v>0.31383459282660014</v>
      </c>
      <c r="G50" s="50">
        <f t="shared" ref="G50:G60" si="13">G49+E50</f>
        <v>0</v>
      </c>
      <c r="H50" s="51">
        <f t="shared" ref="H50:H60" si="14">F50+H49</f>
        <v>0.31383459282660014</v>
      </c>
      <c r="I50" s="50">
        <f t="shared" ref="I50:I60" si="15">(G49+G50)*0.5*(H50-H49)</f>
        <v>0</v>
      </c>
      <c r="J50" s="28"/>
    </row>
    <row r="51" spans="1:10" ht="12.75" customHeight="1" x14ac:dyDescent="0.25">
      <c r="A51" s="8"/>
      <c r="B51" s="21" t="s">
        <v>8</v>
      </c>
      <c r="C51" s="29">
        <v>0</v>
      </c>
      <c r="D51" s="29">
        <v>36.982824999999998</v>
      </c>
      <c r="E51" s="50">
        <f t="shared" si="11"/>
        <v>0</v>
      </c>
      <c r="F51" s="50">
        <f t="shared" si="12"/>
        <v>0.1382604760256721</v>
      </c>
      <c r="G51" s="50">
        <f t="shared" si="13"/>
        <v>0</v>
      </c>
      <c r="H51" s="51">
        <f t="shared" si="14"/>
        <v>0.45209506885227224</v>
      </c>
      <c r="I51" s="50">
        <f t="shared" si="15"/>
        <v>0</v>
      </c>
      <c r="J51" s="28"/>
    </row>
    <row r="52" spans="1:10" ht="12.75" customHeight="1" x14ac:dyDescent="0.25">
      <c r="B52" s="21" t="s">
        <v>9</v>
      </c>
      <c r="C52" s="29">
        <v>0</v>
      </c>
      <c r="D52" s="29">
        <v>10.905776556851148</v>
      </c>
      <c r="E52" s="50">
        <f t="shared" si="11"/>
        <v>0</v>
      </c>
      <c r="F52" s="50">
        <f t="shared" si="12"/>
        <v>4.0771300142156658E-2</v>
      </c>
      <c r="G52" s="50">
        <f t="shared" si="13"/>
        <v>0</v>
      </c>
      <c r="H52" s="51">
        <f t="shared" si="14"/>
        <v>0.49286636899442893</v>
      </c>
      <c r="I52" s="50">
        <f t="shared" si="15"/>
        <v>0</v>
      </c>
      <c r="J52" s="28"/>
    </row>
    <row r="53" spans="1:10" ht="12.75" customHeight="1" x14ac:dyDescent="0.25">
      <c r="B53" s="21" t="s">
        <v>2</v>
      </c>
      <c r="C53" s="29">
        <v>1.3224981196287995</v>
      </c>
      <c r="D53" s="29">
        <v>3.8753060000000001</v>
      </c>
      <c r="E53" s="50">
        <f t="shared" si="11"/>
        <v>5.4290577913134646E-3</v>
      </c>
      <c r="F53" s="50">
        <f t="shared" si="12"/>
        <v>1.4487850841712153E-2</v>
      </c>
      <c r="G53" s="50">
        <f t="shared" si="13"/>
        <v>5.4290577913134646E-3</v>
      </c>
      <c r="H53" s="51">
        <f t="shared" si="14"/>
        <v>0.50735421983614104</v>
      </c>
      <c r="I53" s="50">
        <f t="shared" si="15"/>
        <v>3.9327689745792245E-5</v>
      </c>
      <c r="J53" s="28"/>
    </row>
    <row r="54" spans="1:10" ht="12.75" customHeight="1" x14ac:dyDescent="0.25">
      <c r="B54" s="21" t="s">
        <v>4</v>
      </c>
      <c r="C54" s="29">
        <v>1.9103503028842752</v>
      </c>
      <c r="D54" s="29">
        <v>1.2901100000000001</v>
      </c>
      <c r="E54" s="50">
        <f>C54/$C$61</f>
        <v>7.8422812418992086E-3</v>
      </c>
      <c r="F54" s="50">
        <f>D54/$D$61</f>
        <v>4.8230826802841548E-3</v>
      </c>
      <c r="G54" s="50">
        <f t="shared" si="13"/>
        <v>1.3271339033212672E-2</v>
      </c>
      <c r="H54" s="51">
        <f t="shared" si="14"/>
        <v>0.51217730251642524</v>
      </c>
      <c r="I54" s="50">
        <f t="shared" si="15"/>
        <v>4.5096780019406796E-5</v>
      </c>
      <c r="J54" s="28"/>
    </row>
    <row r="55" spans="1:10" ht="12.75" customHeight="1" x14ac:dyDescent="0.25">
      <c r="B55" s="21" t="s">
        <v>1</v>
      </c>
      <c r="C55" s="29">
        <v>7.1530660073489152</v>
      </c>
      <c r="D55" s="29">
        <v>6.169632</v>
      </c>
      <c r="E55" s="50">
        <f t="shared" ref="E55:E60" si="16">C55/$C$61</f>
        <v>2.9364433992448483E-2</v>
      </c>
      <c r="F55" s="50">
        <f t="shared" ref="F55:F60" si="17">D55/$D$61</f>
        <v>2.3065200054977395E-2</v>
      </c>
      <c r="G55" s="50">
        <f>G54+E55</f>
        <v>4.2635773025661156E-2</v>
      </c>
      <c r="H55" s="51">
        <f t="shared" si="14"/>
        <v>0.5352425025714026</v>
      </c>
      <c r="I55" s="50">
        <f t="shared" si="15"/>
        <v>6.447543620669812E-4</v>
      </c>
      <c r="J55" s="28"/>
    </row>
    <row r="56" spans="1:10" ht="12.75" customHeight="1" x14ac:dyDescent="0.25">
      <c r="B56" s="21" t="s">
        <v>7</v>
      </c>
      <c r="C56" s="29">
        <v>8.1725692358649695</v>
      </c>
      <c r="D56" s="29">
        <v>11.426439</v>
      </c>
      <c r="E56" s="50">
        <f t="shared" si="16"/>
        <v>3.3549651244475932E-2</v>
      </c>
      <c r="F56" s="50">
        <f t="shared" si="17"/>
        <v>4.2717799287055672E-2</v>
      </c>
      <c r="G56" s="50">
        <f t="shared" si="13"/>
        <v>7.6185424270137081E-2</v>
      </c>
      <c r="H56" s="51">
        <f t="shared" si="14"/>
        <v>0.57796030185845826</v>
      </c>
      <c r="I56" s="50">
        <f t="shared" si="15"/>
        <v>2.5378900285647748E-3</v>
      </c>
      <c r="J56" s="28"/>
    </row>
    <row r="57" spans="1:10" ht="12.75" customHeight="1" x14ac:dyDescent="0.25">
      <c r="B57" s="21" t="s">
        <v>6</v>
      </c>
      <c r="C57" s="29">
        <v>27.678981965070257</v>
      </c>
      <c r="D57" s="29">
        <v>19.742709999999999</v>
      </c>
      <c r="E57" s="50">
        <f t="shared" si="16"/>
        <v>0.11362646983215957</v>
      </c>
      <c r="F57" s="50">
        <f t="shared" si="17"/>
        <v>7.3808219967966118E-2</v>
      </c>
      <c r="G57" s="50">
        <f t="shared" si="13"/>
        <v>0.18981189410229665</v>
      </c>
      <c r="H57" s="51">
        <f>F57+H56</f>
        <v>0.65176852182642442</v>
      </c>
      <c r="I57" s="50">
        <f t="shared" si="15"/>
        <v>9.8163942926608582E-3</v>
      </c>
      <c r="J57" s="28"/>
    </row>
    <row r="58" spans="1:10" ht="12.75" customHeight="1" x14ac:dyDescent="0.25">
      <c r="B58" s="21" t="s">
        <v>10</v>
      </c>
      <c r="C58" s="29">
        <v>58.968413233176513</v>
      </c>
      <c r="D58" s="29">
        <v>11.996235</v>
      </c>
      <c r="E58" s="50">
        <f t="shared" si="16"/>
        <v>0.24207438827574823</v>
      </c>
      <c r="F58" s="50">
        <f>D58/$D$61</f>
        <v>4.4847984479709932E-2</v>
      </c>
      <c r="G58" s="50">
        <f t="shared" si="13"/>
        <v>0.43188628237804488</v>
      </c>
      <c r="H58" s="51">
        <f t="shared" si="14"/>
        <v>0.69661650630613436</v>
      </c>
      <c r="I58" s="50">
        <f t="shared" si="15"/>
        <v>1.3940955084927166E-2</v>
      </c>
      <c r="J58" s="28"/>
    </row>
    <row r="59" spans="1:10" ht="12.75" customHeight="1" x14ac:dyDescent="0.25">
      <c r="B59" s="21" t="s">
        <v>11</v>
      </c>
      <c r="C59" s="29">
        <v>61.077225932354281</v>
      </c>
      <c r="D59" s="29">
        <v>41.918567000000003</v>
      </c>
      <c r="E59" s="50">
        <f t="shared" si="16"/>
        <v>0.25073138811942691</v>
      </c>
      <c r="F59" s="50">
        <f t="shared" si="17"/>
        <v>0.15671277215123589</v>
      </c>
      <c r="G59" s="50">
        <f t="shared" si="13"/>
        <v>0.6826176704974718</v>
      </c>
      <c r="H59" s="51">
        <f t="shared" si="14"/>
        <v>0.85332927845737028</v>
      </c>
      <c r="I59" s="50">
        <f t="shared" si="15"/>
        <v>8.7328502014316314E-2</v>
      </c>
      <c r="J59" s="28"/>
    </row>
    <row r="60" spans="1:10" ht="12.75" customHeight="1" thickBot="1" x14ac:dyDescent="0.3">
      <c r="B60" s="22" t="s">
        <v>5</v>
      </c>
      <c r="C60" s="32">
        <v>77.313145320001027</v>
      </c>
      <c r="D60" s="32">
        <v>39.232453</v>
      </c>
      <c r="E60" s="50">
        <f t="shared" si="16"/>
        <v>0.31738232950252826</v>
      </c>
      <c r="F60" s="50">
        <f t="shared" si="17"/>
        <v>0.14667072154262978</v>
      </c>
      <c r="G60" s="52">
        <f t="shared" si="13"/>
        <v>1</v>
      </c>
      <c r="H60" s="53">
        <f t="shared" si="14"/>
        <v>1</v>
      </c>
      <c r="I60" s="52">
        <f t="shared" si="15"/>
        <v>0.12339537390612149</v>
      </c>
      <c r="J60" s="28"/>
    </row>
    <row r="61" spans="1:10" ht="12.75" customHeight="1" thickBot="1" x14ac:dyDescent="0.3">
      <c r="B61" s="35" t="s">
        <v>13</v>
      </c>
      <c r="C61" s="6">
        <f>SUM(C49:C60)</f>
        <v>243.59625011632903</v>
      </c>
      <c r="D61" s="6">
        <f t="shared" ref="D61:H61" si="18">SUM(D49:D60)</f>
        <v>267.48660255685115</v>
      </c>
      <c r="E61" s="6">
        <f t="shared" si="18"/>
        <v>1</v>
      </c>
      <c r="F61" s="6">
        <f t="shared" si="18"/>
        <v>1</v>
      </c>
      <c r="G61" s="6">
        <f t="shared" si="18"/>
        <v>2.4418374410981376</v>
      </c>
      <c r="H61" s="6">
        <f t="shared" si="18"/>
        <v>6.5932446640456579</v>
      </c>
      <c r="I61" s="111">
        <f>SUM(I49:I60)</f>
        <v>0.23774829415842277</v>
      </c>
      <c r="J61" s="28"/>
    </row>
    <row r="62" spans="1:10" ht="12.75" customHeight="1" thickBot="1" x14ac:dyDescent="0.3">
      <c r="B62" s="4"/>
      <c r="C62" s="4"/>
      <c r="D62" s="4"/>
      <c r="E62" s="51"/>
      <c r="F62" s="51"/>
      <c r="G62" s="51"/>
      <c r="H62" s="54"/>
      <c r="I62" s="54"/>
      <c r="J62" s="9"/>
    </row>
    <row r="63" spans="1:10" ht="12.75" customHeight="1" thickBot="1" x14ac:dyDescent="0.3">
      <c r="B63" s="4"/>
      <c r="C63" s="4"/>
      <c r="D63" s="4"/>
      <c r="E63" s="51"/>
      <c r="F63" s="51"/>
      <c r="G63" s="56"/>
      <c r="H63" s="57" t="s">
        <v>33</v>
      </c>
      <c r="I63" s="53">
        <f>1-(2*I61)</f>
        <v>0.5245034116831544</v>
      </c>
      <c r="J63" s="9"/>
    </row>
    <row r="64" spans="1:10" ht="12.75" customHeight="1" x14ac:dyDescent="0.25"/>
    <row r="65" spans="2:14" ht="12.75" customHeight="1" x14ac:dyDescent="0.25"/>
    <row r="66" spans="2:14" ht="12.75" customHeight="1" x14ac:dyDescent="0.25"/>
    <row r="67" spans="2:14" ht="12.75" customHeight="1" x14ac:dyDescent="0.25"/>
    <row r="68" spans="2:14" ht="16.2" thickBot="1" x14ac:dyDescent="0.35">
      <c r="B68" s="209" t="s">
        <v>113</v>
      </c>
      <c r="C68" s="209"/>
      <c r="D68" s="209"/>
      <c r="E68" s="209"/>
      <c r="F68" s="209"/>
      <c r="G68" s="209"/>
      <c r="H68" s="209"/>
      <c r="I68" s="209"/>
    </row>
    <row r="69" spans="2:14" ht="27" thickBot="1" x14ac:dyDescent="0.3">
      <c r="B69" s="36" t="s">
        <v>20</v>
      </c>
      <c r="C69" s="37" t="s">
        <v>108</v>
      </c>
      <c r="D69" s="37" t="s">
        <v>46</v>
      </c>
      <c r="E69" s="37" t="s">
        <v>106</v>
      </c>
      <c r="F69" s="37" t="s">
        <v>17</v>
      </c>
      <c r="G69" s="37" t="s">
        <v>107</v>
      </c>
      <c r="H69" s="37" t="s">
        <v>136</v>
      </c>
      <c r="I69" s="37" t="s">
        <v>21</v>
      </c>
      <c r="J69" s="8"/>
      <c r="K69" s="8"/>
      <c r="L69" s="8"/>
      <c r="M69" s="8"/>
      <c r="N69" s="8"/>
    </row>
    <row r="70" spans="2:14" ht="12.75" customHeight="1" x14ac:dyDescent="0.25">
      <c r="B70" s="4"/>
      <c r="C70" s="26">
        <v>0</v>
      </c>
      <c r="D70" s="26">
        <v>0</v>
      </c>
      <c r="E70" s="50">
        <f>C70/$C$82</f>
        <v>0</v>
      </c>
      <c r="F70" s="50">
        <v>0</v>
      </c>
      <c r="G70" s="50">
        <v>0</v>
      </c>
      <c r="H70" s="51">
        <f>F70</f>
        <v>0</v>
      </c>
      <c r="I70" s="50">
        <v>0</v>
      </c>
    </row>
    <row r="71" spans="2:14" ht="12.75" customHeight="1" x14ac:dyDescent="0.25">
      <c r="B71" s="105" t="s">
        <v>2</v>
      </c>
      <c r="C71" s="29">
        <v>1.3224981196287995</v>
      </c>
      <c r="D71" s="29">
        <v>3.8753060000000001</v>
      </c>
      <c r="E71" s="50">
        <f>C71/$C$82</f>
        <v>3.4593541506786328E-3</v>
      </c>
      <c r="F71" s="50">
        <f>D71/$D$82</f>
        <v>1.4487850841712153E-2</v>
      </c>
      <c r="G71" s="50">
        <f>G70+E71</f>
        <v>3.4593541506786328E-3</v>
      </c>
      <c r="H71" s="51">
        <f>F71+H70</f>
        <v>1.4487850841712153E-2</v>
      </c>
      <c r="I71" s="50">
        <f>(G70+G71)*0.5*(H71-H70)</f>
        <v>2.5059303471844928E-5</v>
      </c>
    </row>
    <row r="72" spans="2:14" ht="12.75" customHeight="1" x14ac:dyDescent="0.25">
      <c r="B72" s="105" t="s">
        <v>4</v>
      </c>
      <c r="C72" s="29">
        <v>1.9103503028842752</v>
      </c>
      <c r="D72" s="29">
        <v>1.2901100000000001</v>
      </c>
      <c r="E72" s="50">
        <f>C72/$C$82</f>
        <v>4.9970416981672573E-3</v>
      </c>
      <c r="F72" s="50">
        <f>D72/$D$82</f>
        <v>4.8230826802841548E-3</v>
      </c>
      <c r="G72" s="50">
        <f>G71+E72</f>
        <v>8.4563958488458896E-3</v>
      </c>
      <c r="H72" s="51">
        <f>F72+H71</f>
        <v>1.931093352199631E-2</v>
      </c>
      <c r="I72" s="50">
        <f>(G71+G72)*0.5*(H72-H71)</f>
        <v>2.8735323722651335E-5</v>
      </c>
    </row>
    <row r="73" spans="2:14" ht="12.75" customHeight="1" x14ac:dyDescent="0.25">
      <c r="B73" s="105" t="s">
        <v>1</v>
      </c>
      <c r="C73" s="29">
        <v>7.1530660073489152</v>
      </c>
      <c r="D73" s="29">
        <v>6.169632</v>
      </c>
      <c r="E73" s="50">
        <f>C73/$C$82</f>
        <v>1.8710793017646148E-2</v>
      </c>
      <c r="F73" s="50">
        <f>D73/$D$82</f>
        <v>2.3065200054977395E-2</v>
      </c>
      <c r="G73" s="50">
        <f>G72+E73</f>
        <v>2.716718886649204E-2</v>
      </c>
      <c r="H73" s="51">
        <f>F73+H72</f>
        <v>4.2376133576973701E-2</v>
      </c>
      <c r="I73" s="50">
        <f>(G72+G73)*0.5*(H73-H72)</f>
        <v>4.1083255406735208E-4</v>
      </c>
    </row>
    <row r="74" spans="2:14" ht="12.75" customHeight="1" x14ac:dyDescent="0.25">
      <c r="B74" s="105" t="s">
        <v>7</v>
      </c>
      <c r="C74" s="29">
        <v>11.97256923586497</v>
      </c>
      <c r="D74" s="29">
        <v>11.426439</v>
      </c>
      <c r="E74" s="50">
        <f>C74/$C$82</f>
        <v>3.1317516800705825E-2</v>
      </c>
      <c r="F74" s="50">
        <f>D74/$D$82</f>
        <v>4.2717799287055672E-2</v>
      </c>
      <c r="G74" s="50">
        <f>G73+E74</f>
        <v>5.8484705667197864E-2</v>
      </c>
      <c r="H74" s="51">
        <f>F74+H73</f>
        <v>8.5093932864029373E-2</v>
      </c>
      <c r="I74" s="50">
        <f>(G73+G74)*0.5*(H74-H73)</f>
        <v>1.829430219623113E-3</v>
      </c>
    </row>
    <row r="75" spans="2:14" ht="12.75" customHeight="1" x14ac:dyDescent="0.25">
      <c r="B75" s="105" t="s">
        <v>9</v>
      </c>
      <c r="C75" s="29">
        <v>23.5</v>
      </c>
      <c r="D75" s="29">
        <v>10.905776556851148</v>
      </c>
      <c r="E75" s="50">
        <f>C75/$C$82</f>
        <v>6.1470652649219498E-2</v>
      </c>
      <c r="F75" s="50">
        <f>D75/$D$82</f>
        <v>4.0771300142156658E-2</v>
      </c>
      <c r="G75" s="50">
        <f>G74+E75</f>
        <v>0.11995535831641736</v>
      </c>
      <c r="H75" s="51">
        <f>F75+H74</f>
        <v>0.12586523300618602</v>
      </c>
      <c r="I75" s="50">
        <f>(G74+G75)*0.5*(H75-H74)</f>
        <v>3.6376167030308061E-3</v>
      </c>
    </row>
    <row r="76" spans="2:14" ht="12.75" customHeight="1" x14ac:dyDescent="0.25">
      <c r="B76" s="105" t="s">
        <v>6</v>
      </c>
      <c r="C76" s="29">
        <v>27.678981965070257</v>
      </c>
      <c r="D76" s="29">
        <v>19.742709999999999</v>
      </c>
      <c r="E76" s="50">
        <f>C76/$C$82</f>
        <v>7.2401918555695513E-2</v>
      </c>
      <c r="F76" s="50">
        <f>D76/$D$82</f>
        <v>7.3808219967966118E-2</v>
      </c>
      <c r="G76" s="50">
        <f>G75+E76</f>
        <v>0.19235727687211288</v>
      </c>
      <c r="H76" s="51">
        <f>F76+H75</f>
        <v>0.19967345297415212</v>
      </c>
      <c r="I76" s="50">
        <f>(G75+G76)*0.5*(H76-H75)</f>
        <v>1.1525619838385097E-2</v>
      </c>
    </row>
    <row r="77" spans="2:14" ht="12.75" customHeight="1" x14ac:dyDescent="0.25">
      <c r="B77" s="105" t="s">
        <v>8</v>
      </c>
      <c r="C77" s="29">
        <v>33.799999999999997</v>
      </c>
      <c r="D77" s="29">
        <v>36.982824999999998</v>
      </c>
      <c r="E77" s="50">
        <f>C77/$C$82</f>
        <v>8.8413108916749736E-2</v>
      </c>
      <c r="F77" s="50">
        <f>D77/$D$82</f>
        <v>0.1382604760256721</v>
      </c>
      <c r="G77" s="50">
        <f>G76+E77</f>
        <v>0.2807703857888626</v>
      </c>
      <c r="H77" s="51">
        <f>F77+H76</f>
        <v>0.33793392899982422</v>
      </c>
      <c r="I77" s="50">
        <f>(G76+G77)*0.5*(H77-H76)</f>
        <v>3.2707427930210038E-2</v>
      </c>
    </row>
    <row r="78" spans="2:14" ht="12.75" customHeight="1" x14ac:dyDescent="0.25">
      <c r="B78" s="105" t="s">
        <v>3</v>
      </c>
      <c r="C78" s="29">
        <v>56.5</v>
      </c>
      <c r="D78" s="29">
        <v>83.946549000000005</v>
      </c>
      <c r="E78" s="50">
        <f>C78/$C$82</f>
        <v>0.14779114360344262</v>
      </c>
      <c r="F78" s="50">
        <f>D78/$D$82</f>
        <v>0.31383459282660014</v>
      </c>
      <c r="G78" s="50">
        <f>G77+E78</f>
        <v>0.42856152939230518</v>
      </c>
      <c r="H78" s="51">
        <f>F78+H77</f>
        <v>0.65176852182642442</v>
      </c>
      <c r="I78" s="50">
        <f>(G77+G78)*0.5*(H78-H77)</f>
        <v>0.11130644638989715</v>
      </c>
    </row>
    <row r="79" spans="2:14" ht="12.75" customHeight="1" x14ac:dyDescent="0.25">
      <c r="B79" s="105" t="s">
        <v>10</v>
      </c>
      <c r="C79" s="29">
        <v>58.968413233176513</v>
      </c>
      <c r="D79" s="29">
        <v>11.996235</v>
      </c>
      <c r="E79" s="50">
        <f>C79/$C$82</f>
        <v>0.15424795094179711</v>
      </c>
      <c r="F79" s="50">
        <f>D79/$D$82</f>
        <v>4.4847984479709932E-2</v>
      </c>
      <c r="G79" s="50">
        <f>G78+E79</f>
        <v>0.58280948033410229</v>
      </c>
      <c r="H79" s="51">
        <f>F79+H78</f>
        <v>0.69661650630613436</v>
      </c>
      <c r="I79" s="50">
        <f>(G78+G79)*0.5*(H79-H78)</f>
        <v>2.2678975673719251E-2</v>
      </c>
    </row>
    <row r="80" spans="2:14" ht="12.75" customHeight="1" x14ac:dyDescent="0.25">
      <c r="B80" s="105" t="s">
        <v>5</v>
      </c>
      <c r="C80" s="29">
        <v>77.313145320001027</v>
      </c>
      <c r="D80" s="29">
        <v>39.232453</v>
      </c>
      <c r="E80" s="50">
        <f>C80/$C$82</f>
        <v>0.20223359579508141</v>
      </c>
      <c r="F80" s="50">
        <f>D80/$D$82</f>
        <v>0.14667072154262978</v>
      </c>
      <c r="G80" s="50">
        <f>G79+E80</f>
        <v>0.78504307612918367</v>
      </c>
      <c r="H80" s="51">
        <f>F80+H79</f>
        <v>0.8432872278487642</v>
      </c>
      <c r="I80" s="50">
        <f>(G79+G80)*0.5*(H80-H79)</f>
        <v>0.10031196071020049</v>
      </c>
    </row>
    <row r="81" spans="1:14" ht="12.75" customHeight="1" thickBot="1" x14ac:dyDescent="0.3">
      <c r="B81" s="220" t="s">
        <v>11</v>
      </c>
      <c r="C81" s="32">
        <v>82.177225932354276</v>
      </c>
      <c r="D81" s="32">
        <v>41.918567000000003</v>
      </c>
      <c r="E81" s="52">
        <f>C81/$C$82</f>
        <v>0.21495692387081627</v>
      </c>
      <c r="F81" s="52">
        <f>D81/$D$82</f>
        <v>0.15671277215123589</v>
      </c>
      <c r="G81" s="52">
        <f>G80+E81</f>
        <v>1</v>
      </c>
      <c r="H81" s="53">
        <f>F81+H80</f>
        <v>1</v>
      </c>
      <c r="I81" s="52">
        <f>(G80+G81)*0.5*(H81-H80)</f>
        <v>0.13986952443478692</v>
      </c>
    </row>
    <row r="82" spans="1:14" ht="12.75" customHeight="1" thickBot="1" x14ac:dyDescent="0.3">
      <c r="B82" s="38" t="s">
        <v>13</v>
      </c>
      <c r="C82" s="32">
        <f>SUM(C70:C81)</f>
        <v>382.29625011632902</v>
      </c>
      <c r="D82" s="32">
        <f>SUM(D70:D81)</f>
        <v>267.48660255685115</v>
      </c>
      <c r="E82" s="52">
        <f>SUM(E71:E81)</f>
        <v>1</v>
      </c>
      <c r="F82" s="52">
        <f>SUM(F71:F81)</f>
        <v>1</v>
      </c>
      <c r="G82" s="53"/>
      <c r="H82" s="53"/>
      <c r="I82" s="52">
        <f>SUM(I70:I81)</f>
        <v>0.42433162908111466</v>
      </c>
    </row>
    <row r="83" spans="1:14" ht="12.75" customHeight="1" thickBot="1" x14ac:dyDescent="0.3">
      <c r="B83" s="48"/>
      <c r="C83" s="29"/>
      <c r="D83" s="29"/>
      <c r="E83" s="26"/>
      <c r="F83" s="27"/>
      <c r="G83" s="4"/>
      <c r="H83" s="40"/>
      <c r="I83" s="34"/>
    </row>
    <row r="84" spans="1:14" ht="12.75" customHeight="1" thickBot="1" x14ac:dyDescent="0.3">
      <c r="B84" s="4"/>
      <c r="C84" s="4"/>
      <c r="D84" s="4"/>
      <c r="E84" s="4"/>
      <c r="F84" s="4"/>
      <c r="G84" s="5"/>
      <c r="H84" s="49" t="s">
        <v>42</v>
      </c>
      <c r="I84" s="62">
        <f>1-(2*I82)</f>
        <v>0.15133674183777068</v>
      </c>
    </row>
    <row r="85" spans="1:14" ht="12.75" customHeight="1" x14ac:dyDescent="0.25">
      <c r="B85" s="4"/>
      <c r="C85" s="4"/>
      <c r="D85" s="4"/>
      <c r="E85" s="4"/>
      <c r="F85" s="4"/>
      <c r="G85" s="5"/>
      <c r="H85" s="112"/>
      <c r="I85" s="113"/>
    </row>
    <row r="86" spans="1:14" ht="12.75" customHeight="1" x14ac:dyDescent="0.25">
      <c r="B86" s="4"/>
      <c r="C86" s="4"/>
      <c r="D86" s="4"/>
      <c r="E86" s="4"/>
      <c r="F86" s="4"/>
      <c r="G86" s="5"/>
      <c r="H86" s="112"/>
      <c r="I86" s="113"/>
    </row>
    <row r="87" spans="1:14" ht="12.75" customHeight="1" x14ac:dyDescent="0.25"/>
    <row r="88" spans="1:14" ht="12.75" customHeight="1" x14ac:dyDescent="0.25"/>
    <row r="89" spans="1:14" ht="23.55" customHeight="1" x14ac:dyDescent="0.25">
      <c r="A89" s="211" t="s">
        <v>133</v>
      </c>
      <c r="B89" s="211"/>
      <c r="C89" s="211"/>
      <c r="D89" s="211"/>
      <c r="E89" s="211"/>
      <c r="F89" s="211"/>
    </row>
    <row r="90" spans="1:14" ht="12.75" customHeight="1" x14ac:dyDescent="0.25">
      <c r="D90" s="1"/>
    </row>
    <row r="91" spans="1:14" ht="12.75" customHeight="1" x14ac:dyDescent="0.25"/>
    <row r="92" spans="1:14" ht="16.2" thickBot="1" x14ac:dyDescent="0.35">
      <c r="B92" s="209" t="s">
        <v>114</v>
      </c>
      <c r="C92" s="209"/>
      <c r="D92" s="209"/>
      <c r="E92" s="209"/>
      <c r="F92" s="209"/>
      <c r="G92" s="209"/>
      <c r="H92" s="209"/>
      <c r="I92" s="209"/>
    </row>
    <row r="93" spans="1:14" ht="27" thickBot="1" x14ac:dyDescent="0.3">
      <c r="A93" s="8"/>
      <c r="B93" s="36" t="s">
        <v>20</v>
      </c>
      <c r="C93" s="37" t="s">
        <v>47</v>
      </c>
      <c r="D93" s="37" t="s">
        <v>49</v>
      </c>
      <c r="E93" s="37" t="s">
        <v>30</v>
      </c>
      <c r="F93" s="37" t="s">
        <v>22</v>
      </c>
      <c r="G93" s="37" t="s">
        <v>31</v>
      </c>
      <c r="H93" s="37" t="s">
        <v>137</v>
      </c>
      <c r="I93" s="37" t="s">
        <v>21</v>
      </c>
      <c r="J93" s="8"/>
      <c r="K93" s="8"/>
      <c r="L93" s="8"/>
      <c r="M93" s="8"/>
      <c r="N93" s="8"/>
    </row>
    <row r="94" spans="1:14" ht="12.75" customHeight="1" x14ac:dyDescent="0.25">
      <c r="B94" s="4"/>
      <c r="C94" s="26">
        <v>0</v>
      </c>
      <c r="D94" s="26">
        <v>0</v>
      </c>
      <c r="E94" s="50">
        <v>0</v>
      </c>
      <c r="F94" s="50">
        <v>0</v>
      </c>
      <c r="G94" s="50">
        <v>0</v>
      </c>
      <c r="H94" s="51">
        <f>F94</f>
        <v>0</v>
      </c>
      <c r="I94" s="50">
        <v>0</v>
      </c>
    </row>
    <row r="95" spans="1:14" ht="12.75" customHeight="1" x14ac:dyDescent="0.25">
      <c r="B95" s="21" t="s">
        <v>3</v>
      </c>
      <c r="C95" s="29">
        <v>4.4920799454716969</v>
      </c>
      <c r="D95" s="29">
        <v>33738.127951375733</v>
      </c>
      <c r="E95" s="50">
        <f t="shared" ref="E95:E105" si="19">C95/$C$106</f>
        <v>2.0572122059260146E-3</v>
      </c>
      <c r="F95" s="50">
        <f t="shared" ref="F95:F105" si="20">D95/$D$106</f>
        <v>6.1580410728501248E-2</v>
      </c>
      <c r="G95" s="50">
        <f t="shared" ref="G95:G105" si="21">G94+E95</f>
        <v>2.0572122059260146E-3</v>
      </c>
      <c r="H95" s="51">
        <f t="shared" ref="H95:H105" si="22">F95+H94</f>
        <v>6.1580410728501248E-2</v>
      </c>
      <c r="I95" s="50">
        <f t="shared" ref="I95:I105" si="23">(G94+G95)*0.5*(H95-H94)</f>
        <v>6.3341986298305034E-5</v>
      </c>
    </row>
    <row r="96" spans="1:14" ht="12.75" customHeight="1" x14ac:dyDescent="0.25">
      <c r="B96" s="21" t="s">
        <v>4</v>
      </c>
      <c r="C96" s="29">
        <v>14.349918475935281</v>
      </c>
      <c r="D96" s="29">
        <v>4739.5256339269945</v>
      </c>
      <c r="E96" s="50">
        <f t="shared" si="19"/>
        <v>6.5717502362121075E-3</v>
      </c>
      <c r="F96" s="50">
        <f t="shared" si="20"/>
        <v>8.6508040877704764E-3</v>
      </c>
      <c r="G96" s="50">
        <f t="shared" si="21"/>
        <v>8.6289624421381217E-3</v>
      </c>
      <c r="H96" s="51">
        <f t="shared" si="22"/>
        <v>7.0231214816271731E-2</v>
      </c>
      <c r="I96" s="50">
        <f t="shared" si="23"/>
        <v>4.6222001664051267E-5</v>
      </c>
    </row>
    <row r="97" spans="2:9" ht="12.75" customHeight="1" x14ac:dyDescent="0.25">
      <c r="B97" s="21" t="s">
        <v>1</v>
      </c>
      <c r="C97" s="29">
        <v>19.81100613627877</v>
      </c>
      <c r="D97" s="29">
        <v>7498.2226388555227</v>
      </c>
      <c r="E97" s="50">
        <f t="shared" si="19"/>
        <v>9.07273337294719E-3</v>
      </c>
      <c r="F97" s="50">
        <f t="shared" si="20"/>
        <v>1.3686107021111144E-2</v>
      </c>
      <c r="G97" s="50">
        <f t="shared" si="21"/>
        <v>1.7701695815085312E-2</v>
      </c>
      <c r="H97" s="51">
        <f t="shared" si="22"/>
        <v>8.3917321837382874E-2</v>
      </c>
      <c r="I97" s="50">
        <f t="shared" si="23"/>
        <v>1.8018210342233187E-4</v>
      </c>
    </row>
    <row r="98" spans="2:9" ht="12.75" customHeight="1" x14ac:dyDescent="0.25">
      <c r="B98" s="21" t="s">
        <v>2</v>
      </c>
      <c r="C98" s="29">
        <v>27.244562190582403</v>
      </c>
      <c r="D98" s="29">
        <v>4549.0211045835586</v>
      </c>
      <c r="E98" s="50">
        <f t="shared" si="19"/>
        <v>1.2477036598619828E-2</v>
      </c>
      <c r="F98" s="50">
        <f t="shared" si="20"/>
        <v>8.3030863015460567E-3</v>
      </c>
      <c r="G98" s="50">
        <f t="shared" si="21"/>
        <v>3.0178732413705139E-2</v>
      </c>
      <c r="H98" s="51">
        <f t="shared" si="22"/>
        <v>9.2220408138928928E-2</v>
      </c>
      <c r="I98" s="50">
        <f t="shared" si="23"/>
        <v>1.9877766386931447E-4</v>
      </c>
    </row>
    <row r="99" spans="2:9" ht="12.75" customHeight="1" x14ac:dyDescent="0.25">
      <c r="B99" s="21" t="s">
        <v>7</v>
      </c>
      <c r="C99" s="29">
        <v>27.762864026902566</v>
      </c>
      <c r="D99" s="29">
        <v>12709.055149886017</v>
      </c>
      <c r="E99" s="50">
        <f t="shared" si="19"/>
        <v>1.2714400331450664E-2</v>
      </c>
      <c r="F99" s="50">
        <f t="shared" si="20"/>
        <v>2.3197162487174745E-2</v>
      </c>
      <c r="G99" s="50">
        <f t="shared" si="21"/>
        <v>4.2893132745155806E-2</v>
      </c>
      <c r="H99" s="51">
        <f t="shared" si="22"/>
        <v>0.11541757062610367</v>
      </c>
      <c r="I99" s="50">
        <f t="shared" si="23"/>
        <v>8.4752996466550988E-4</v>
      </c>
    </row>
    <row r="100" spans="2:9" ht="12.75" customHeight="1" x14ac:dyDescent="0.25">
      <c r="B100" s="21" t="s">
        <v>6</v>
      </c>
      <c r="C100" s="29">
        <v>83.428364274259323</v>
      </c>
      <c r="D100" s="29">
        <v>34543.134541376516</v>
      </c>
      <c r="E100" s="50">
        <f t="shared" si="19"/>
        <v>3.8207211667829283E-2</v>
      </c>
      <c r="F100" s="50">
        <f t="shared" si="20"/>
        <v>6.3049746446323052E-2</v>
      </c>
      <c r="G100" s="50">
        <f t="shared" si="21"/>
        <v>8.1100344412985081E-2</v>
      </c>
      <c r="H100" s="51">
        <f t="shared" si="22"/>
        <v>0.17846731707242672</v>
      </c>
      <c r="I100" s="50">
        <f t="shared" si="23"/>
        <v>3.9088786479093661E-3</v>
      </c>
    </row>
    <row r="101" spans="2:9" ht="12.75" customHeight="1" x14ac:dyDescent="0.25">
      <c r="B101" s="21" t="s">
        <v>10</v>
      </c>
      <c r="C101" s="29">
        <v>162.7577156565315</v>
      </c>
      <c r="D101" s="29">
        <v>43226.930239887697</v>
      </c>
      <c r="E101" s="50">
        <f t="shared" si="19"/>
        <v>7.4537221804073045E-2</v>
      </c>
      <c r="F101" s="50">
        <f t="shared" si="20"/>
        <v>7.8899816923481969E-2</v>
      </c>
      <c r="G101" s="50">
        <f t="shared" si="21"/>
        <v>0.15563756621705813</v>
      </c>
      <c r="H101" s="51">
        <f t="shared" si="22"/>
        <v>0.25736713399590871</v>
      </c>
      <c r="I101" s="50">
        <f t="shared" si="23"/>
        <v>9.339288903779025E-3</v>
      </c>
    </row>
    <row r="102" spans="2:9" ht="12.75" customHeight="1" x14ac:dyDescent="0.25">
      <c r="B102" s="21" t="s">
        <v>11</v>
      </c>
      <c r="C102" s="29">
        <v>330.96219581347026</v>
      </c>
      <c r="D102" s="29">
        <v>69411.089457609574</v>
      </c>
      <c r="E102" s="50">
        <f t="shared" si="19"/>
        <v>0.15156886724910063</v>
      </c>
      <c r="F102" s="50">
        <f t="shared" si="20"/>
        <v>0.12669237024865945</v>
      </c>
      <c r="G102" s="50">
        <f t="shared" si="21"/>
        <v>0.30720643346615872</v>
      </c>
      <c r="H102" s="51">
        <f t="shared" si="22"/>
        <v>0.38405950424456814</v>
      </c>
      <c r="I102" s="50">
        <f t="shared" si="23"/>
        <v>2.9319401687618259E-2</v>
      </c>
    </row>
    <row r="103" spans="2:9" ht="12.75" customHeight="1" x14ac:dyDescent="0.25">
      <c r="B103" s="21" t="s">
        <v>8</v>
      </c>
      <c r="C103" s="29">
        <v>416.80308732067164</v>
      </c>
      <c r="D103" s="29">
        <v>179268.67227891536</v>
      </c>
      <c r="E103" s="50">
        <f t="shared" si="19"/>
        <v>0.19088093023992125</v>
      </c>
      <c r="F103" s="50">
        <f t="shared" si="20"/>
        <v>0.327209573856588</v>
      </c>
      <c r="G103" s="50">
        <f t="shared" si="21"/>
        <v>0.49808736370607998</v>
      </c>
      <c r="H103" s="51">
        <f t="shared" si="22"/>
        <v>0.71126907810115614</v>
      </c>
      <c r="I103" s="50">
        <f t="shared" si="23"/>
        <v>0.13174992010104092</v>
      </c>
    </row>
    <row r="104" spans="2:9" ht="12.75" customHeight="1" x14ac:dyDescent="0.25">
      <c r="B104" s="21" t="s">
        <v>5</v>
      </c>
      <c r="C104" s="29">
        <v>448.50336533961865</v>
      </c>
      <c r="D104" s="29">
        <v>149774.72401466093</v>
      </c>
      <c r="E104" s="50">
        <f t="shared" si="19"/>
        <v>0.20539852557736976</v>
      </c>
      <c r="F104" s="50">
        <f t="shared" si="20"/>
        <v>0.273375838602054</v>
      </c>
      <c r="G104" s="50">
        <f t="shared" si="21"/>
        <v>0.70348588928344968</v>
      </c>
      <c r="H104" s="51">
        <f t="shared" si="22"/>
        <v>0.98464491670321008</v>
      </c>
      <c r="I104" s="50">
        <f t="shared" si="23"/>
        <v>0.16424054783890529</v>
      </c>
    </row>
    <row r="105" spans="2:9" ht="12.75" customHeight="1" thickBot="1" x14ac:dyDescent="0.3">
      <c r="B105" s="22" t="s">
        <v>9</v>
      </c>
      <c r="C105" s="32">
        <v>647.46120330334657</v>
      </c>
      <c r="D105" s="32">
        <v>8412.6065227973904</v>
      </c>
      <c r="E105" s="52">
        <f t="shared" si="19"/>
        <v>0.29651411071655015</v>
      </c>
      <c r="F105" s="52">
        <f t="shared" si="20"/>
        <v>1.5355083296789959E-2</v>
      </c>
      <c r="G105" s="52">
        <f t="shared" si="21"/>
        <v>0.99999999999999978</v>
      </c>
      <c r="H105" s="53">
        <f t="shared" si="22"/>
        <v>1</v>
      </c>
      <c r="I105" s="52">
        <f t="shared" si="23"/>
        <v>1.3078583862426807E-2</v>
      </c>
    </row>
    <row r="106" spans="2:9" ht="12.75" customHeight="1" thickBot="1" x14ac:dyDescent="0.3">
      <c r="B106" s="38" t="s">
        <v>13</v>
      </c>
      <c r="C106" s="32">
        <f>SUM(C95:C105)</f>
        <v>2183.5763624830688</v>
      </c>
      <c r="D106" s="32">
        <f>SUM(D94:D105)</f>
        <v>547871.10953387525</v>
      </c>
      <c r="E106" s="39">
        <f>SUM(E95:E105)</f>
        <v>0.99999999999999978</v>
      </c>
      <c r="F106" s="33">
        <f>SUM(F95:F105)</f>
        <v>1</v>
      </c>
      <c r="G106" s="40"/>
      <c r="H106" s="40"/>
      <c r="I106" s="52">
        <f>SUM(I94:I105)</f>
        <v>0.35297267476159921</v>
      </c>
    </row>
    <row r="107" spans="2:9" ht="12.75" customHeight="1" thickBot="1" x14ac:dyDescent="0.3">
      <c r="B107" s="4"/>
      <c r="C107" s="4"/>
      <c r="D107" s="4"/>
      <c r="E107" s="4"/>
      <c r="F107" s="4"/>
      <c r="G107" s="4"/>
      <c r="H107" s="7"/>
      <c r="I107" s="54"/>
    </row>
    <row r="108" spans="2:9" ht="12.75" customHeight="1" thickBot="1" x14ac:dyDescent="0.3">
      <c r="B108" s="4"/>
      <c r="C108" s="4"/>
      <c r="D108" s="4"/>
      <c r="E108" s="4"/>
      <c r="F108" s="4"/>
      <c r="G108" s="5"/>
      <c r="H108" s="24" t="s">
        <v>33</v>
      </c>
      <c r="I108" s="53">
        <f>1-(2*I106)</f>
        <v>0.29405465047680157</v>
      </c>
    </row>
    <row r="109" spans="2:9" ht="12.75" customHeight="1" x14ac:dyDescent="0.25"/>
    <row r="110" spans="2:9" ht="12.75" customHeight="1" x14ac:dyDescent="0.25"/>
    <row r="111" spans="2:9" ht="12.75" customHeight="1" x14ac:dyDescent="0.25"/>
    <row r="112" spans="2:9" ht="12.75" customHeight="1" x14ac:dyDescent="0.25"/>
    <row r="113" spans="1:14" ht="16.2" thickBot="1" x14ac:dyDescent="0.35">
      <c r="B113" s="209" t="s">
        <v>115</v>
      </c>
      <c r="C113" s="209"/>
      <c r="D113" s="209"/>
      <c r="E113" s="209"/>
      <c r="F113" s="209"/>
      <c r="G113" s="209"/>
      <c r="H113" s="209"/>
      <c r="I113" s="209"/>
    </row>
    <row r="114" spans="1:14" ht="27" thickBot="1" x14ac:dyDescent="0.3">
      <c r="A114" s="8"/>
      <c r="B114" s="30" t="s">
        <v>20</v>
      </c>
      <c r="C114" s="31" t="s">
        <v>48</v>
      </c>
      <c r="D114" s="31" t="s">
        <v>49</v>
      </c>
      <c r="E114" s="31" t="s">
        <v>35</v>
      </c>
      <c r="F114" s="31" t="s">
        <v>22</v>
      </c>
      <c r="G114" s="31" t="s">
        <v>36</v>
      </c>
      <c r="H114" s="31" t="s">
        <v>137</v>
      </c>
      <c r="I114" s="31" t="s">
        <v>21</v>
      </c>
      <c r="J114" s="8"/>
      <c r="K114" s="8"/>
      <c r="L114" s="8"/>
      <c r="M114" s="8"/>
      <c r="N114" s="8"/>
    </row>
    <row r="115" spans="1:14" ht="12.75" customHeight="1" x14ac:dyDescent="0.25">
      <c r="B115" s="4"/>
      <c r="C115" s="26">
        <v>0</v>
      </c>
      <c r="D115" s="26">
        <v>0</v>
      </c>
      <c r="E115" s="50">
        <f t="shared" ref="E115:E126" si="24">C115/$C$127</f>
        <v>0</v>
      </c>
      <c r="F115" s="50">
        <v>0</v>
      </c>
      <c r="G115" s="50">
        <v>0</v>
      </c>
      <c r="H115" s="51">
        <f>F115</f>
        <v>0</v>
      </c>
      <c r="I115" s="50">
        <v>0</v>
      </c>
    </row>
    <row r="116" spans="1:14" ht="12.75" customHeight="1" x14ac:dyDescent="0.25">
      <c r="B116" s="21" t="s">
        <v>4</v>
      </c>
      <c r="C116" s="29">
        <v>12.495254145281351</v>
      </c>
      <c r="D116" s="29">
        <v>4739.5256339269945</v>
      </c>
      <c r="E116" s="50">
        <f t="shared" si="24"/>
        <v>5.6387986055587242E-3</v>
      </c>
      <c r="F116" s="50">
        <f>D116/$D$127</f>
        <v>8.6508040877704764E-3</v>
      </c>
      <c r="G116" s="50">
        <f t="shared" ref="G116:G126" si="25">G115+E116</f>
        <v>5.6387986055587242E-3</v>
      </c>
      <c r="H116" s="51">
        <f t="shared" ref="H116:H126" si="26">F116+H115</f>
        <v>8.6508040877704764E-3</v>
      </c>
      <c r="I116" s="50">
        <f t="shared" ref="I116:I126" si="27">(G115+G116)*0.5*(H116-H115)</f>
        <v>2.4390071013540936E-5</v>
      </c>
    </row>
    <row r="117" spans="1:14" ht="12.75" customHeight="1" x14ac:dyDescent="0.25">
      <c r="B117" s="21" t="s">
        <v>1</v>
      </c>
      <c r="C117" s="29">
        <v>12.678271607557253</v>
      </c>
      <c r="D117" s="29">
        <v>7498.2226388555227</v>
      </c>
      <c r="E117" s="50">
        <f t="shared" si="24"/>
        <v>5.7213898517290938E-3</v>
      </c>
      <c r="F117" s="50">
        <f t="shared" ref="F117:F126" si="28">D117/$D$127</f>
        <v>1.3686107021111144E-2</v>
      </c>
      <c r="G117" s="50">
        <f t="shared" si="25"/>
        <v>1.1360188457287819E-2</v>
      </c>
      <c r="H117" s="51">
        <f t="shared" si="26"/>
        <v>2.233691110888162E-2</v>
      </c>
      <c r="I117" s="50">
        <f t="shared" si="27"/>
        <v>1.1632497809630079E-4</v>
      </c>
    </row>
    <row r="118" spans="1:14" ht="12.75" customHeight="1" x14ac:dyDescent="0.25">
      <c r="B118" s="21" t="s">
        <v>7</v>
      </c>
      <c r="C118" s="29">
        <v>19.681066838943018</v>
      </c>
      <c r="D118" s="29">
        <v>12709.055149886017</v>
      </c>
      <c r="E118" s="50">
        <f t="shared" si="24"/>
        <v>8.8815778340330109E-3</v>
      </c>
      <c r="F118" s="50">
        <f t="shared" si="28"/>
        <v>2.3197162487174745E-2</v>
      </c>
      <c r="G118" s="50">
        <f t="shared" si="25"/>
        <v>2.024176629132083E-2</v>
      </c>
      <c r="H118" s="51">
        <f t="shared" si="26"/>
        <v>4.5534073596056365E-2</v>
      </c>
      <c r="I118" s="50">
        <f t="shared" si="27"/>
        <v>3.6653783960790919E-4</v>
      </c>
    </row>
    <row r="119" spans="1:14" ht="12.75" customHeight="1" x14ac:dyDescent="0.25">
      <c r="B119" s="21" t="s">
        <v>2</v>
      </c>
      <c r="C119" s="29">
        <v>26.084130370190923</v>
      </c>
      <c r="D119" s="29">
        <v>4549.0211045835586</v>
      </c>
      <c r="E119" s="50">
        <f t="shared" si="24"/>
        <v>1.1771121759391212E-2</v>
      </c>
      <c r="F119" s="50">
        <f t="shared" si="28"/>
        <v>8.3030863015460567E-3</v>
      </c>
      <c r="G119" s="50">
        <f t="shared" si="25"/>
        <v>3.2012888050712042E-2</v>
      </c>
      <c r="H119" s="51">
        <f t="shared" si="26"/>
        <v>5.3837159897602418E-2</v>
      </c>
      <c r="I119" s="50">
        <f t="shared" si="27"/>
        <v>2.1693745232967857E-4</v>
      </c>
    </row>
    <row r="120" spans="1:14" ht="12.75" customHeight="1" x14ac:dyDescent="0.25">
      <c r="B120" s="21" t="s">
        <v>6</v>
      </c>
      <c r="C120" s="29">
        <v>57.060380284925856</v>
      </c>
      <c r="D120" s="29">
        <v>34543.134541376516</v>
      </c>
      <c r="E120" s="50">
        <f t="shared" si="24"/>
        <v>2.5749935859031358E-2</v>
      </c>
      <c r="F120" s="50">
        <f t="shared" si="28"/>
        <v>6.3049746446323052E-2</v>
      </c>
      <c r="G120" s="50">
        <f t="shared" si="25"/>
        <v>5.7762823909743397E-2</v>
      </c>
      <c r="H120" s="51">
        <f t="shared" si="26"/>
        <v>0.11688690634392547</v>
      </c>
      <c r="I120" s="50">
        <f t="shared" si="27"/>
        <v>2.8301679380724237E-3</v>
      </c>
    </row>
    <row r="121" spans="1:14" ht="12.75" customHeight="1" x14ac:dyDescent="0.25">
      <c r="B121" s="21" t="s">
        <v>3</v>
      </c>
      <c r="C121" s="29">
        <v>68.224789784349042</v>
      </c>
      <c r="D121" s="29">
        <v>33738.127951375733</v>
      </c>
      <c r="E121" s="50">
        <f t="shared" si="24"/>
        <v>3.0788157249750939E-2</v>
      </c>
      <c r="F121" s="50">
        <f t="shared" si="28"/>
        <v>6.1580410728501248E-2</v>
      </c>
      <c r="G121" s="50">
        <f t="shared" si="25"/>
        <v>8.8550981159494335E-2</v>
      </c>
      <c r="H121" s="51">
        <f t="shared" si="26"/>
        <v>0.17846731707242672</v>
      </c>
      <c r="I121" s="50">
        <f t="shared" si="27"/>
        <v>4.5050321057067645E-3</v>
      </c>
    </row>
    <row r="122" spans="1:14" ht="12.75" customHeight="1" x14ac:dyDescent="0.25">
      <c r="B122" s="21" t="s">
        <v>10</v>
      </c>
      <c r="C122" s="29">
        <v>115.09356267302397</v>
      </c>
      <c r="D122" s="29">
        <v>43226.930239887697</v>
      </c>
      <c r="E122" s="50">
        <f t="shared" si="24"/>
        <v>5.1938873204472963E-2</v>
      </c>
      <c r="F122" s="50">
        <f>D122/$D$127</f>
        <v>7.8899816923481969E-2</v>
      </c>
      <c r="G122" s="50">
        <f t="shared" si="25"/>
        <v>0.1404898543639673</v>
      </c>
      <c r="H122" s="51">
        <f t="shared" si="26"/>
        <v>0.25736713399590871</v>
      </c>
      <c r="I122" s="50">
        <f t="shared" si="27"/>
        <v>9.035639995401237E-3</v>
      </c>
    </row>
    <row r="123" spans="1:14" ht="12.75" customHeight="1" x14ac:dyDescent="0.25">
      <c r="B123" s="21" t="s">
        <v>11</v>
      </c>
      <c r="C123" s="29">
        <v>275.60885090207972</v>
      </c>
      <c r="D123" s="29">
        <v>69411.089457609574</v>
      </c>
      <c r="E123" s="50">
        <f t="shared" si="24"/>
        <v>0.12437544575539296</v>
      </c>
      <c r="F123" s="50">
        <f t="shared" si="28"/>
        <v>0.12669237024865945</v>
      </c>
      <c r="G123" s="50">
        <f t="shared" si="25"/>
        <v>0.26486530011936027</v>
      </c>
      <c r="H123" s="51">
        <f t="shared" si="26"/>
        <v>0.38405950424456814</v>
      </c>
      <c r="I123" s="50">
        <f t="shared" si="27"/>
        <v>2.567770265700214E-2</v>
      </c>
    </row>
    <row r="124" spans="1:14" ht="12.75" customHeight="1" x14ac:dyDescent="0.25">
      <c r="B124" s="21" t="s">
        <v>5</v>
      </c>
      <c r="C124" s="29">
        <v>371.80449767139828</v>
      </c>
      <c r="D124" s="29">
        <v>149774.72401466093</v>
      </c>
      <c r="E124" s="50">
        <f>C124/$C$127</f>
        <v>0.16778615773906982</v>
      </c>
      <c r="F124" s="50">
        <f t="shared" si="28"/>
        <v>0.273375838602054</v>
      </c>
      <c r="G124" s="50">
        <f t="shared" si="25"/>
        <v>0.43265145785843007</v>
      </c>
      <c r="H124" s="51">
        <f t="shared" si="26"/>
        <v>0.65743534284662219</v>
      </c>
      <c r="I124" s="50">
        <f t="shared" si="27"/>
        <v>9.5342114325582206E-2</v>
      </c>
    </row>
    <row r="125" spans="1:14" ht="12.75" customHeight="1" x14ac:dyDescent="0.25">
      <c r="B125" s="21" t="s">
        <v>8</v>
      </c>
      <c r="C125" s="29">
        <v>477.69664528568518</v>
      </c>
      <c r="D125" s="29">
        <v>179268.67227891536</v>
      </c>
      <c r="E125" s="50">
        <f>C125/$C$127</f>
        <v>0.21557266030753078</v>
      </c>
      <c r="F125" s="50">
        <f t="shared" si="28"/>
        <v>0.327209573856588</v>
      </c>
      <c r="G125" s="50">
        <f t="shared" si="25"/>
        <v>0.64822411816596082</v>
      </c>
      <c r="H125" s="51">
        <f t="shared" si="26"/>
        <v>0.98464491670321019</v>
      </c>
      <c r="I125" s="50">
        <f t="shared" si="27"/>
        <v>0.17683641831146751</v>
      </c>
    </row>
    <row r="126" spans="1:14" ht="12.75" customHeight="1" thickBot="1" x14ac:dyDescent="0.3">
      <c r="B126" s="22" t="s">
        <v>9</v>
      </c>
      <c r="C126" s="32">
        <v>779.51516859702542</v>
      </c>
      <c r="D126" s="32">
        <v>8412.6065227973904</v>
      </c>
      <c r="E126" s="52">
        <f t="shared" si="24"/>
        <v>0.35177588183403924</v>
      </c>
      <c r="F126" s="52">
        <f t="shared" si="28"/>
        <v>1.5355083296789959E-2</v>
      </c>
      <c r="G126" s="52">
        <f t="shared" si="25"/>
        <v>1</v>
      </c>
      <c r="H126" s="53">
        <f t="shared" si="26"/>
        <v>1.0000000000000002</v>
      </c>
      <c r="I126" s="52">
        <f t="shared" si="27"/>
        <v>1.2654309313108311E-2</v>
      </c>
    </row>
    <row r="127" spans="1:14" ht="12.75" customHeight="1" thickBot="1" x14ac:dyDescent="0.3">
      <c r="B127" s="38" t="s">
        <v>13</v>
      </c>
      <c r="C127" s="32">
        <f>SUM(C115:C126)</f>
        <v>2215.9426181604599</v>
      </c>
      <c r="D127" s="32">
        <f>SUM(D115:D126)</f>
        <v>547871.10953387525</v>
      </c>
      <c r="E127" s="52">
        <f>SUM(E116:E126)</f>
        <v>1</v>
      </c>
      <c r="F127" s="52">
        <f>SUM(F116:F126)</f>
        <v>1.0000000000000002</v>
      </c>
      <c r="G127" s="53"/>
      <c r="H127" s="53"/>
      <c r="I127" s="52">
        <f>SUM(I115:I126)</f>
        <v>0.32760557498738802</v>
      </c>
    </row>
    <row r="128" spans="1:14" ht="12.75" customHeight="1" thickBot="1" x14ac:dyDescent="0.3">
      <c r="B128" s="4"/>
      <c r="C128" s="4"/>
      <c r="D128" s="4"/>
      <c r="E128" s="51"/>
      <c r="F128" s="51"/>
      <c r="G128" s="51"/>
      <c r="H128" s="54"/>
      <c r="I128" s="54"/>
    </row>
    <row r="129" spans="1:14" ht="12.75" customHeight="1" thickBot="1" x14ac:dyDescent="0.3">
      <c r="B129" s="4"/>
      <c r="C129" s="4"/>
      <c r="D129" s="4"/>
      <c r="E129" s="51"/>
      <c r="F129" s="51"/>
      <c r="G129" s="56"/>
      <c r="H129" s="57" t="s">
        <v>33</v>
      </c>
      <c r="I129" s="53">
        <f>1-(2*I127)</f>
        <v>0.34478885002522397</v>
      </c>
    </row>
    <row r="130" spans="1:14" ht="12.75" customHeight="1" x14ac:dyDescent="0.25"/>
    <row r="131" spans="1:14" ht="12.75" customHeight="1" x14ac:dyDescent="0.25"/>
    <row r="132" spans="1:14" ht="12.75" customHeight="1" x14ac:dyDescent="0.25"/>
    <row r="133" spans="1:14" ht="12.75" customHeight="1" x14ac:dyDescent="0.25"/>
    <row r="134" spans="1:14" ht="16.2" thickBot="1" x14ac:dyDescent="0.35">
      <c r="B134" s="209" t="s">
        <v>120</v>
      </c>
      <c r="C134" s="209"/>
      <c r="D134" s="209"/>
      <c r="E134" s="209"/>
      <c r="F134" s="209"/>
      <c r="G134" s="209"/>
      <c r="H134" s="209"/>
      <c r="I134" s="209"/>
    </row>
    <row r="135" spans="1:14" ht="27" thickBot="1" x14ac:dyDescent="0.3">
      <c r="A135" s="8"/>
      <c r="B135" s="30" t="s">
        <v>20</v>
      </c>
      <c r="C135" s="31" t="s">
        <v>43</v>
      </c>
      <c r="D135" s="31" t="s">
        <v>39</v>
      </c>
      <c r="E135" s="31" t="s">
        <v>16</v>
      </c>
      <c r="F135" s="31" t="s">
        <v>22</v>
      </c>
      <c r="G135" s="31" t="s">
        <v>18</v>
      </c>
      <c r="H135" s="31" t="s">
        <v>137</v>
      </c>
      <c r="I135" s="31" t="s">
        <v>21</v>
      </c>
      <c r="J135" s="8"/>
      <c r="K135" s="8"/>
      <c r="L135" s="8"/>
      <c r="M135" s="8"/>
      <c r="N135" s="8"/>
    </row>
    <row r="136" spans="1:14" ht="12.75" customHeight="1" x14ac:dyDescent="0.25">
      <c r="B136" s="4"/>
      <c r="C136" s="26">
        <v>0</v>
      </c>
      <c r="D136" s="26">
        <v>0</v>
      </c>
      <c r="E136" s="50">
        <v>0</v>
      </c>
      <c r="F136" s="50">
        <v>0</v>
      </c>
      <c r="G136" s="50">
        <v>0</v>
      </c>
      <c r="H136" s="51">
        <f>F136</f>
        <v>0</v>
      </c>
      <c r="I136" s="50">
        <v>0</v>
      </c>
    </row>
    <row r="137" spans="1:14" ht="12.75" customHeight="1" x14ac:dyDescent="0.25">
      <c r="B137" s="18" t="s">
        <v>3</v>
      </c>
      <c r="C137" s="29">
        <v>0</v>
      </c>
      <c r="D137" s="29">
        <v>33738.127951375733</v>
      </c>
      <c r="E137" s="50">
        <f>C137/$C$148</f>
        <v>0</v>
      </c>
      <c r="F137" s="50">
        <f>D137/$D$148</f>
        <v>6.1580410728501248E-2</v>
      </c>
      <c r="G137" s="50">
        <f t="shared" ref="G137:G147" si="29">G136+E137</f>
        <v>0</v>
      </c>
      <c r="H137" s="51">
        <f t="shared" ref="H137:H147" si="30">F137+H136</f>
        <v>6.1580410728501248E-2</v>
      </c>
      <c r="I137" s="50">
        <f t="shared" ref="I137:I147" si="31">(G136+G137)*0.5*(H137-H136)</f>
        <v>0</v>
      </c>
    </row>
    <row r="138" spans="1:14" ht="12.75" customHeight="1" x14ac:dyDescent="0.25">
      <c r="B138" s="18" t="s">
        <v>8</v>
      </c>
      <c r="C138" s="29">
        <v>0</v>
      </c>
      <c r="D138" s="29">
        <v>179268.67227891536</v>
      </c>
      <c r="E138" s="50">
        <f t="shared" ref="E138:E147" si="32">C138/$C$148</f>
        <v>0</v>
      </c>
      <c r="F138" s="50">
        <f t="shared" ref="F138:F147" si="33">D138/$D$148</f>
        <v>0.327209573856588</v>
      </c>
      <c r="G138" s="50">
        <f t="shared" si="29"/>
        <v>0</v>
      </c>
      <c r="H138" s="51">
        <f t="shared" si="30"/>
        <v>0.38878998458508923</v>
      </c>
      <c r="I138" s="50">
        <f t="shared" si="31"/>
        <v>0</v>
      </c>
    </row>
    <row r="139" spans="1:14" ht="12.75" customHeight="1" x14ac:dyDescent="0.25">
      <c r="B139" s="18" t="s">
        <v>9</v>
      </c>
      <c r="C139" s="29">
        <v>0</v>
      </c>
      <c r="D139" s="29">
        <v>8412.6065227973904</v>
      </c>
      <c r="E139" s="50">
        <f t="shared" si="32"/>
        <v>0</v>
      </c>
      <c r="F139" s="50">
        <f t="shared" si="33"/>
        <v>1.5355083296789959E-2</v>
      </c>
      <c r="G139" s="50">
        <f t="shared" si="29"/>
        <v>0</v>
      </c>
      <c r="H139" s="51">
        <f t="shared" si="30"/>
        <v>0.40414506788187921</v>
      </c>
      <c r="I139" s="50">
        <f t="shared" si="31"/>
        <v>0</v>
      </c>
    </row>
    <row r="140" spans="1:14" ht="12.75" customHeight="1" x14ac:dyDescent="0.25">
      <c r="B140" s="18" t="s">
        <v>2</v>
      </c>
      <c r="C140" s="29">
        <v>1.3224981196287995</v>
      </c>
      <c r="D140" s="29">
        <v>4549.0211045835586</v>
      </c>
      <c r="E140" s="50">
        <f t="shared" si="32"/>
        <v>5.4290577913134646E-3</v>
      </c>
      <c r="F140" s="50">
        <f t="shared" si="33"/>
        <v>8.3030863015460567E-3</v>
      </c>
      <c r="G140" s="50">
        <f t="shared" si="29"/>
        <v>5.4290577913134646E-3</v>
      </c>
      <c r="H140" s="51">
        <f t="shared" si="30"/>
        <v>0.41244815418342529</v>
      </c>
      <c r="I140" s="50">
        <f t="shared" si="31"/>
        <v>2.2538967688678425E-5</v>
      </c>
    </row>
    <row r="141" spans="1:14" ht="12.75" customHeight="1" x14ac:dyDescent="0.25">
      <c r="B141" s="18" t="s">
        <v>4</v>
      </c>
      <c r="C141" s="29">
        <v>1.9103503028842752</v>
      </c>
      <c r="D141" s="29">
        <v>4739.5256339269945</v>
      </c>
      <c r="E141" s="50">
        <f t="shared" si="32"/>
        <v>7.8422812418992086E-3</v>
      </c>
      <c r="F141" s="50">
        <f t="shared" si="33"/>
        <v>8.6508040877704764E-3</v>
      </c>
      <c r="G141" s="50">
        <f t="shared" si="29"/>
        <v>1.3271339033212672E-2</v>
      </c>
      <c r="H141" s="51">
        <f t="shared" si="30"/>
        <v>0.42109895827119576</v>
      </c>
      <c r="I141" s="50">
        <f t="shared" si="31"/>
        <v>8.0886734646270302E-5</v>
      </c>
    </row>
    <row r="142" spans="1:14" ht="12.75" customHeight="1" x14ac:dyDescent="0.25">
      <c r="B142" s="18" t="s">
        <v>1</v>
      </c>
      <c r="C142" s="29">
        <v>7.1530660073489152</v>
      </c>
      <c r="D142" s="29">
        <v>7498.2226388555227</v>
      </c>
      <c r="E142" s="50">
        <f t="shared" si="32"/>
        <v>2.9364433992448483E-2</v>
      </c>
      <c r="F142" s="50">
        <f t="shared" si="33"/>
        <v>1.3686107021111144E-2</v>
      </c>
      <c r="G142" s="50">
        <f t="shared" si="29"/>
        <v>4.2635773025661156E-2</v>
      </c>
      <c r="H142" s="51">
        <f t="shared" si="30"/>
        <v>0.43478506529230687</v>
      </c>
      <c r="I142" s="50">
        <f t="shared" si="31"/>
        <v>3.8257535943949956E-4</v>
      </c>
    </row>
    <row r="143" spans="1:14" ht="12.75" customHeight="1" x14ac:dyDescent="0.25">
      <c r="B143" s="18" t="s">
        <v>7</v>
      </c>
      <c r="C143" s="29">
        <v>8.1725692358649695</v>
      </c>
      <c r="D143" s="29">
        <v>12709.055149886017</v>
      </c>
      <c r="E143" s="50">
        <f t="shared" si="32"/>
        <v>3.3549651244475932E-2</v>
      </c>
      <c r="F143" s="50">
        <f t="shared" si="33"/>
        <v>2.3197162487174745E-2</v>
      </c>
      <c r="G143" s="50">
        <f t="shared" si="29"/>
        <v>7.6185424270137081E-2</v>
      </c>
      <c r="H143" s="51">
        <f t="shared" si="30"/>
        <v>0.45798222777948161</v>
      </c>
      <c r="I143" s="50">
        <f t="shared" si="31"/>
        <v>1.3781573102956397E-3</v>
      </c>
    </row>
    <row r="144" spans="1:14" ht="12.75" customHeight="1" x14ac:dyDescent="0.25">
      <c r="B144" s="18" t="s">
        <v>6</v>
      </c>
      <c r="C144" s="29">
        <v>27.678981965070257</v>
      </c>
      <c r="D144" s="29">
        <v>34543.134541376516</v>
      </c>
      <c r="E144" s="50">
        <f t="shared" si="32"/>
        <v>0.11362646983215957</v>
      </c>
      <c r="F144" s="50">
        <f t="shared" si="33"/>
        <v>6.3049746446323052E-2</v>
      </c>
      <c r="G144" s="50">
        <f t="shared" si="29"/>
        <v>0.18981189410229665</v>
      </c>
      <c r="H144" s="51">
        <f>F144+H143</f>
        <v>0.52103197422580472</v>
      </c>
      <c r="I144" s="50">
        <f t="shared" si="31"/>
        <v>8.3855317393919156E-3</v>
      </c>
    </row>
    <row r="145" spans="1:14" ht="12.75" customHeight="1" x14ac:dyDescent="0.25">
      <c r="B145" s="18" t="s">
        <v>10</v>
      </c>
      <c r="C145" s="29">
        <v>58.968413233176513</v>
      </c>
      <c r="D145" s="29">
        <v>43226.930239887697</v>
      </c>
      <c r="E145" s="50">
        <f t="shared" si="32"/>
        <v>0.24207438827574823</v>
      </c>
      <c r="F145" s="50">
        <f t="shared" si="33"/>
        <v>7.8899816923481969E-2</v>
      </c>
      <c r="G145" s="50">
        <f t="shared" si="29"/>
        <v>0.43188628237804488</v>
      </c>
      <c r="H145" s="51">
        <f t="shared" si="30"/>
        <v>0.59993179114928674</v>
      </c>
      <c r="I145" s="50">
        <f t="shared" si="31"/>
        <v>2.4525936152980782E-2</v>
      </c>
    </row>
    <row r="146" spans="1:14" ht="12.75" customHeight="1" x14ac:dyDescent="0.25">
      <c r="B146" s="55" t="s">
        <v>11</v>
      </c>
      <c r="C146" s="29">
        <v>61.077225932354281</v>
      </c>
      <c r="D146" s="29">
        <v>69411.089457609574</v>
      </c>
      <c r="E146" s="50">
        <f t="shared" si="32"/>
        <v>0.25073138811942691</v>
      </c>
      <c r="F146" s="50">
        <f>D146/$D$148</f>
        <v>0.12669237024865945</v>
      </c>
      <c r="G146" s="50">
        <f t="shared" si="29"/>
        <v>0.6826176704974718</v>
      </c>
      <c r="H146" s="51">
        <f t="shared" si="30"/>
        <v>0.72662416139794617</v>
      </c>
      <c r="I146" s="50">
        <f t="shared" si="31"/>
        <v>7.0599573720649719E-2</v>
      </c>
    </row>
    <row r="147" spans="1:14" ht="12.75" customHeight="1" thickBot="1" x14ac:dyDescent="0.3">
      <c r="B147" s="43" t="s">
        <v>5</v>
      </c>
      <c r="C147" s="32">
        <v>77.313145320001027</v>
      </c>
      <c r="D147" s="32">
        <v>149774.72401466093</v>
      </c>
      <c r="E147" s="52">
        <f t="shared" si="32"/>
        <v>0.31738232950252826</v>
      </c>
      <c r="F147" s="52">
        <f t="shared" si="33"/>
        <v>0.273375838602054</v>
      </c>
      <c r="G147" s="52">
        <f t="shared" si="29"/>
        <v>1</v>
      </c>
      <c r="H147" s="53">
        <f t="shared" si="30"/>
        <v>1.0000000000000002</v>
      </c>
      <c r="I147" s="52">
        <f t="shared" si="31"/>
        <v>0.22999350835944052</v>
      </c>
    </row>
    <row r="148" spans="1:14" ht="12.75" customHeight="1" thickBot="1" x14ac:dyDescent="0.3">
      <c r="B148" s="38" t="s">
        <v>13</v>
      </c>
      <c r="C148" s="32">
        <f>SUM(C136:C147)</f>
        <v>243.59625011632903</v>
      </c>
      <c r="D148" s="32">
        <f>SUM(D136:D147)</f>
        <v>547871.10953387525</v>
      </c>
      <c r="E148" s="52">
        <f>SUM(E137:E147)</f>
        <v>1</v>
      </c>
      <c r="F148" s="52">
        <f>SUM(F137:F147)</f>
        <v>1.0000000000000002</v>
      </c>
      <c r="G148" s="53"/>
      <c r="H148" s="53"/>
      <c r="I148" s="52">
        <f>SUM(I136:I147)</f>
        <v>0.33536870834453303</v>
      </c>
    </row>
    <row r="149" spans="1:14" ht="12.75" customHeight="1" thickBot="1" x14ac:dyDescent="0.3">
      <c r="B149" s="4"/>
      <c r="C149" s="4"/>
      <c r="D149" s="4"/>
      <c r="E149" s="51"/>
      <c r="F149" s="51"/>
      <c r="G149" s="51"/>
      <c r="H149" s="54"/>
      <c r="I149" s="54"/>
    </row>
    <row r="150" spans="1:14" ht="12.75" customHeight="1" thickBot="1" x14ac:dyDescent="0.3">
      <c r="B150" s="4"/>
      <c r="C150" s="4"/>
      <c r="D150" s="4"/>
      <c r="E150" s="51"/>
      <c r="F150" s="51"/>
      <c r="G150" s="56"/>
      <c r="H150" s="57" t="s">
        <v>37</v>
      </c>
      <c r="I150" s="53">
        <f>1-(2*I148)</f>
        <v>0.32926258331093394</v>
      </c>
    </row>
    <row r="151" spans="1:14" ht="12.75" customHeight="1" x14ac:dyDescent="0.25"/>
    <row r="152" spans="1:14" ht="12.75" customHeight="1" x14ac:dyDescent="0.25"/>
    <row r="153" spans="1:14" ht="12.75" customHeight="1" x14ac:dyDescent="0.25"/>
    <row r="154" spans="1:14" ht="12.75" customHeight="1" x14ac:dyDescent="0.25"/>
    <row r="155" spans="1:14" ht="16.2" thickBot="1" x14ac:dyDescent="0.35">
      <c r="B155" s="209" t="s">
        <v>116</v>
      </c>
      <c r="C155" s="209"/>
      <c r="D155" s="209"/>
      <c r="E155" s="209"/>
      <c r="F155" s="209"/>
      <c r="G155" s="209"/>
      <c r="H155" s="209"/>
      <c r="I155" s="209"/>
    </row>
    <row r="156" spans="1:14" ht="27" thickBot="1" x14ac:dyDescent="0.3">
      <c r="A156" s="8"/>
      <c r="B156" s="30" t="s">
        <v>20</v>
      </c>
      <c r="C156" s="31" t="s">
        <v>44</v>
      </c>
      <c r="D156" s="31" t="s">
        <v>45</v>
      </c>
      <c r="E156" s="31" t="s">
        <v>16</v>
      </c>
      <c r="F156" s="31" t="s">
        <v>22</v>
      </c>
      <c r="G156" s="31" t="s">
        <v>18</v>
      </c>
      <c r="H156" s="31" t="s">
        <v>137</v>
      </c>
      <c r="I156" s="31" t="s">
        <v>21</v>
      </c>
      <c r="J156" s="8"/>
      <c r="K156" s="8"/>
      <c r="L156" s="8"/>
      <c r="M156" s="8"/>
      <c r="N156" s="8"/>
    </row>
    <row r="157" spans="1:14" ht="12.75" customHeight="1" x14ac:dyDescent="0.25">
      <c r="B157" s="4"/>
      <c r="C157" s="26">
        <v>0</v>
      </c>
      <c r="D157" s="26">
        <v>0</v>
      </c>
      <c r="E157" s="50">
        <v>0</v>
      </c>
      <c r="F157" s="50">
        <v>0</v>
      </c>
      <c r="G157" s="50">
        <v>0</v>
      </c>
      <c r="H157" s="51">
        <f>F157</f>
        <v>0</v>
      </c>
      <c r="I157" s="50">
        <v>0</v>
      </c>
    </row>
    <row r="158" spans="1:14" ht="12.75" customHeight="1" x14ac:dyDescent="0.25">
      <c r="B158" s="105" t="s">
        <v>2</v>
      </c>
      <c r="C158" s="29">
        <v>1.3224981196287995</v>
      </c>
      <c r="D158" s="29">
        <v>4549.0211045835576</v>
      </c>
      <c r="E158" s="50">
        <f>C158/$C$169</f>
        <v>3.4593541506786328E-3</v>
      </c>
      <c r="F158" s="50">
        <f>D158/$D$169</f>
        <v>8.3030863015460549E-3</v>
      </c>
      <c r="G158" s="50">
        <f>G157+E158</f>
        <v>3.4593541506786328E-3</v>
      </c>
      <c r="H158" s="51">
        <f>F158+H157</f>
        <v>8.3030863015460549E-3</v>
      </c>
      <c r="I158" s="50">
        <f>(G157+G158)*0.5*(H158-H157)</f>
        <v>1.4361658030348122E-5</v>
      </c>
    </row>
    <row r="159" spans="1:14" ht="12.75" customHeight="1" x14ac:dyDescent="0.25">
      <c r="B159" s="105" t="s">
        <v>4</v>
      </c>
      <c r="C159" s="29">
        <v>1.9103503028842752</v>
      </c>
      <c r="D159" s="29">
        <v>4739.5256339269945</v>
      </c>
      <c r="E159" s="50">
        <f>C159/$C$169</f>
        <v>4.9970416981672573E-3</v>
      </c>
      <c r="F159" s="50">
        <f>D159/$D$169</f>
        <v>8.6508040877704764E-3</v>
      </c>
      <c r="G159" s="50">
        <f>G158+E159</f>
        <v>8.4563958488458896E-3</v>
      </c>
      <c r="H159" s="51">
        <f>F159+H158</f>
        <v>1.695389038931653E-2</v>
      </c>
      <c r="I159" s="50">
        <f>(G158+G159)*0.5*(H159-H158)</f>
        <v>5.1540409402368883E-5</v>
      </c>
    </row>
    <row r="160" spans="1:14" ht="12.75" customHeight="1" x14ac:dyDescent="0.25">
      <c r="B160" s="105" t="s">
        <v>1</v>
      </c>
      <c r="C160" s="29">
        <v>7.1530660073489152</v>
      </c>
      <c r="D160" s="29">
        <v>7498.2226388555227</v>
      </c>
      <c r="E160" s="50">
        <f>C160/$C$169</f>
        <v>1.8710793017646148E-2</v>
      </c>
      <c r="F160" s="50">
        <f>D160/$D$169</f>
        <v>1.3686107021111144E-2</v>
      </c>
      <c r="G160" s="50">
        <f>G159+E160</f>
        <v>2.716718886649204E-2</v>
      </c>
      <c r="H160" s="51">
        <f>F160+H159</f>
        <v>3.0639997410427673E-2</v>
      </c>
      <c r="I160" s="50">
        <f>(G159+G160)*0.5*(H160-H159)</f>
        <v>2.4377409644486703E-4</v>
      </c>
    </row>
    <row r="161" spans="1:9" ht="12.75" customHeight="1" x14ac:dyDescent="0.25">
      <c r="B161" s="105" t="s">
        <v>7</v>
      </c>
      <c r="C161" s="29">
        <v>11.97256923586497</v>
      </c>
      <c r="D161" s="29">
        <v>12709.055149886017</v>
      </c>
      <c r="E161" s="50">
        <f>C161/$C$169</f>
        <v>3.1317516800705825E-2</v>
      </c>
      <c r="F161" s="50">
        <f>D161/$D$169</f>
        <v>2.3197162487174745E-2</v>
      </c>
      <c r="G161" s="50">
        <f>G160+E161</f>
        <v>5.8484705667197864E-2</v>
      </c>
      <c r="H161" s="51">
        <f>F161+H160</f>
        <v>5.3837159897602418E-2</v>
      </c>
      <c r="I161" s="50">
        <f>(G160+G161)*0.5*(H161-H160)</f>
        <v>9.9344045741617953E-4</v>
      </c>
    </row>
    <row r="162" spans="1:9" ht="12.75" customHeight="1" x14ac:dyDescent="0.25">
      <c r="B162" s="105" t="s">
        <v>9</v>
      </c>
      <c r="C162" s="29">
        <v>23.5</v>
      </c>
      <c r="D162" s="29">
        <v>8412.6065227973904</v>
      </c>
      <c r="E162" s="50">
        <f>C162/$C$169</f>
        <v>6.1470652649219498E-2</v>
      </c>
      <c r="F162" s="50">
        <f>D162/$D$169</f>
        <v>1.5355083296789959E-2</v>
      </c>
      <c r="G162" s="50">
        <f>G161+E162</f>
        <v>0.11995535831641736</v>
      </c>
      <c r="H162" s="51">
        <f>F162+H161</f>
        <v>6.9192243194392378E-2</v>
      </c>
      <c r="I162" s="50">
        <f>(G161+G162)*0.5*(H162-H161)</f>
        <v>1.3699810229764709E-3</v>
      </c>
    </row>
    <row r="163" spans="1:9" ht="12.75" customHeight="1" x14ac:dyDescent="0.25">
      <c r="B163" s="105" t="s">
        <v>6</v>
      </c>
      <c r="C163" s="29">
        <v>27.678981965070257</v>
      </c>
      <c r="D163" s="29">
        <v>34543.134541376516</v>
      </c>
      <c r="E163" s="50">
        <f>C163/$C$169</f>
        <v>7.2401918555695513E-2</v>
      </c>
      <c r="F163" s="50">
        <f>D163/$D$169</f>
        <v>6.3049746446323052E-2</v>
      </c>
      <c r="G163" s="50">
        <f>G162+E163</f>
        <v>0.19235727687211288</v>
      </c>
      <c r="H163" s="51">
        <f>F163+H162</f>
        <v>0.13224198964071543</v>
      </c>
      <c r="I163" s="50">
        <f>(G162+G163)*0.5*(H163-H162)</f>
        <v>9.8456162303099115E-3</v>
      </c>
    </row>
    <row r="164" spans="1:9" ht="12.75" customHeight="1" x14ac:dyDescent="0.25">
      <c r="B164" s="105" t="s">
        <v>8</v>
      </c>
      <c r="C164" s="29">
        <v>33.799999999999997</v>
      </c>
      <c r="D164" s="29">
        <v>179268.67227891536</v>
      </c>
      <c r="E164" s="50">
        <f>C164/$C$169</f>
        <v>8.8413108916749736E-2</v>
      </c>
      <c r="F164" s="50">
        <f>D164/$D$169</f>
        <v>0.327209573856588</v>
      </c>
      <c r="G164" s="50">
        <f>G163+E164</f>
        <v>0.2807703857888626</v>
      </c>
      <c r="H164" s="51">
        <f>F164+H163</f>
        <v>0.45945156349730343</v>
      </c>
      <c r="I164" s="50">
        <f>(G163+G164)*0.5*(H164-H163)</f>
        <v>7.7405950439530663E-2</v>
      </c>
    </row>
    <row r="165" spans="1:9" ht="12.75" customHeight="1" x14ac:dyDescent="0.25">
      <c r="B165" s="105" t="s">
        <v>3</v>
      </c>
      <c r="C165" s="29">
        <v>56.5</v>
      </c>
      <c r="D165" s="29">
        <v>33738.127951375733</v>
      </c>
      <c r="E165" s="50">
        <f>C165/$C$169</f>
        <v>0.14779114360344262</v>
      </c>
      <c r="F165" s="50">
        <f>D165/$D$169</f>
        <v>6.1580410728501248E-2</v>
      </c>
      <c r="G165" s="50">
        <f>G164+E165</f>
        <v>0.42856152939230518</v>
      </c>
      <c r="H165" s="51">
        <f>F165+H164</f>
        <v>0.52103197422580472</v>
      </c>
      <c r="I165" s="50">
        <f>(G164+G165)*0.5*(H165-H164)</f>
        <v>2.1840475339845376E-2</v>
      </c>
    </row>
    <row r="166" spans="1:9" ht="12.75" customHeight="1" x14ac:dyDescent="0.25">
      <c r="B166" s="105" t="s">
        <v>10</v>
      </c>
      <c r="C166" s="29">
        <v>58.968413233176513</v>
      </c>
      <c r="D166" s="29">
        <v>43226.930239887697</v>
      </c>
      <c r="E166" s="50">
        <f>C166/$C$169</f>
        <v>0.15424795094179711</v>
      </c>
      <c r="F166" s="50">
        <f>D166/$D$169</f>
        <v>7.8899816923481969E-2</v>
      </c>
      <c r="G166" s="50">
        <f>G165+E166</f>
        <v>0.58280948033410229</v>
      </c>
      <c r="H166" s="51">
        <f>F166+H165</f>
        <v>0.59993179114928674</v>
      </c>
      <c r="I166" s="50">
        <f>(G165+G166)*0.5*(H166-H165)</f>
        <v>3.9898493754565355E-2</v>
      </c>
    </row>
    <row r="167" spans="1:9" ht="12.75" customHeight="1" x14ac:dyDescent="0.25">
      <c r="B167" s="105" t="s">
        <v>5</v>
      </c>
      <c r="C167" s="29">
        <v>77.313145320001027</v>
      </c>
      <c r="D167" s="29">
        <v>149774.72401466093</v>
      </c>
      <c r="E167" s="50">
        <f>C167/$C$169</f>
        <v>0.20223359579508141</v>
      </c>
      <c r="F167" s="50">
        <f>D167/$D$169</f>
        <v>0.273375838602054</v>
      </c>
      <c r="G167" s="50">
        <f>G166+E167</f>
        <v>0.78504307612918367</v>
      </c>
      <c r="H167" s="51">
        <f>F167+H166</f>
        <v>0.87330762975134069</v>
      </c>
      <c r="I167" s="50">
        <f>(G166+G167)*0.5*(H167-H166)</f>
        <v>0.18696891985355707</v>
      </c>
    </row>
    <row r="168" spans="1:9" ht="12.75" customHeight="1" thickBot="1" x14ac:dyDescent="0.3">
      <c r="B168" s="220" t="s">
        <v>11</v>
      </c>
      <c r="C168" s="32">
        <v>82.177225932354276</v>
      </c>
      <c r="D168" s="32">
        <v>69411.089457609574</v>
      </c>
      <c r="E168" s="52">
        <f>C168/$C$169</f>
        <v>0.21495692387081627</v>
      </c>
      <c r="F168" s="52">
        <f>D168/$D$169</f>
        <v>0.12669237024865945</v>
      </c>
      <c r="G168" s="52">
        <f>G167+E168</f>
        <v>1</v>
      </c>
      <c r="H168" s="53">
        <f>F168+H167</f>
        <v>1.0000000000000002</v>
      </c>
      <c r="I168" s="52">
        <f>(G167+G168)*0.5*(H168-H167)</f>
        <v>0.11307566915538235</v>
      </c>
    </row>
    <row r="169" spans="1:9" ht="12.75" customHeight="1" thickBot="1" x14ac:dyDescent="0.3">
      <c r="B169" s="38" t="s">
        <v>13</v>
      </c>
      <c r="C169" s="32">
        <f>SUM(C157:C168)</f>
        <v>382.29625011632902</v>
      </c>
      <c r="D169" s="32">
        <f>SUM(D157:D168)</f>
        <v>547871.10953387525</v>
      </c>
      <c r="E169" s="52">
        <f>SUM(E158:E168)</f>
        <v>1</v>
      </c>
      <c r="F169" s="52">
        <f>SUM(F158:F168)</f>
        <v>1.0000000000000002</v>
      </c>
      <c r="G169" s="53"/>
      <c r="H169" s="53"/>
      <c r="I169" s="52">
        <f>SUM(I157:I168)</f>
        <v>0.451708222417461</v>
      </c>
    </row>
    <row r="170" spans="1:9" ht="12.75" customHeight="1" thickBot="1" x14ac:dyDescent="0.3">
      <c r="B170" s="4"/>
      <c r="C170" s="4"/>
      <c r="D170" s="4"/>
      <c r="E170" s="51"/>
      <c r="F170" s="51"/>
      <c r="G170" s="51"/>
      <c r="H170" s="54"/>
      <c r="I170" s="54"/>
    </row>
    <row r="171" spans="1:9" ht="12.75" customHeight="1" thickBot="1" x14ac:dyDescent="0.3">
      <c r="B171" s="4"/>
      <c r="C171" s="4"/>
      <c r="D171" s="4"/>
      <c r="E171" s="51"/>
      <c r="F171" s="51"/>
      <c r="G171" s="56"/>
      <c r="H171" s="58" t="s">
        <v>33</v>
      </c>
      <c r="I171" s="59">
        <f>1-(2*I169)</f>
        <v>9.6583555165077994E-2</v>
      </c>
    </row>
    <row r="172" spans="1:9" ht="12.75" customHeight="1" x14ac:dyDescent="0.25">
      <c r="B172" s="4"/>
      <c r="C172" s="4"/>
      <c r="D172" s="4"/>
      <c r="E172" s="51"/>
      <c r="F172" s="51"/>
      <c r="G172" s="56"/>
      <c r="H172" s="127"/>
      <c r="I172" s="113"/>
    </row>
    <row r="173" spans="1:9" ht="12.75" customHeight="1" x14ac:dyDescent="0.25">
      <c r="B173" s="4"/>
      <c r="C173" s="4"/>
      <c r="D173" s="4"/>
      <c r="E173" s="51"/>
      <c r="F173" s="51"/>
      <c r="G173" s="56"/>
      <c r="H173" s="127"/>
      <c r="I173" s="113"/>
    </row>
    <row r="174" spans="1:9" ht="28.2" customHeight="1" x14ac:dyDescent="0.25">
      <c r="A174" s="211" t="s">
        <v>109</v>
      </c>
      <c r="B174" s="211"/>
      <c r="C174" s="211"/>
      <c r="D174" s="211"/>
      <c r="E174" s="211"/>
      <c r="F174" s="211"/>
      <c r="G174" s="56"/>
      <c r="H174" s="127"/>
      <c r="I174" s="113"/>
    </row>
    <row r="175" spans="1:9" ht="12.75" customHeight="1" x14ac:dyDescent="0.25"/>
    <row r="176" spans="1:9" ht="16.2" thickBot="1" x14ac:dyDescent="0.35">
      <c r="B176" s="209" t="s">
        <v>134</v>
      </c>
      <c r="C176" s="209"/>
      <c r="D176" s="209"/>
      <c r="E176" s="209"/>
      <c r="F176" s="209"/>
      <c r="G176" s="209"/>
      <c r="H176" s="209"/>
      <c r="I176" s="209"/>
    </row>
    <row r="177" spans="1:14" ht="42.6" customHeight="1" thickBot="1" x14ac:dyDescent="0.3">
      <c r="A177" s="8"/>
      <c r="B177" s="36" t="s">
        <v>20</v>
      </c>
      <c r="C177" s="37" t="s">
        <v>47</v>
      </c>
      <c r="D177" s="37" t="s">
        <v>135</v>
      </c>
      <c r="E177" s="37" t="s">
        <v>30</v>
      </c>
      <c r="F177" s="37" t="s">
        <v>22</v>
      </c>
      <c r="G177" s="37" t="s">
        <v>31</v>
      </c>
      <c r="H177" s="37" t="s">
        <v>137</v>
      </c>
      <c r="I177" s="37" t="s">
        <v>21</v>
      </c>
      <c r="J177" s="8"/>
      <c r="K177" s="8"/>
      <c r="L177" s="8"/>
      <c r="M177" s="8"/>
      <c r="N177" s="8"/>
    </row>
    <row r="178" spans="1:14" ht="12.75" customHeight="1" x14ac:dyDescent="0.25">
      <c r="B178" s="4"/>
      <c r="C178" s="26">
        <v>0</v>
      </c>
      <c r="D178" s="26">
        <v>0</v>
      </c>
      <c r="E178" s="50">
        <v>0</v>
      </c>
      <c r="F178" s="50">
        <v>0</v>
      </c>
      <c r="G178" s="50">
        <v>0</v>
      </c>
      <c r="H178" s="51">
        <f>F178</f>
        <v>0</v>
      </c>
      <c r="I178" s="50">
        <v>0</v>
      </c>
    </row>
    <row r="179" spans="1:14" ht="12.75" customHeight="1" x14ac:dyDescent="0.25">
      <c r="B179" s="84" t="s">
        <v>3</v>
      </c>
      <c r="C179" s="86">
        <v>4.4920799454717004</v>
      </c>
      <c r="D179" s="29">
        <v>251430.37783690859</v>
      </c>
      <c r="E179" s="50">
        <f t="shared" ref="E179:E189" si="34">C179/$C$190</f>
        <v>2.0574426410451801E-3</v>
      </c>
      <c r="F179" s="50">
        <f t="shared" ref="F179:F189" si="35">D179/$D$190</f>
        <v>8.2249727275718124E-2</v>
      </c>
      <c r="G179" s="50">
        <f t="shared" ref="G179:G189" si="36">G178+E179</f>
        <v>2.0574426410451801E-3</v>
      </c>
      <c r="H179" s="51">
        <f t="shared" ref="H179:H189" si="37">F179+H178</f>
        <v>8.2249727275718124E-2</v>
      </c>
      <c r="I179" s="50">
        <f t="shared" ref="I179:I189" si="38">(G178+G179)*0.5*(H179-H178)</f>
        <v>8.4612048055699647E-5</v>
      </c>
    </row>
    <row r="180" spans="1:14" ht="12.75" customHeight="1" x14ac:dyDescent="0.25">
      <c r="B180" s="84" t="s">
        <v>4</v>
      </c>
      <c r="C180" s="86">
        <v>14.349918475935281</v>
      </c>
      <c r="D180" s="29">
        <v>24496.645034227455</v>
      </c>
      <c r="E180" s="50">
        <f t="shared" si="34"/>
        <v>6.572486359614659E-3</v>
      </c>
      <c r="F180" s="50">
        <f t="shared" si="35"/>
        <v>8.0135200470573958E-3</v>
      </c>
      <c r="G180" s="50">
        <f t="shared" si="36"/>
        <v>8.6299290006598382E-3</v>
      </c>
      <c r="H180" s="51">
        <f t="shared" si="37"/>
        <v>9.0263247322775519E-2</v>
      </c>
      <c r="I180" s="50">
        <f t="shared" si="38"/>
        <v>4.2821733450577937E-5</v>
      </c>
    </row>
    <row r="181" spans="1:14" ht="12.75" customHeight="1" x14ac:dyDescent="0.25">
      <c r="B181" s="84" t="s">
        <v>1</v>
      </c>
      <c r="C181" s="86">
        <v>19.811006136278799</v>
      </c>
      <c r="D181" s="29">
        <v>13199.085501550475</v>
      </c>
      <c r="E181" s="50">
        <f t="shared" si="34"/>
        <v>9.0737496397134201E-3</v>
      </c>
      <c r="F181" s="50">
        <f t="shared" si="35"/>
        <v>4.3177805010323955E-3</v>
      </c>
      <c r="G181" s="50">
        <f t="shared" si="36"/>
        <v>1.7703678640373258E-2</v>
      </c>
      <c r="H181" s="51">
        <f t="shared" si="37"/>
        <v>9.4581027823807909E-2</v>
      </c>
      <c r="I181" s="50">
        <f t="shared" si="38"/>
        <v>5.6851368797145121E-5</v>
      </c>
    </row>
    <row r="182" spans="1:14" ht="12.75" customHeight="1" x14ac:dyDescent="0.25">
      <c r="B182" s="84" t="s">
        <v>2</v>
      </c>
      <c r="C182" s="86">
        <v>27</v>
      </c>
      <c r="D182" s="29">
        <v>20450.034940117202</v>
      </c>
      <c r="E182" s="50">
        <f t="shared" si="34"/>
        <v>1.2366420896898489E-2</v>
      </c>
      <c r="F182" s="50">
        <f t="shared" si="35"/>
        <v>6.6897636279041406E-3</v>
      </c>
      <c r="G182" s="50">
        <f t="shared" si="36"/>
        <v>3.0070099537271747E-2</v>
      </c>
      <c r="H182" s="51">
        <f t="shared" si="37"/>
        <v>0.10127079145171206</v>
      </c>
      <c r="I182" s="50">
        <f t="shared" si="38"/>
        <v>1.597976418101852E-4</v>
      </c>
    </row>
    <row r="183" spans="1:14" ht="12.75" customHeight="1" x14ac:dyDescent="0.25">
      <c r="B183" s="84" t="s">
        <v>7</v>
      </c>
      <c r="C183" s="86">
        <v>27.762864026902566</v>
      </c>
      <c r="D183" s="29">
        <v>20836.189535136225</v>
      </c>
      <c r="E183" s="50">
        <f t="shared" si="34"/>
        <v>1.2715824513334787E-2</v>
      </c>
      <c r="F183" s="50">
        <f t="shared" si="35"/>
        <v>6.8160853174303836E-3</v>
      </c>
      <c r="G183" s="50">
        <f t="shared" si="36"/>
        <v>4.2785924050606536E-2</v>
      </c>
      <c r="H183" s="51">
        <f t="shared" si="37"/>
        <v>0.10808687676914244</v>
      </c>
      <c r="I183" s="50">
        <f t="shared" si="38"/>
        <v>2.4829643633184957E-4</v>
      </c>
    </row>
    <row r="184" spans="1:14" ht="12.75" customHeight="1" x14ac:dyDescent="0.25">
      <c r="B184" s="84" t="s">
        <v>6</v>
      </c>
      <c r="C184" s="86">
        <v>83.428364274259323</v>
      </c>
      <c r="D184" s="29">
        <v>49475.746319971244</v>
      </c>
      <c r="E184" s="50">
        <f t="shared" si="34"/>
        <v>3.821149138352814E-2</v>
      </c>
      <c r="F184" s="50">
        <f t="shared" si="35"/>
        <v>1.6184864679397896E-2</v>
      </c>
      <c r="G184" s="50">
        <f t="shared" si="36"/>
        <v>8.0997415434134676E-2</v>
      </c>
      <c r="H184" s="51">
        <f t="shared" si="37"/>
        <v>0.12427174144854033</v>
      </c>
      <c r="I184" s="50">
        <f t="shared" si="38"/>
        <v>1.0017082995622533E-3</v>
      </c>
    </row>
    <row r="185" spans="1:14" ht="12.75" customHeight="1" x14ac:dyDescent="0.25">
      <c r="B185" s="84" t="s">
        <v>10</v>
      </c>
      <c r="C185" s="86">
        <v>162.7577156565315</v>
      </c>
      <c r="D185" s="29">
        <v>119784.51078433092</v>
      </c>
      <c r="E185" s="50">
        <f t="shared" si="34"/>
        <v>7.4545570963940502E-2</v>
      </c>
      <c r="F185" s="50">
        <f t="shared" si="35"/>
        <v>3.9184777227902166E-2</v>
      </c>
      <c r="G185" s="50">
        <f t="shared" si="36"/>
        <v>0.15554298639807518</v>
      </c>
      <c r="H185" s="51">
        <f t="shared" si="37"/>
        <v>0.16345651867644251</v>
      </c>
      <c r="I185" s="50">
        <f t="shared" si="38"/>
        <v>4.6343914755968031E-3</v>
      </c>
    </row>
    <row r="186" spans="1:14" ht="12.75" customHeight="1" x14ac:dyDescent="0.25">
      <c r="B186" s="116" t="s">
        <v>11</v>
      </c>
      <c r="C186" s="86">
        <v>330.96219581347026</v>
      </c>
      <c r="D186" s="29">
        <v>237021.44592026682</v>
      </c>
      <c r="E186" s="50">
        <f t="shared" si="34"/>
        <v>0.15158584497744845</v>
      </c>
      <c r="F186" s="50">
        <f t="shared" si="35"/>
        <v>7.7536173047808091E-2</v>
      </c>
      <c r="G186" s="50">
        <f t="shared" si="36"/>
        <v>0.3071288313755236</v>
      </c>
      <c r="H186" s="51">
        <f t="shared" si="37"/>
        <v>0.24099269172425059</v>
      </c>
      <c r="I186" s="50">
        <f t="shared" si="38"/>
        <v>1.7936901063618841E-2</v>
      </c>
    </row>
    <row r="187" spans="1:14" ht="12.75" customHeight="1" x14ac:dyDescent="0.25">
      <c r="B187" s="84" t="s">
        <v>8</v>
      </c>
      <c r="C187" s="86">
        <v>416.80308732067164</v>
      </c>
      <c r="D187" s="29">
        <v>1339764.2833351614</v>
      </c>
      <c r="E187" s="50">
        <f t="shared" si="34"/>
        <v>0.1909023114420059</v>
      </c>
      <c r="F187" s="50">
        <f t="shared" si="35"/>
        <v>0.43827340143259691</v>
      </c>
      <c r="G187" s="50">
        <f t="shared" si="36"/>
        <v>0.49803114281752947</v>
      </c>
      <c r="H187" s="51">
        <f t="shared" si="37"/>
        <v>0.67926609315684749</v>
      </c>
      <c r="I187" s="50">
        <f t="shared" si="38"/>
        <v>0.17644010029348567</v>
      </c>
    </row>
    <row r="188" spans="1:14" ht="12.75" customHeight="1" x14ac:dyDescent="0.25">
      <c r="B188" s="84" t="s">
        <v>5</v>
      </c>
      <c r="C188" s="86">
        <v>448.50336533961865</v>
      </c>
      <c r="D188" s="29">
        <v>363314.38569269452</v>
      </c>
      <c r="E188" s="50">
        <f t="shared" si="34"/>
        <v>0.20542153294315399</v>
      </c>
      <c r="F188" s="50">
        <f t="shared" si="35"/>
        <v>0.1188500347318915</v>
      </c>
      <c r="G188" s="50">
        <f t="shared" si="36"/>
        <v>0.70345267576068349</v>
      </c>
      <c r="H188" s="51">
        <f t="shared" si="37"/>
        <v>0.79811612788873898</v>
      </c>
      <c r="I188" s="50">
        <f t="shared" si="38"/>
        <v>7.1398196783913098E-2</v>
      </c>
    </row>
    <row r="189" spans="1:14" ht="12.75" customHeight="1" thickBot="1" x14ac:dyDescent="0.3">
      <c r="B189" s="88" t="s">
        <v>9</v>
      </c>
      <c r="C189" s="89">
        <v>647.46120330334657</v>
      </c>
      <c r="D189" s="32">
        <v>617141.72101696266</v>
      </c>
      <c r="E189" s="52">
        <f t="shared" si="34"/>
        <v>0.29654732423931651</v>
      </c>
      <c r="F189" s="52">
        <f t="shared" si="35"/>
        <v>0.20188387211126102</v>
      </c>
      <c r="G189" s="52">
        <f t="shared" si="36"/>
        <v>1</v>
      </c>
      <c r="H189" s="53">
        <f t="shared" si="37"/>
        <v>1</v>
      </c>
      <c r="I189" s="52">
        <f t="shared" si="38"/>
        <v>0.17194981107042759</v>
      </c>
    </row>
    <row r="190" spans="1:14" ht="12.75" customHeight="1" thickBot="1" x14ac:dyDescent="0.3">
      <c r="B190" s="38" t="s">
        <v>13</v>
      </c>
      <c r="C190" s="32">
        <f>SUM(C178:C189)</f>
        <v>2183.3318002924862</v>
      </c>
      <c r="D190" s="32">
        <f>SUM(D178:D189)</f>
        <v>3056914.4259173274</v>
      </c>
      <c r="E190" s="39">
        <f>SUM(E179:E189)</f>
        <v>1</v>
      </c>
      <c r="F190" s="33">
        <f>SUM(F179:F189)</f>
        <v>1</v>
      </c>
      <c r="G190" s="40"/>
      <c r="H190" s="40"/>
      <c r="I190" s="52">
        <f>SUM(I178:I189)</f>
        <v>0.44395348821504976</v>
      </c>
    </row>
    <row r="191" spans="1:14" ht="12.75" customHeight="1" thickBot="1" x14ac:dyDescent="0.3">
      <c r="B191" s="4"/>
      <c r="C191" s="4"/>
      <c r="D191" s="4"/>
      <c r="E191" s="4"/>
      <c r="F191" s="4"/>
      <c r="G191" s="4"/>
      <c r="H191" s="7"/>
      <c r="I191" s="54"/>
    </row>
    <row r="192" spans="1:14" ht="12.75" customHeight="1" thickBot="1" x14ac:dyDescent="0.3">
      <c r="B192" s="4"/>
      <c r="C192" s="4"/>
      <c r="D192" s="4"/>
      <c r="E192" s="4"/>
      <c r="F192" s="4"/>
      <c r="G192" s="5"/>
      <c r="H192" s="24" t="s">
        <v>33</v>
      </c>
      <c r="I192" s="53">
        <f>1-(2*I190)</f>
        <v>0.11209302356990047</v>
      </c>
    </row>
    <row r="193" spans="1:14" ht="12.75" customHeight="1" x14ac:dyDescent="0.25"/>
    <row r="194" spans="1:14" ht="12.75" customHeight="1" x14ac:dyDescent="0.25"/>
    <row r="195" spans="1:14" ht="12.75" customHeight="1" x14ac:dyDescent="0.25"/>
    <row r="196" spans="1:14" ht="12.75" customHeight="1" x14ac:dyDescent="0.25"/>
    <row r="197" spans="1:14" ht="16.2" thickBot="1" x14ac:dyDescent="0.35">
      <c r="B197" s="209" t="s">
        <v>140</v>
      </c>
      <c r="C197" s="209"/>
      <c r="D197" s="209"/>
      <c r="E197" s="209"/>
      <c r="F197" s="209"/>
      <c r="G197" s="209"/>
      <c r="H197" s="209"/>
      <c r="I197" s="209"/>
    </row>
    <row r="198" spans="1:14" ht="27" thickBot="1" x14ac:dyDescent="0.3">
      <c r="A198" s="8"/>
      <c r="B198" s="30" t="s">
        <v>20</v>
      </c>
      <c r="C198" s="31" t="s">
        <v>48</v>
      </c>
      <c r="D198" s="37" t="s">
        <v>135</v>
      </c>
      <c r="E198" s="31" t="s">
        <v>35</v>
      </c>
      <c r="F198" s="31" t="s">
        <v>22</v>
      </c>
      <c r="G198" s="31" t="s">
        <v>36</v>
      </c>
      <c r="H198" s="31" t="s">
        <v>137</v>
      </c>
      <c r="I198" s="31" t="s">
        <v>21</v>
      </c>
      <c r="J198" s="8"/>
      <c r="K198" s="8"/>
      <c r="L198" s="8"/>
      <c r="M198" s="8"/>
      <c r="N198" s="8"/>
    </row>
    <row r="199" spans="1:14" ht="12.75" customHeight="1" x14ac:dyDescent="0.25">
      <c r="B199" s="4"/>
      <c r="C199" s="26">
        <v>0</v>
      </c>
      <c r="D199" s="26">
        <v>0</v>
      </c>
      <c r="E199" s="50">
        <f>C199/$C$127</f>
        <v>0</v>
      </c>
      <c r="F199" s="50">
        <v>0</v>
      </c>
      <c r="G199" s="50">
        <v>0</v>
      </c>
      <c r="H199" s="51">
        <f>F199</f>
        <v>0</v>
      </c>
      <c r="I199" s="50">
        <v>0</v>
      </c>
    </row>
    <row r="200" spans="1:14" ht="12.75" customHeight="1" x14ac:dyDescent="0.25">
      <c r="B200" s="84" t="s">
        <v>4</v>
      </c>
      <c r="C200" s="86">
        <v>12.495254145281351</v>
      </c>
      <c r="D200" s="29">
        <v>24496.645034227455</v>
      </c>
      <c r="E200" s="50">
        <f t="shared" ref="E200:E210" si="39">C200/$C$211</f>
        <v>5.6387986055587242E-3</v>
      </c>
      <c r="F200" s="50">
        <f t="shared" ref="F200:F210" si="40">D200/$D$211</f>
        <v>8.0135200470573958E-3</v>
      </c>
      <c r="G200" s="50">
        <f t="shared" ref="G200:G210" si="41">G199+E200</f>
        <v>5.6387986055587242E-3</v>
      </c>
      <c r="H200" s="51">
        <f t="shared" ref="H200:H210" si="42">F200+H199</f>
        <v>8.0135200470573958E-3</v>
      </c>
      <c r="I200" s="50">
        <f t="shared" ref="I200:I210" si="43">(G199+G200)*0.5*(H200-H199)</f>
        <v>2.2593312833482062E-5</v>
      </c>
    </row>
    <row r="201" spans="1:14" ht="12.75" customHeight="1" x14ac:dyDescent="0.25">
      <c r="B201" s="84" t="s">
        <v>1</v>
      </c>
      <c r="C201" s="86">
        <v>12.678271607557253</v>
      </c>
      <c r="D201" s="29">
        <v>13199.085501550475</v>
      </c>
      <c r="E201" s="50">
        <f t="shared" si="39"/>
        <v>5.7213898517290938E-3</v>
      </c>
      <c r="F201" s="50">
        <f t="shared" si="40"/>
        <v>4.3177805010323955E-3</v>
      </c>
      <c r="G201" s="50">
        <f t="shared" si="41"/>
        <v>1.1360188457287819E-2</v>
      </c>
      <c r="H201" s="51">
        <f t="shared" si="42"/>
        <v>1.2331300548089792E-2</v>
      </c>
      <c r="I201" s="50">
        <f t="shared" si="43"/>
        <v>3.6698947438630385E-5</v>
      </c>
    </row>
    <row r="202" spans="1:14" ht="12.75" customHeight="1" x14ac:dyDescent="0.25">
      <c r="B202" s="84" t="s">
        <v>7</v>
      </c>
      <c r="C202" s="86">
        <v>19.681066838943018</v>
      </c>
      <c r="D202" s="29">
        <v>20836.189535136225</v>
      </c>
      <c r="E202" s="50">
        <f t="shared" si="39"/>
        <v>8.8815778340330109E-3</v>
      </c>
      <c r="F202" s="50">
        <f t="shared" si="40"/>
        <v>6.8160853174303836E-3</v>
      </c>
      <c r="G202" s="50">
        <f t="shared" si="41"/>
        <v>2.024176629132083E-2</v>
      </c>
      <c r="H202" s="51">
        <f t="shared" si="42"/>
        <v>1.9147385865520176E-2</v>
      </c>
      <c r="I202" s="50">
        <f t="shared" si="43"/>
        <v>1.0770080988204539E-4</v>
      </c>
    </row>
    <row r="203" spans="1:14" ht="12.75" customHeight="1" x14ac:dyDescent="0.25">
      <c r="B203" s="84" t="s">
        <v>2</v>
      </c>
      <c r="C203" s="86">
        <v>26.084130370190923</v>
      </c>
      <c r="D203" s="29">
        <v>20450.034940117202</v>
      </c>
      <c r="E203" s="50">
        <f t="shared" si="39"/>
        <v>1.1771121759391212E-2</v>
      </c>
      <c r="F203" s="50">
        <f t="shared" si="40"/>
        <v>6.6897636279041406E-3</v>
      </c>
      <c r="G203" s="50">
        <f t="shared" si="41"/>
        <v>3.2012888050712042E-2</v>
      </c>
      <c r="H203" s="51">
        <f t="shared" si="42"/>
        <v>2.5837149493424316E-2</v>
      </c>
      <c r="I203" s="50">
        <f t="shared" si="43"/>
        <v>1.7478564300301731E-4</v>
      </c>
    </row>
    <row r="204" spans="1:14" ht="12.75" customHeight="1" x14ac:dyDescent="0.25">
      <c r="B204" s="84" t="s">
        <v>6</v>
      </c>
      <c r="C204" s="86">
        <v>57.060380284925856</v>
      </c>
      <c r="D204" s="29">
        <v>49475.746319971244</v>
      </c>
      <c r="E204" s="50">
        <f t="shared" si="39"/>
        <v>2.5749935859031358E-2</v>
      </c>
      <c r="F204" s="50">
        <f t="shared" si="40"/>
        <v>1.6184864679397896E-2</v>
      </c>
      <c r="G204" s="50">
        <f t="shared" si="41"/>
        <v>5.7762823909743397E-2</v>
      </c>
      <c r="H204" s="51">
        <f t="shared" si="42"/>
        <v>4.2022014172822211E-2</v>
      </c>
      <c r="I204" s="50">
        <f t="shared" si="43"/>
        <v>7.2650387478828725E-4</v>
      </c>
    </row>
    <row r="205" spans="1:14" ht="12.75" customHeight="1" x14ac:dyDescent="0.25">
      <c r="B205" s="84" t="s">
        <v>3</v>
      </c>
      <c r="C205" s="86">
        <v>68.224789784349042</v>
      </c>
      <c r="D205" s="29">
        <v>251430.37783690859</v>
      </c>
      <c r="E205" s="50">
        <f t="shared" si="39"/>
        <v>3.0788157249750939E-2</v>
      </c>
      <c r="F205" s="50">
        <f t="shared" si="40"/>
        <v>8.2249727275718124E-2</v>
      </c>
      <c r="G205" s="50">
        <f t="shared" si="41"/>
        <v>8.8550981159494335E-2</v>
      </c>
      <c r="H205" s="51">
        <f t="shared" si="42"/>
        <v>0.12427174144854033</v>
      </c>
      <c r="I205" s="50">
        <f t="shared" si="43"/>
        <v>6.0171352818086943E-3</v>
      </c>
    </row>
    <row r="206" spans="1:14" ht="12.75" customHeight="1" x14ac:dyDescent="0.25">
      <c r="B206" s="84" t="s">
        <v>10</v>
      </c>
      <c r="C206" s="86">
        <v>115.09356267302397</v>
      </c>
      <c r="D206" s="29">
        <v>119784.51078433092</v>
      </c>
      <c r="E206" s="50">
        <f t="shared" si="39"/>
        <v>5.1938873204472963E-2</v>
      </c>
      <c r="F206" s="50">
        <f t="shared" si="40"/>
        <v>3.9184777227902166E-2</v>
      </c>
      <c r="G206" s="50">
        <f t="shared" si="41"/>
        <v>0.1404898543639673</v>
      </c>
      <c r="H206" s="51">
        <f t="shared" si="42"/>
        <v>0.16345651867644251</v>
      </c>
      <c r="I206" s="50">
        <f t="shared" si="43"/>
        <v>4.487457058039713E-3</v>
      </c>
    </row>
    <row r="207" spans="1:14" ht="12.75" customHeight="1" x14ac:dyDescent="0.25">
      <c r="B207" s="116" t="s">
        <v>11</v>
      </c>
      <c r="C207" s="86">
        <v>275.60885090207972</v>
      </c>
      <c r="D207" s="29">
        <v>237021.44592026682</v>
      </c>
      <c r="E207" s="50">
        <f t="shared" si="39"/>
        <v>0.12437544575539296</v>
      </c>
      <c r="F207" s="50">
        <f t="shared" si="40"/>
        <v>7.7536173047808091E-2</v>
      </c>
      <c r="G207" s="50">
        <f t="shared" si="41"/>
        <v>0.26486530011936027</v>
      </c>
      <c r="H207" s="51">
        <f t="shared" si="42"/>
        <v>0.24099269172425059</v>
      </c>
      <c r="I207" s="50">
        <f t="shared" si="43"/>
        <v>1.5714843701920132E-2</v>
      </c>
    </row>
    <row r="208" spans="1:14" ht="12.75" customHeight="1" x14ac:dyDescent="0.25">
      <c r="B208" s="84" t="s">
        <v>5</v>
      </c>
      <c r="C208" s="86">
        <v>371.80449767139828</v>
      </c>
      <c r="D208" s="29">
        <v>363314.38569269452</v>
      </c>
      <c r="E208" s="50">
        <f t="shared" si="39"/>
        <v>0.16778615773906982</v>
      </c>
      <c r="F208" s="50">
        <f t="shared" si="40"/>
        <v>0.1188500347318915</v>
      </c>
      <c r="G208" s="50">
        <f t="shared" si="41"/>
        <v>0.43265145785843007</v>
      </c>
      <c r="H208" s="51">
        <f t="shared" si="42"/>
        <v>0.35984272645614207</v>
      </c>
      <c r="I208" s="50">
        <f t="shared" si="43"/>
        <v>4.1449945455868366E-2</v>
      </c>
    </row>
    <row r="209" spans="1:14" ht="12.75" customHeight="1" x14ac:dyDescent="0.25">
      <c r="B209" s="84" t="s">
        <v>8</v>
      </c>
      <c r="C209" s="86">
        <v>477.69664528568518</v>
      </c>
      <c r="D209" s="29">
        <v>1339764.2833351614</v>
      </c>
      <c r="E209" s="50">
        <f t="shared" si="39"/>
        <v>0.21557266030753078</v>
      </c>
      <c r="F209" s="50">
        <f t="shared" si="40"/>
        <v>0.43827340143259691</v>
      </c>
      <c r="G209" s="50">
        <f t="shared" si="41"/>
        <v>0.64822411816596082</v>
      </c>
      <c r="H209" s="51">
        <f t="shared" si="42"/>
        <v>0.79811612788873898</v>
      </c>
      <c r="I209" s="50">
        <f t="shared" si="43"/>
        <v>0.23685950761481364</v>
      </c>
    </row>
    <row r="210" spans="1:14" ht="12.75" customHeight="1" thickBot="1" x14ac:dyDescent="0.3">
      <c r="B210" s="88" t="s">
        <v>9</v>
      </c>
      <c r="C210" s="89">
        <v>779.51516859702542</v>
      </c>
      <c r="D210" s="32">
        <v>617141.72101696266</v>
      </c>
      <c r="E210" s="52">
        <f t="shared" si="39"/>
        <v>0.35177588183403924</v>
      </c>
      <c r="F210" s="52">
        <f t="shared" si="40"/>
        <v>0.20188387211126102</v>
      </c>
      <c r="G210" s="52">
        <f t="shared" si="41"/>
        <v>1</v>
      </c>
      <c r="H210" s="53">
        <f t="shared" si="42"/>
        <v>1</v>
      </c>
      <c r="I210" s="52">
        <f t="shared" si="43"/>
        <v>0.1663749335412564</v>
      </c>
    </row>
    <row r="211" spans="1:14" ht="12.75" customHeight="1" thickBot="1" x14ac:dyDescent="0.3">
      <c r="B211" s="38" t="s">
        <v>13</v>
      </c>
      <c r="C211" s="32">
        <f>SUM(C199:C210)</f>
        <v>2215.9426181604599</v>
      </c>
      <c r="D211" s="32">
        <f>SUM(D199:D210)</f>
        <v>3056914.4259173274</v>
      </c>
      <c r="E211" s="52">
        <f>SUM(E200:E210)</f>
        <v>1</v>
      </c>
      <c r="F211" s="52">
        <f>SUM(F200:F210)</f>
        <v>1</v>
      </c>
      <c r="G211" s="53"/>
      <c r="H211" s="53"/>
      <c r="I211" s="52">
        <f>SUM(I199:I210)</f>
        <v>0.47197210524165245</v>
      </c>
    </row>
    <row r="212" spans="1:14" ht="12.75" customHeight="1" thickBot="1" x14ac:dyDescent="0.3">
      <c r="B212" s="4"/>
      <c r="C212" s="4"/>
      <c r="D212" s="4"/>
      <c r="E212" s="51"/>
      <c r="F212" s="51"/>
      <c r="G212" s="51"/>
      <c r="H212" s="54"/>
      <c r="I212" s="54"/>
    </row>
    <row r="213" spans="1:14" ht="12.75" customHeight="1" thickBot="1" x14ac:dyDescent="0.3">
      <c r="B213" s="4"/>
      <c r="C213" s="4"/>
      <c r="D213" s="4"/>
      <c r="E213" s="51"/>
      <c r="F213" s="51"/>
      <c r="G213" s="56"/>
      <c r="H213" s="57" t="s">
        <v>33</v>
      </c>
      <c r="I213" s="53">
        <f>1-(2*I211)</f>
        <v>5.6055789516695098E-2</v>
      </c>
    </row>
    <row r="214" spans="1:14" ht="12.75" customHeight="1" x14ac:dyDescent="0.25"/>
    <row r="215" spans="1:14" ht="12.75" customHeight="1" x14ac:dyDescent="0.25"/>
    <row r="216" spans="1:14" ht="12.75" customHeight="1" x14ac:dyDescent="0.25"/>
    <row r="217" spans="1:14" ht="12.75" customHeight="1" x14ac:dyDescent="0.25"/>
    <row r="218" spans="1:14" ht="16.2" thickBot="1" x14ac:dyDescent="0.35">
      <c r="B218" s="209" t="s">
        <v>139</v>
      </c>
      <c r="C218" s="209"/>
      <c r="D218" s="209"/>
      <c r="E218" s="209"/>
      <c r="F218" s="209"/>
      <c r="G218" s="209"/>
      <c r="H218" s="209"/>
      <c r="I218" s="209"/>
    </row>
    <row r="219" spans="1:14" ht="27" thickBot="1" x14ac:dyDescent="0.3">
      <c r="A219" s="8"/>
      <c r="B219" s="30" t="s">
        <v>20</v>
      </c>
      <c r="C219" s="31" t="s">
        <v>43</v>
      </c>
      <c r="D219" s="37" t="s">
        <v>135</v>
      </c>
      <c r="E219" s="31" t="s">
        <v>16</v>
      </c>
      <c r="F219" s="31" t="s">
        <v>22</v>
      </c>
      <c r="G219" s="31" t="s">
        <v>18</v>
      </c>
      <c r="H219" s="31" t="s">
        <v>137</v>
      </c>
      <c r="I219" s="31" t="s">
        <v>21</v>
      </c>
      <c r="J219" s="8"/>
      <c r="K219" s="8"/>
      <c r="L219" s="8"/>
      <c r="M219" s="8"/>
      <c r="N219" s="8"/>
    </row>
    <row r="220" spans="1:14" ht="12.75" customHeight="1" x14ac:dyDescent="0.25">
      <c r="B220" s="4"/>
      <c r="C220" s="26">
        <v>0</v>
      </c>
      <c r="D220" s="26">
        <v>0</v>
      </c>
      <c r="E220" s="50">
        <v>0</v>
      </c>
      <c r="F220" s="50">
        <v>0</v>
      </c>
      <c r="G220" s="50">
        <v>0</v>
      </c>
      <c r="H220" s="51">
        <f>F220</f>
        <v>0</v>
      </c>
      <c r="I220" s="50">
        <v>0</v>
      </c>
    </row>
    <row r="221" spans="1:14" ht="12.75" customHeight="1" x14ac:dyDescent="0.25">
      <c r="B221" s="84" t="s">
        <v>3</v>
      </c>
      <c r="C221" s="86">
        <v>0</v>
      </c>
      <c r="D221" s="29">
        <v>251430.37783690859</v>
      </c>
      <c r="E221" s="50">
        <f t="shared" ref="E221:E231" si="44">C221/$C$232</f>
        <v>0</v>
      </c>
      <c r="F221" s="50">
        <f t="shared" ref="F221:F231" si="45">D221/$D$232</f>
        <v>8.2249727275718124E-2</v>
      </c>
      <c r="G221" s="50">
        <f t="shared" ref="G221:G231" si="46">G220+E221</f>
        <v>0</v>
      </c>
      <c r="H221" s="51">
        <f t="shared" ref="H221:H231" si="47">F221+H220</f>
        <v>8.2249727275718124E-2</v>
      </c>
      <c r="I221" s="50">
        <f t="shared" ref="I221:I231" si="48">(G220+G221)*0.5*(H221-H220)</f>
        <v>0</v>
      </c>
    </row>
    <row r="222" spans="1:14" ht="12.75" customHeight="1" x14ac:dyDescent="0.25">
      <c r="B222" s="84" t="s">
        <v>8</v>
      </c>
      <c r="C222" s="86">
        <v>0</v>
      </c>
      <c r="D222" s="29">
        <v>1339764.2833351614</v>
      </c>
      <c r="E222" s="50">
        <f t="shared" si="44"/>
        <v>0</v>
      </c>
      <c r="F222" s="50">
        <f t="shared" si="45"/>
        <v>0.43827340143259691</v>
      </c>
      <c r="G222" s="50">
        <f t="shared" si="46"/>
        <v>0</v>
      </c>
      <c r="H222" s="51">
        <f t="shared" si="47"/>
        <v>0.52052312870831507</v>
      </c>
      <c r="I222" s="50">
        <f t="shared" si="48"/>
        <v>0</v>
      </c>
    </row>
    <row r="223" spans="1:14" ht="12.75" customHeight="1" x14ac:dyDescent="0.25">
      <c r="B223" s="84" t="s">
        <v>9</v>
      </c>
      <c r="C223" s="86">
        <v>0</v>
      </c>
      <c r="D223" s="29">
        <v>617141.72101696266</v>
      </c>
      <c r="E223" s="50">
        <f t="shared" si="44"/>
        <v>0</v>
      </c>
      <c r="F223" s="50">
        <f t="shared" si="45"/>
        <v>0.20188387211126102</v>
      </c>
      <c r="G223" s="50">
        <f t="shared" si="46"/>
        <v>0</v>
      </c>
      <c r="H223" s="51">
        <f t="shared" si="47"/>
        <v>0.7224070008195761</v>
      </c>
      <c r="I223" s="50">
        <f t="shared" si="48"/>
        <v>0</v>
      </c>
    </row>
    <row r="224" spans="1:14" ht="12.75" customHeight="1" x14ac:dyDescent="0.25">
      <c r="B224" s="84" t="s">
        <v>2</v>
      </c>
      <c r="C224" s="86">
        <v>1.3224981196287995</v>
      </c>
      <c r="D224" s="29">
        <v>20450.034940117202</v>
      </c>
      <c r="E224" s="50">
        <f t="shared" si="44"/>
        <v>5.4290577913134646E-3</v>
      </c>
      <c r="F224" s="50">
        <f t="shared" si="45"/>
        <v>6.6897636279041406E-3</v>
      </c>
      <c r="G224" s="50">
        <f t="shared" si="46"/>
        <v>5.4290577913134646E-3</v>
      </c>
      <c r="H224" s="51">
        <f t="shared" si="47"/>
        <v>0.72909676444748028</v>
      </c>
      <c r="I224" s="50">
        <f t="shared" si="48"/>
        <v>1.815955667305933E-5</v>
      </c>
    </row>
    <row r="225" spans="1:14" ht="12.75" customHeight="1" x14ac:dyDescent="0.25">
      <c r="B225" s="84" t="s">
        <v>4</v>
      </c>
      <c r="C225" s="86">
        <v>1.9103503028842752</v>
      </c>
      <c r="D225" s="29">
        <v>24496.645034227455</v>
      </c>
      <c r="E225" s="50">
        <f t="shared" si="44"/>
        <v>7.8422812418992086E-3</v>
      </c>
      <c r="F225" s="50">
        <f t="shared" si="45"/>
        <v>8.0135200470573958E-3</v>
      </c>
      <c r="G225" s="50">
        <f t="shared" si="46"/>
        <v>1.3271339033212672E-2</v>
      </c>
      <c r="H225" s="51">
        <f t="shared" si="47"/>
        <v>0.73711028449453764</v>
      </c>
      <c r="I225" s="50">
        <f t="shared" si="48"/>
        <v>7.4928002420633936E-5</v>
      </c>
    </row>
    <row r="226" spans="1:14" ht="12.75" customHeight="1" x14ac:dyDescent="0.25">
      <c r="B226" s="84" t="s">
        <v>1</v>
      </c>
      <c r="C226" s="86">
        <v>7.1530660073489152</v>
      </c>
      <c r="D226" s="29">
        <v>13199.085501550475</v>
      </c>
      <c r="E226" s="50">
        <f t="shared" si="44"/>
        <v>2.9364433992448483E-2</v>
      </c>
      <c r="F226" s="50">
        <f t="shared" si="45"/>
        <v>4.3177805010323955E-3</v>
      </c>
      <c r="G226" s="50">
        <f t="shared" si="46"/>
        <v>4.2635773025661156E-2</v>
      </c>
      <c r="H226" s="51">
        <f t="shared" si="47"/>
        <v>0.74142806499557001</v>
      </c>
      <c r="I226" s="50">
        <f t="shared" si="48"/>
        <v>1.206973191584187E-4</v>
      </c>
    </row>
    <row r="227" spans="1:14" ht="12.75" customHeight="1" x14ac:dyDescent="0.25">
      <c r="B227" s="84" t="s">
        <v>7</v>
      </c>
      <c r="C227" s="86">
        <v>8.1725692358649695</v>
      </c>
      <c r="D227" s="29">
        <v>20836.189535136225</v>
      </c>
      <c r="E227" s="50">
        <f t="shared" si="44"/>
        <v>3.3549651244475932E-2</v>
      </c>
      <c r="F227" s="50">
        <f t="shared" si="45"/>
        <v>6.8160853174303836E-3</v>
      </c>
      <c r="G227" s="50">
        <f t="shared" si="46"/>
        <v>7.6185424270137081E-2</v>
      </c>
      <c r="H227" s="51">
        <f t="shared" si="47"/>
        <v>0.7482441503130004</v>
      </c>
      <c r="I227" s="50">
        <f t="shared" si="48"/>
        <v>4.0494770914369479E-4</v>
      </c>
    </row>
    <row r="228" spans="1:14" ht="12.75" customHeight="1" x14ac:dyDescent="0.25">
      <c r="B228" s="84" t="s">
        <v>6</v>
      </c>
      <c r="C228" s="86">
        <v>27.678981965070257</v>
      </c>
      <c r="D228" s="29">
        <v>49475.746319971244</v>
      </c>
      <c r="E228" s="50">
        <f t="shared" si="44"/>
        <v>0.11362646983215957</v>
      </c>
      <c r="F228" s="50">
        <f t="shared" si="45"/>
        <v>1.6184864679397896E-2</v>
      </c>
      <c r="G228" s="50">
        <f t="shared" si="46"/>
        <v>0.18981189410229665</v>
      </c>
      <c r="H228" s="51">
        <f t="shared" si="47"/>
        <v>0.76442901499239835</v>
      </c>
      <c r="I228" s="50">
        <f t="shared" si="48"/>
        <v>2.1525653014702866E-3</v>
      </c>
    </row>
    <row r="229" spans="1:14" ht="12.75" customHeight="1" x14ac:dyDescent="0.25">
      <c r="B229" s="84" t="s">
        <v>10</v>
      </c>
      <c r="C229" s="86">
        <v>58.968413233176513</v>
      </c>
      <c r="D229" s="29">
        <v>119784.51078433092</v>
      </c>
      <c r="E229" s="50">
        <f t="shared" si="44"/>
        <v>0.24207438827574823</v>
      </c>
      <c r="F229" s="50">
        <f t="shared" si="45"/>
        <v>3.9184777227902166E-2</v>
      </c>
      <c r="G229" s="50">
        <f t="shared" si="46"/>
        <v>0.43188628237804488</v>
      </c>
      <c r="H229" s="51">
        <f t="shared" si="47"/>
        <v>0.80361379222030049</v>
      </c>
      <c r="I229" s="50">
        <f t="shared" si="48"/>
        <v>1.2180552274187588E-2</v>
      </c>
    </row>
    <row r="230" spans="1:14" ht="12.75" customHeight="1" x14ac:dyDescent="0.25">
      <c r="B230" s="116" t="s">
        <v>11</v>
      </c>
      <c r="C230" s="86">
        <v>61.077225932354281</v>
      </c>
      <c r="D230" s="29">
        <v>237021.44592026682</v>
      </c>
      <c r="E230" s="50">
        <f t="shared" si="44"/>
        <v>0.25073138811942691</v>
      </c>
      <c r="F230" s="50">
        <f t="shared" si="45"/>
        <v>7.7536173047808091E-2</v>
      </c>
      <c r="G230" s="50">
        <f t="shared" si="46"/>
        <v>0.6826176704974718</v>
      </c>
      <c r="H230" s="51">
        <f t="shared" si="47"/>
        <v>0.88114996526810863</v>
      </c>
      <c r="I230" s="50">
        <f t="shared" si="48"/>
        <v>4.3207185676311134E-2</v>
      </c>
    </row>
    <row r="231" spans="1:14" ht="12.75" customHeight="1" thickBot="1" x14ac:dyDescent="0.3">
      <c r="B231" s="88" t="s">
        <v>5</v>
      </c>
      <c r="C231" s="89">
        <v>77.313145320001027</v>
      </c>
      <c r="D231" s="32">
        <v>363314.38569269452</v>
      </c>
      <c r="E231" s="52">
        <f t="shared" si="44"/>
        <v>0.31738232950252826</v>
      </c>
      <c r="F231" s="52">
        <f t="shared" si="45"/>
        <v>0.1188500347318915</v>
      </c>
      <c r="G231" s="52">
        <f t="shared" si="46"/>
        <v>1</v>
      </c>
      <c r="H231" s="53">
        <f t="shared" si="47"/>
        <v>1.0000000000000002</v>
      </c>
      <c r="I231" s="52">
        <f t="shared" si="48"/>
        <v>9.9989584289559522E-2</v>
      </c>
    </row>
    <row r="232" spans="1:14" ht="12.75" customHeight="1" thickBot="1" x14ac:dyDescent="0.3">
      <c r="B232" s="38" t="s">
        <v>13</v>
      </c>
      <c r="C232" s="32">
        <f>SUM(C220:C231)</f>
        <v>243.59625011632903</v>
      </c>
      <c r="D232" s="32">
        <f>SUM(D220:D231)</f>
        <v>3056914.4259173274</v>
      </c>
      <c r="E232" s="52">
        <f>SUM(E221:E231)</f>
        <v>1</v>
      </c>
      <c r="F232" s="52">
        <f>SUM(F221:F231)</f>
        <v>1.0000000000000002</v>
      </c>
      <c r="G232" s="53"/>
      <c r="H232" s="53"/>
      <c r="I232" s="52">
        <f>SUM(I220:I231)</f>
        <v>0.15814862012892433</v>
      </c>
    </row>
    <row r="233" spans="1:14" ht="12.75" customHeight="1" thickBot="1" x14ac:dyDescent="0.3">
      <c r="B233" s="4"/>
      <c r="C233" s="4"/>
      <c r="D233" s="4"/>
      <c r="E233" s="51"/>
      <c r="F233" s="51"/>
      <c r="G233" s="51"/>
      <c r="H233" s="54"/>
      <c r="I233" s="54"/>
    </row>
    <row r="234" spans="1:14" ht="12.75" customHeight="1" thickBot="1" x14ac:dyDescent="0.3">
      <c r="B234" s="4"/>
      <c r="C234" s="4"/>
      <c r="D234" s="4"/>
      <c r="E234" s="51"/>
      <c r="F234" s="51"/>
      <c r="G234" s="56"/>
      <c r="H234" s="57" t="s">
        <v>37</v>
      </c>
      <c r="I234" s="53">
        <f>1-(2*I232)</f>
        <v>0.68370275974215133</v>
      </c>
    </row>
    <row r="235" spans="1:14" ht="12.75" customHeight="1" x14ac:dyDescent="0.25"/>
    <row r="236" spans="1:14" ht="12.75" customHeight="1" x14ac:dyDescent="0.25"/>
    <row r="237" spans="1:14" ht="12.75" customHeight="1" x14ac:dyDescent="0.25"/>
    <row r="238" spans="1:14" ht="12.75" customHeight="1" x14ac:dyDescent="0.25"/>
    <row r="239" spans="1:14" ht="16.2" thickBot="1" x14ac:dyDescent="0.35">
      <c r="B239" s="209" t="s">
        <v>138</v>
      </c>
      <c r="C239" s="209"/>
      <c r="D239" s="209"/>
      <c r="E239" s="209"/>
      <c r="F239" s="209"/>
      <c r="G239" s="209"/>
      <c r="H239" s="209"/>
      <c r="I239" s="209"/>
    </row>
    <row r="240" spans="1:14" ht="27" thickBot="1" x14ac:dyDescent="0.3">
      <c r="A240" s="8"/>
      <c r="B240" s="30" t="s">
        <v>20</v>
      </c>
      <c r="C240" s="31" t="s">
        <v>44</v>
      </c>
      <c r="D240" s="37" t="s">
        <v>135</v>
      </c>
      <c r="E240" s="31" t="s">
        <v>16</v>
      </c>
      <c r="F240" s="31" t="s">
        <v>22</v>
      </c>
      <c r="G240" s="31" t="s">
        <v>18</v>
      </c>
      <c r="H240" s="31" t="s">
        <v>137</v>
      </c>
      <c r="I240" s="31" t="s">
        <v>21</v>
      </c>
      <c r="J240" s="8"/>
      <c r="K240" s="8"/>
      <c r="L240" s="8"/>
      <c r="M240" s="8"/>
      <c r="N240" s="8"/>
    </row>
    <row r="241" spans="2:9" ht="12.75" customHeight="1" x14ac:dyDescent="0.25">
      <c r="B241" s="4"/>
      <c r="C241" s="26">
        <v>0</v>
      </c>
      <c r="D241" s="26">
        <v>0</v>
      </c>
      <c r="E241" s="50">
        <v>0</v>
      </c>
      <c r="F241" s="50">
        <v>0</v>
      </c>
      <c r="G241" s="50">
        <v>0</v>
      </c>
      <c r="H241" s="51">
        <f>F241</f>
        <v>0</v>
      </c>
      <c r="I241" s="50">
        <v>0</v>
      </c>
    </row>
    <row r="242" spans="2:9" ht="12.75" customHeight="1" x14ac:dyDescent="0.25">
      <c r="B242" s="84" t="s">
        <v>2</v>
      </c>
      <c r="C242" s="29">
        <v>1.3224981196287995</v>
      </c>
      <c r="D242" s="29">
        <v>20450.034940117202</v>
      </c>
      <c r="E242" s="50">
        <f>C242/$C$253</f>
        <v>3.4593541506786328E-3</v>
      </c>
      <c r="F242" s="50">
        <f>D242/$D$253</f>
        <v>6.6897636279041406E-3</v>
      </c>
      <c r="G242" s="50">
        <f>G241+E242</f>
        <v>3.4593541506786328E-3</v>
      </c>
      <c r="H242" s="51">
        <f>F242+H241</f>
        <v>6.6897636279041406E-3</v>
      </c>
      <c r="I242" s="50">
        <f>(G241+G242)*0.5*(H242-H241)</f>
        <v>1.1571130786624569E-5</v>
      </c>
    </row>
    <row r="243" spans="2:9" ht="12.75" customHeight="1" x14ac:dyDescent="0.25">
      <c r="B243" s="84" t="s">
        <v>4</v>
      </c>
      <c r="C243" s="29">
        <v>1.9103503028842752</v>
      </c>
      <c r="D243" s="29">
        <v>24496.645034227455</v>
      </c>
      <c r="E243" s="50">
        <f>C243/$C$253</f>
        <v>4.9970416981672573E-3</v>
      </c>
      <c r="F243" s="50">
        <f>D243/$D$253</f>
        <v>8.0135200470573958E-3</v>
      </c>
      <c r="G243" s="50">
        <f>G242+E243</f>
        <v>8.4563958488458896E-3</v>
      </c>
      <c r="H243" s="51">
        <f>F243+H242</f>
        <v>1.4703283674961536E-2</v>
      </c>
      <c r="I243" s="50">
        <f>(G242+G243)*0.5*(H243-H242)</f>
        <v>4.7743550748456958E-5</v>
      </c>
    </row>
    <row r="244" spans="2:9" ht="12.75" customHeight="1" x14ac:dyDescent="0.25">
      <c r="B244" s="84" t="s">
        <v>1</v>
      </c>
      <c r="C244" s="29">
        <v>7.1530660073489152</v>
      </c>
      <c r="D244" s="29">
        <v>13199.085501550475</v>
      </c>
      <c r="E244" s="50">
        <f>C244/$C$253</f>
        <v>1.8710793017646148E-2</v>
      </c>
      <c r="F244" s="50">
        <f>D244/$D$253</f>
        <v>4.3177805010323955E-3</v>
      </c>
      <c r="G244" s="50">
        <f>G243+E244</f>
        <v>2.716718886649204E-2</v>
      </c>
      <c r="H244" s="51">
        <f>F244+H243</f>
        <v>1.9021064175993932E-2</v>
      </c>
      <c r="I244" s="50">
        <f>(G243+G244)*0.5*(H244-H243)</f>
        <v>7.6907409730380904E-5</v>
      </c>
    </row>
    <row r="245" spans="2:9" ht="12.75" customHeight="1" x14ac:dyDescent="0.25">
      <c r="B245" s="84" t="s">
        <v>7</v>
      </c>
      <c r="C245" s="29">
        <v>11.97256923586497</v>
      </c>
      <c r="D245" s="29">
        <v>20836.189535136225</v>
      </c>
      <c r="E245" s="50">
        <f>C245/$C$253</f>
        <v>3.1317516800705825E-2</v>
      </c>
      <c r="F245" s="50">
        <f>D245/$D$253</f>
        <v>6.8160853174303836E-3</v>
      </c>
      <c r="G245" s="50">
        <f>G244+E245</f>
        <v>5.8484705667197864E-2</v>
      </c>
      <c r="H245" s="51">
        <f>F245+H244</f>
        <v>2.5837149493424316E-2</v>
      </c>
      <c r="I245" s="50">
        <f>(G244+G245)*0.5*(H245-H244)</f>
        <v>2.9190531037058976E-4</v>
      </c>
    </row>
    <row r="246" spans="2:9" ht="12.75" customHeight="1" x14ac:dyDescent="0.25">
      <c r="B246" s="84" t="s">
        <v>9</v>
      </c>
      <c r="C246" s="29">
        <v>23.5</v>
      </c>
      <c r="D246" s="29">
        <v>617141.72101696266</v>
      </c>
      <c r="E246" s="50">
        <f>C246/$C$253</f>
        <v>6.1470652649219498E-2</v>
      </c>
      <c r="F246" s="50">
        <f>D246/$D$253</f>
        <v>0.20188387211126102</v>
      </c>
      <c r="G246" s="50">
        <f>G245+E246</f>
        <v>0.11995535831641736</v>
      </c>
      <c r="H246" s="51">
        <f>F246+H245</f>
        <v>0.22772102160468533</v>
      </c>
      <c r="I246" s="50">
        <f>(G245+G246)*0.5*(H246-H245)</f>
        <v>1.8012085528396705E-2</v>
      </c>
    </row>
    <row r="247" spans="2:9" ht="12.75" customHeight="1" x14ac:dyDescent="0.25">
      <c r="B247" s="84" t="s">
        <v>6</v>
      </c>
      <c r="C247" s="29">
        <v>27.678981965070257</v>
      </c>
      <c r="D247" s="29">
        <v>49475.746319971244</v>
      </c>
      <c r="E247" s="50">
        <f>C247/$C$253</f>
        <v>7.2401918555695513E-2</v>
      </c>
      <c r="F247" s="50">
        <f>D247/$D$253</f>
        <v>1.6184864679397896E-2</v>
      </c>
      <c r="G247" s="50">
        <f>G246+E247</f>
        <v>0.19235727687211288</v>
      </c>
      <c r="H247" s="51">
        <f>F247+H246</f>
        <v>0.24390588628408322</v>
      </c>
      <c r="I247" s="50">
        <f>(G246+G247)*0.5*(H247-H246)</f>
        <v>2.5273688690962614E-3</v>
      </c>
    </row>
    <row r="248" spans="2:9" ht="12.75" customHeight="1" x14ac:dyDescent="0.25">
      <c r="B248" s="84" t="s">
        <v>8</v>
      </c>
      <c r="C248" s="29">
        <v>33.799999999999997</v>
      </c>
      <c r="D248" s="29">
        <v>1339764.2833351614</v>
      </c>
      <c r="E248" s="50">
        <f>C248/$C$253</f>
        <v>8.8413108916749736E-2</v>
      </c>
      <c r="F248" s="50">
        <f>D248/$D$253</f>
        <v>0.43827340143259691</v>
      </c>
      <c r="G248" s="50">
        <f>G247+E248</f>
        <v>0.2807703857888626</v>
      </c>
      <c r="H248" s="51">
        <f>F248+H247</f>
        <v>0.68217928771668013</v>
      </c>
      <c r="I248" s="50">
        <f>(G247+G248)*0.5*(H248-H247)</f>
        <v>0.10367963501314001</v>
      </c>
    </row>
    <row r="249" spans="2:9" ht="12.75" customHeight="1" x14ac:dyDescent="0.25">
      <c r="B249" s="84" t="s">
        <v>3</v>
      </c>
      <c r="C249" s="29">
        <v>56.5</v>
      </c>
      <c r="D249" s="29">
        <v>251430.37783690859</v>
      </c>
      <c r="E249" s="50">
        <f>C249/$C$253</f>
        <v>0.14779114360344262</v>
      </c>
      <c r="F249" s="50">
        <f>D249/$D$253</f>
        <v>8.2249727275718124E-2</v>
      </c>
      <c r="G249" s="50">
        <f>G248+E249</f>
        <v>0.42856152939230518</v>
      </c>
      <c r="H249" s="51">
        <f>F249+H248</f>
        <v>0.76442901499239824</v>
      </c>
      <c r="I249" s="50">
        <f>(G248+G249)*0.5*(H249-H248)</f>
        <v>2.9171178285806929E-2</v>
      </c>
    </row>
    <row r="250" spans="2:9" ht="12.75" customHeight="1" x14ac:dyDescent="0.25">
      <c r="B250" s="84" t="s">
        <v>10</v>
      </c>
      <c r="C250" s="29">
        <v>58.968413233176513</v>
      </c>
      <c r="D250" s="29">
        <v>119784.51078433092</v>
      </c>
      <c r="E250" s="50">
        <f>C250/$C$253</f>
        <v>0.15424795094179711</v>
      </c>
      <c r="F250" s="50">
        <f>D250/$D$253</f>
        <v>3.9184777227902166E-2</v>
      </c>
      <c r="G250" s="50">
        <f>G249+E250</f>
        <v>0.58280948033410229</v>
      </c>
      <c r="H250" s="51">
        <f>F250+H249</f>
        <v>0.80361379222030038</v>
      </c>
      <c r="I250" s="50">
        <f>(G249+G250)*0.5*(H250-H249)</f>
        <v>1.9815173855443867E-2</v>
      </c>
    </row>
    <row r="251" spans="2:9" ht="12.75" customHeight="1" x14ac:dyDescent="0.25">
      <c r="B251" s="84" t="s">
        <v>5</v>
      </c>
      <c r="C251" s="29">
        <v>77.313145320001027</v>
      </c>
      <c r="D251" s="29">
        <v>363314.38569269452</v>
      </c>
      <c r="E251" s="50">
        <f>C251/$C$253</f>
        <v>0.20223359579508141</v>
      </c>
      <c r="F251" s="50">
        <f>D251/$D$253</f>
        <v>0.1188500347318915</v>
      </c>
      <c r="G251" s="50">
        <f>G250+E251</f>
        <v>0.78504307612918367</v>
      </c>
      <c r="H251" s="51">
        <f>F251+H250</f>
        <v>0.92246382695219187</v>
      </c>
      <c r="I251" s="50">
        <f>(G250+G251)*0.5*(H251-H250)</f>
        <v>8.1284661921884049E-2</v>
      </c>
    </row>
    <row r="252" spans="2:9" ht="12.75" customHeight="1" thickBot="1" x14ac:dyDescent="0.3">
      <c r="B252" s="88" t="s">
        <v>11</v>
      </c>
      <c r="C252" s="32">
        <v>82.177225932354276</v>
      </c>
      <c r="D252" s="32">
        <v>237021.44592026682</v>
      </c>
      <c r="E252" s="52">
        <f>C252/$C$253</f>
        <v>0.21495692387081627</v>
      </c>
      <c r="F252" s="52">
        <f>D252/$D$253</f>
        <v>7.7536173047808091E-2</v>
      </c>
      <c r="G252" s="52">
        <f>G251+E252</f>
        <v>1</v>
      </c>
      <c r="H252" s="53">
        <f>F252+H251</f>
        <v>1</v>
      </c>
      <c r="I252" s="52">
        <f>(G251+G252)*0.5*(H252-H251)</f>
        <v>6.9202704424272066E-2</v>
      </c>
    </row>
    <row r="253" spans="2:9" ht="12.75" customHeight="1" thickBot="1" x14ac:dyDescent="0.3">
      <c r="B253" s="38" t="s">
        <v>13</v>
      </c>
      <c r="C253" s="32">
        <f>SUM(C241:C252)</f>
        <v>382.29625011632902</v>
      </c>
      <c r="D253" s="32">
        <f>SUM(D241:D252)</f>
        <v>3056914.4259173274</v>
      </c>
      <c r="E253" s="52">
        <f>SUM(E242:E252)</f>
        <v>1</v>
      </c>
      <c r="F253" s="52">
        <f>SUM(F242:F252)</f>
        <v>1</v>
      </c>
      <c r="G253" s="53"/>
      <c r="H253" s="53"/>
      <c r="I253" s="52">
        <f>SUM(I241:I252)</f>
        <v>0.32412093529967595</v>
      </c>
    </row>
    <row r="254" spans="2:9" ht="12.75" customHeight="1" thickBot="1" x14ac:dyDescent="0.3">
      <c r="B254" s="4"/>
      <c r="C254" s="4"/>
      <c r="D254" s="4"/>
      <c r="E254" s="51"/>
      <c r="F254" s="51"/>
      <c r="G254" s="51"/>
      <c r="H254" s="54"/>
      <c r="I254" s="54"/>
    </row>
    <row r="255" spans="2:9" ht="12.75" customHeight="1" thickBot="1" x14ac:dyDescent="0.3">
      <c r="B255" s="4"/>
      <c r="C255" s="4"/>
      <c r="D255" s="4"/>
      <c r="E255" s="51"/>
      <c r="F255" s="51"/>
      <c r="G255" s="56"/>
      <c r="H255" s="58" t="s">
        <v>33</v>
      </c>
      <c r="I255" s="59">
        <f>1-(2*I253)</f>
        <v>0.3517581294006481</v>
      </c>
    </row>
    <row r="256" spans="2:9" ht="12.6" customHeight="1" x14ac:dyDescent="0.25"/>
    <row r="257" spans="1:14" ht="12.6" customHeight="1" x14ac:dyDescent="0.25">
      <c r="A257" s="117" t="s">
        <v>131</v>
      </c>
      <c r="B257" s="117"/>
      <c r="C257" s="117"/>
      <c r="D257" s="117"/>
      <c r="E257" s="117"/>
      <c r="F257" s="117"/>
      <c r="G257" s="118"/>
      <c r="H257" s="118"/>
      <c r="I257" s="118"/>
    </row>
    <row r="258" spans="1:14" ht="12.75" customHeight="1" x14ac:dyDescent="0.25"/>
    <row r="259" spans="1:14" ht="16.2" thickBot="1" x14ac:dyDescent="0.35">
      <c r="B259" s="209" t="s">
        <v>128</v>
      </c>
      <c r="C259" s="209"/>
      <c r="D259" s="209"/>
      <c r="E259" s="209"/>
      <c r="F259" s="209"/>
      <c r="G259" s="209"/>
      <c r="H259" s="209"/>
      <c r="I259" s="209"/>
    </row>
    <row r="260" spans="1:14" ht="38.4" customHeight="1" thickBot="1" x14ac:dyDescent="0.3">
      <c r="B260" s="36" t="s">
        <v>20</v>
      </c>
      <c r="C260" s="37" t="s">
        <v>108</v>
      </c>
      <c r="D260" s="37" t="s">
        <v>46</v>
      </c>
      <c r="E260" s="37" t="s">
        <v>106</v>
      </c>
      <c r="F260" s="37" t="s">
        <v>17</v>
      </c>
      <c r="G260" s="37" t="s">
        <v>107</v>
      </c>
      <c r="H260" s="37" t="s">
        <v>136</v>
      </c>
      <c r="I260" s="37" t="s">
        <v>21</v>
      </c>
      <c r="J260" s="8"/>
      <c r="K260" s="8"/>
      <c r="L260" s="8"/>
      <c r="M260" s="8"/>
      <c r="N260" s="8"/>
    </row>
    <row r="261" spans="1:14" ht="12.75" customHeight="1" x14ac:dyDescent="0.25">
      <c r="B261" s="4"/>
      <c r="C261" s="26">
        <v>0</v>
      </c>
      <c r="D261" s="26">
        <v>0</v>
      </c>
      <c r="E261" s="50">
        <f>C261/$C$82</f>
        <v>0</v>
      </c>
      <c r="F261" s="50">
        <v>0</v>
      </c>
      <c r="G261" s="50">
        <v>0</v>
      </c>
      <c r="H261" s="51">
        <f>F261</f>
        <v>0</v>
      </c>
      <c r="I261" s="50">
        <v>0</v>
      </c>
    </row>
    <row r="262" spans="1:14" ht="12.75" customHeight="1" x14ac:dyDescent="0.25">
      <c r="B262" s="84" t="s">
        <v>1</v>
      </c>
      <c r="C262" s="29">
        <v>7.1530660073489152</v>
      </c>
      <c r="D262" s="29">
        <v>3.8753060000000001</v>
      </c>
      <c r="E262" s="50">
        <f>C262/$C$273</f>
        <v>1.8710793017646148E-2</v>
      </c>
      <c r="F262" s="50">
        <f>D262/$D$273</f>
        <v>1.4487850841712153E-2</v>
      </c>
      <c r="G262" s="50">
        <f>G261+E262</f>
        <v>1.8710793017646148E-2</v>
      </c>
      <c r="H262" s="51">
        <f>F262+H261</f>
        <v>1.4487850841712153E-2</v>
      </c>
      <c r="I262" s="50">
        <f>(G261+G262)*0.5*(H262-H261)</f>
        <v>1.3553958918490332E-4</v>
      </c>
    </row>
    <row r="263" spans="1:14" ht="12.75" customHeight="1" x14ac:dyDescent="0.25">
      <c r="B263" s="84" t="s">
        <v>2</v>
      </c>
      <c r="C263" s="29">
        <v>1.3224981196287995</v>
      </c>
      <c r="D263" s="29">
        <v>10.905776556851148</v>
      </c>
      <c r="E263" s="50">
        <f>C263/$C$273</f>
        <v>3.4593541506786328E-3</v>
      </c>
      <c r="F263" s="50">
        <f>D263/$D$273</f>
        <v>4.0771300142156658E-2</v>
      </c>
      <c r="G263" s="50">
        <f>G262+E263</f>
        <v>2.2170147168324782E-2</v>
      </c>
      <c r="H263" s="51">
        <f>F263+H262</f>
        <v>5.5259150983868813E-2</v>
      </c>
      <c r="I263" s="50">
        <f>(G262+G263)*0.5*(H263-H262)</f>
        <v>8.3338454120788726E-4</v>
      </c>
    </row>
    <row r="264" spans="1:14" ht="12.75" customHeight="1" x14ac:dyDescent="0.25">
      <c r="B264" s="84" t="s">
        <v>3</v>
      </c>
      <c r="C264" s="29">
        <v>56.5</v>
      </c>
      <c r="D264" s="29">
        <v>1.2901100000000001</v>
      </c>
      <c r="E264" s="50">
        <f>C264/$C$273</f>
        <v>0.14779114360344262</v>
      </c>
      <c r="F264" s="50">
        <f>D264/$D$273</f>
        <v>4.8230826802841548E-3</v>
      </c>
      <c r="G264" s="50">
        <f>G263+E264</f>
        <v>0.16996129077176739</v>
      </c>
      <c r="H264" s="51">
        <f>F264+H263</f>
        <v>6.0082233664152968E-2</v>
      </c>
      <c r="I264" s="50">
        <f>(G263+G264)*0.5*(H264-H263)</f>
        <v>4.6333290533347421E-4</v>
      </c>
    </row>
    <row r="265" spans="1:14" ht="12.75" customHeight="1" x14ac:dyDescent="0.25">
      <c r="B265" s="84" t="s">
        <v>4</v>
      </c>
      <c r="C265" s="29">
        <v>1.9103503028842752</v>
      </c>
      <c r="D265" s="29">
        <v>19.742709999999999</v>
      </c>
      <c r="E265" s="50">
        <f>C265/$C$273</f>
        <v>4.9970416981672573E-3</v>
      </c>
      <c r="F265" s="50">
        <f>D265/$D$273</f>
        <v>7.3808219967966118E-2</v>
      </c>
      <c r="G265" s="50">
        <f>G264+E265</f>
        <v>0.17495833246993464</v>
      </c>
      <c r="H265" s="51">
        <f>F265+H264</f>
        <v>0.1338904536321191</v>
      </c>
      <c r="I265" s="50">
        <f>(G264+G265)*0.5*(H265-H264)</f>
        <v>1.2728951711745772E-2</v>
      </c>
    </row>
    <row r="266" spans="1:14" ht="12.75" customHeight="1" x14ac:dyDescent="0.25">
      <c r="B266" s="84" t="s">
        <v>5</v>
      </c>
      <c r="C266" s="29">
        <v>77.313145320001027</v>
      </c>
      <c r="D266" s="29">
        <v>11.996235</v>
      </c>
      <c r="E266" s="50">
        <f>C266/$C$273</f>
        <v>0.20223359579508141</v>
      </c>
      <c r="F266" s="50">
        <f>D266/$D$273</f>
        <v>4.4847984479709932E-2</v>
      </c>
      <c r="G266" s="50">
        <f>G265+E266</f>
        <v>0.37719192826501602</v>
      </c>
      <c r="H266" s="51">
        <f>F266+H265</f>
        <v>0.17873843811182905</v>
      </c>
      <c r="I266" s="50">
        <f>(G265+G266)*0.5*(H266-H265)</f>
        <v>1.2381413161954433E-2</v>
      </c>
    </row>
    <row r="267" spans="1:14" ht="12.75" customHeight="1" x14ac:dyDescent="0.25">
      <c r="B267" s="84" t="s">
        <v>6</v>
      </c>
      <c r="C267" s="29">
        <v>27.678981965070257</v>
      </c>
      <c r="D267" s="29">
        <v>6.169632</v>
      </c>
      <c r="E267" s="50">
        <f>C267/$C$273</f>
        <v>7.2401918555695513E-2</v>
      </c>
      <c r="F267" s="50">
        <f>D267/$D$273</f>
        <v>2.3065200054977395E-2</v>
      </c>
      <c r="G267" s="50">
        <f>G266+E267</f>
        <v>0.44959384682071152</v>
      </c>
      <c r="H267" s="51">
        <f>F267+H266</f>
        <v>0.20180363816680644</v>
      </c>
      <c r="I267" s="50">
        <f>(G266+G267)*0.5*(H267-H266)</f>
        <v>9.5349896524809241E-3</v>
      </c>
    </row>
    <row r="268" spans="1:14" ht="12.75" customHeight="1" x14ac:dyDescent="0.25">
      <c r="B268" s="116" t="s">
        <v>7</v>
      </c>
      <c r="C268" s="29">
        <v>11.97256923586497</v>
      </c>
      <c r="D268" s="29">
        <v>41.918567000000003</v>
      </c>
      <c r="E268" s="50">
        <f>C268/$C$273</f>
        <v>3.1317516800705825E-2</v>
      </c>
      <c r="F268" s="50">
        <f>D268/$D$273</f>
        <v>0.15671277215123589</v>
      </c>
      <c r="G268" s="50">
        <f>G267+E268</f>
        <v>0.48091136362141734</v>
      </c>
      <c r="H268" s="51">
        <f>F268+H267</f>
        <v>0.35851641031804232</v>
      </c>
      <c r="I268" s="50">
        <f>(G267+G268)*0.5*(H268-H267)</f>
        <v>7.2911025514777572E-2</v>
      </c>
    </row>
    <row r="269" spans="1:14" ht="12.75" customHeight="1" x14ac:dyDescent="0.25">
      <c r="B269" s="84" t="s">
        <v>8</v>
      </c>
      <c r="C269" s="29">
        <v>33.799999999999997</v>
      </c>
      <c r="D269" s="29">
        <v>11.426439</v>
      </c>
      <c r="E269" s="50">
        <f>C269/$C$273</f>
        <v>8.8413108916749736E-2</v>
      </c>
      <c r="F269" s="50">
        <f>D269/$D$273</f>
        <v>4.2717799287055672E-2</v>
      </c>
      <c r="G269" s="50">
        <f>G268+E269</f>
        <v>0.56932447253816709</v>
      </c>
      <c r="H269" s="51">
        <f>F269+H268</f>
        <v>0.40123420960509798</v>
      </c>
      <c r="I269" s="50">
        <f>(G268+G269)*0.5*(H269-H268)</f>
        <v>2.2431881826569102E-2</v>
      </c>
    </row>
    <row r="270" spans="1:14" ht="12.75" customHeight="1" x14ac:dyDescent="0.25">
      <c r="B270" s="84" t="s">
        <v>9</v>
      </c>
      <c r="C270" s="29">
        <v>23.5</v>
      </c>
      <c r="D270" s="29">
        <v>36.982824999999998</v>
      </c>
      <c r="E270" s="50">
        <f>C270/$C$273</f>
        <v>6.1470652649219498E-2</v>
      </c>
      <c r="F270" s="50">
        <f>D270/$D$273</f>
        <v>0.1382604760256721</v>
      </c>
      <c r="G270" s="50">
        <f>G269+E270</f>
        <v>0.63079512518738656</v>
      </c>
      <c r="H270" s="51">
        <f>F270+H269</f>
        <v>0.53949468563077008</v>
      </c>
      <c r="I270" s="50">
        <f>(G269+G270)*0.5*(H270-H269)</f>
        <v>8.2964553434636573E-2</v>
      </c>
    </row>
    <row r="271" spans="1:14" ht="12.75" customHeight="1" x14ac:dyDescent="0.25">
      <c r="B271" s="84" t="s">
        <v>10</v>
      </c>
      <c r="C271" s="29">
        <v>58.968413233176513</v>
      </c>
      <c r="D271" s="29">
        <v>39.232453</v>
      </c>
      <c r="E271" s="50">
        <f>C271/$C$273</f>
        <v>0.15424795094179711</v>
      </c>
      <c r="F271" s="50">
        <f>D271/$D$273</f>
        <v>0.14667072154262978</v>
      </c>
      <c r="G271" s="50">
        <f>G270+E271</f>
        <v>0.78504307612918367</v>
      </c>
      <c r="H271" s="51">
        <f>F271+H270</f>
        <v>0.6861654071733998</v>
      </c>
      <c r="I271" s="50">
        <f>(G270+G271)*0.5*(H271-H270)</f>
        <v>0.1038310052873602</v>
      </c>
    </row>
    <row r="272" spans="1:14" ht="12.75" customHeight="1" thickBot="1" x14ac:dyDescent="0.3">
      <c r="B272" s="88" t="s">
        <v>11</v>
      </c>
      <c r="C272" s="32">
        <v>82.177225932354276</v>
      </c>
      <c r="D272" s="32">
        <v>83.946549000000005</v>
      </c>
      <c r="E272" s="52">
        <f>C272/$C$273</f>
        <v>0.21495692387081627</v>
      </c>
      <c r="F272" s="52">
        <f>D272/$D$273</f>
        <v>0.31383459282660014</v>
      </c>
      <c r="G272" s="52">
        <f>G271+E272</f>
        <v>1</v>
      </c>
      <c r="H272" s="53">
        <f>F272+H271</f>
        <v>1</v>
      </c>
      <c r="I272" s="52">
        <f>(G271+G272)*0.5*(H272-H271)</f>
        <v>0.28010413348747215</v>
      </c>
    </row>
    <row r="273" spans="2:14" ht="12.75" customHeight="1" thickBot="1" x14ac:dyDescent="0.3">
      <c r="B273" s="38" t="s">
        <v>13</v>
      </c>
      <c r="C273" s="32">
        <f>SUM(C261:C272)</f>
        <v>382.29625011632902</v>
      </c>
      <c r="D273" s="32">
        <f>SUM(D261:D272)</f>
        <v>267.48660255685115</v>
      </c>
      <c r="E273" s="52">
        <f>SUM(E262:E272)</f>
        <v>1</v>
      </c>
      <c r="F273" s="52">
        <f>SUM(F262:F272)</f>
        <v>1</v>
      </c>
      <c r="G273" s="53"/>
      <c r="H273" s="53"/>
      <c r="I273" s="52">
        <f>SUM(I261:I272)</f>
        <v>0.59832021111272304</v>
      </c>
    </row>
    <row r="274" spans="2:14" ht="12.75" customHeight="1" thickBot="1" x14ac:dyDescent="0.3">
      <c r="B274" s="48"/>
      <c r="C274" s="29"/>
      <c r="D274" s="29"/>
      <c r="E274" s="26"/>
      <c r="F274" s="27"/>
      <c r="G274" s="4"/>
      <c r="H274" s="40"/>
      <c r="I274" s="34"/>
    </row>
    <row r="275" spans="2:14" ht="12.75" customHeight="1" thickBot="1" x14ac:dyDescent="0.3">
      <c r="B275" s="4"/>
      <c r="C275" s="4"/>
      <c r="D275" s="4"/>
      <c r="E275" s="4"/>
      <c r="F275" s="4"/>
      <c r="G275" s="5"/>
      <c r="H275" s="49" t="s">
        <v>42</v>
      </c>
      <c r="I275" s="62">
        <f>1-(2*I273)</f>
        <v>-0.19664042222544609</v>
      </c>
    </row>
    <row r="276" spans="2:14" ht="12.75" customHeight="1" x14ac:dyDescent="0.25">
      <c r="B276" s="4"/>
      <c r="C276" s="4"/>
      <c r="D276" s="4"/>
      <c r="E276" s="4"/>
      <c r="F276" s="4"/>
      <c r="G276" s="5"/>
      <c r="H276" s="112"/>
      <c r="I276" s="113"/>
    </row>
    <row r="277" spans="2:14" ht="12.75" customHeight="1" x14ac:dyDescent="0.25"/>
    <row r="278" spans="2:14" ht="12.75" customHeight="1" x14ac:dyDescent="0.25"/>
    <row r="279" spans="2:14" ht="16.2" thickBot="1" x14ac:dyDescent="0.35">
      <c r="B279" s="209" t="s">
        <v>127</v>
      </c>
      <c r="C279" s="209"/>
      <c r="D279" s="209"/>
      <c r="E279" s="209"/>
      <c r="F279" s="209"/>
      <c r="G279" s="209"/>
      <c r="H279" s="209"/>
      <c r="I279" s="209"/>
    </row>
    <row r="280" spans="2:14" ht="27" thickBot="1" x14ac:dyDescent="0.3">
      <c r="B280" s="30" t="s">
        <v>20</v>
      </c>
      <c r="C280" s="31" t="s">
        <v>44</v>
      </c>
      <c r="D280" s="31" t="s">
        <v>45</v>
      </c>
      <c r="E280" s="31" t="s">
        <v>16</v>
      </c>
      <c r="F280" s="31" t="s">
        <v>22</v>
      </c>
      <c r="G280" s="31" t="s">
        <v>18</v>
      </c>
      <c r="H280" s="31" t="s">
        <v>137</v>
      </c>
      <c r="I280" s="31" t="s">
        <v>21</v>
      </c>
      <c r="J280" s="8"/>
      <c r="K280" s="8"/>
      <c r="L280" s="8"/>
      <c r="M280" s="8"/>
      <c r="N280" s="8"/>
    </row>
    <row r="281" spans="2:14" ht="12.75" customHeight="1" x14ac:dyDescent="0.25">
      <c r="B281" s="4"/>
      <c r="C281" s="26">
        <v>0</v>
      </c>
      <c r="D281" s="26">
        <v>0</v>
      </c>
      <c r="E281" s="50">
        <v>0</v>
      </c>
      <c r="F281" s="50">
        <v>0</v>
      </c>
      <c r="G281" s="50">
        <v>0</v>
      </c>
      <c r="H281" s="51">
        <f>F281</f>
        <v>0</v>
      </c>
      <c r="I281" s="50">
        <v>0</v>
      </c>
    </row>
    <row r="282" spans="2:14" ht="12.75" customHeight="1" x14ac:dyDescent="0.25">
      <c r="B282" s="84" t="s">
        <v>1</v>
      </c>
      <c r="C282" s="29">
        <v>7.1530660073489152</v>
      </c>
      <c r="D282" s="29">
        <v>4549.0211045835576</v>
      </c>
      <c r="E282" s="50">
        <f t="shared" ref="E282:E292" si="49">C282/$C$293</f>
        <v>1.8710793017646148E-2</v>
      </c>
      <c r="F282" s="50">
        <f>D282/$D$293</f>
        <v>8.3030863015460549E-3</v>
      </c>
      <c r="G282" s="50">
        <f t="shared" ref="G282:G292" si="50">G281+E282</f>
        <v>1.8710793017646148E-2</v>
      </c>
      <c r="H282" s="51">
        <f t="shared" ref="H282:H292" si="51">F282+H281</f>
        <v>8.3030863015460549E-3</v>
      </c>
      <c r="I282" s="50">
        <f t="shared" ref="I282:I292" si="52">(G281+G282)*0.5*(H282-H281)</f>
        <v>7.7678664597940656E-5</v>
      </c>
    </row>
    <row r="283" spans="2:14" ht="12.75" customHeight="1" x14ac:dyDescent="0.25">
      <c r="B283" s="84" t="s">
        <v>2</v>
      </c>
      <c r="C283" s="29">
        <v>1.3224981196287995</v>
      </c>
      <c r="D283" s="29">
        <v>4739.5256339269945</v>
      </c>
      <c r="E283" s="50">
        <f t="shared" si="49"/>
        <v>3.4593541506786328E-3</v>
      </c>
      <c r="F283" s="50">
        <f t="shared" ref="F283:F292" si="53">D283/$D$293</f>
        <v>8.6508040877704764E-3</v>
      </c>
      <c r="G283" s="50">
        <f t="shared" si="50"/>
        <v>2.2170147168324782E-2</v>
      </c>
      <c r="H283" s="51">
        <f t="shared" si="51"/>
        <v>1.695389038931653E-2</v>
      </c>
      <c r="I283" s="50">
        <f t="shared" si="52"/>
        <v>1.768265022363488E-4</v>
      </c>
    </row>
    <row r="284" spans="2:14" ht="12.75" customHeight="1" x14ac:dyDescent="0.25">
      <c r="B284" s="84" t="s">
        <v>3</v>
      </c>
      <c r="C284" s="29">
        <v>56.5</v>
      </c>
      <c r="D284" s="29">
        <v>7498.2226388555227</v>
      </c>
      <c r="E284" s="50">
        <f t="shared" si="49"/>
        <v>0.14779114360344262</v>
      </c>
      <c r="F284" s="50">
        <f t="shared" si="53"/>
        <v>1.3686107021111144E-2</v>
      </c>
      <c r="G284" s="50">
        <f t="shared" si="50"/>
        <v>0.16996129077176739</v>
      </c>
      <c r="H284" s="51">
        <f t="shared" si="51"/>
        <v>3.0639997410427673E-2</v>
      </c>
      <c r="I284" s="50">
        <f t="shared" si="52"/>
        <v>1.3147657108840377E-3</v>
      </c>
    </row>
    <row r="285" spans="2:14" ht="12.75" customHeight="1" x14ac:dyDescent="0.25">
      <c r="B285" s="116" t="s">
        <v>4</v>
      </c>
      <c r="C285" s="29">
        <v>1.9103503028842752</v>
      </c>
      <c r="D285" s="29">
        <v>8412.6065227973904</v>
      </c>
      <c r="E285" s="50">
        <f t="shared" si="49"/>
        <v>4.9970416981672573E-3</v>
      </c>
      <c r="F285" s="50">
        <f t="shared" si="53"/>
        <v>1.5355083296789959E-2</v>
      </c>
      <c r="G285" s="50">
        <f t="shared" si="50"/>
        <v>0.17495833246993464</v>
      </c>
      <c r="H285" s="51">
        <f t="shared" si="51"/>
        <v>4.5995080707217632E-2</v>
      </c>
      <c r="I285" s="50">
        <f t="shared" si="52"/>
        <v>2.6481347727868722E-3</v>
      </c>
    </row>
    <row r="286" spans="2:14" ht="12.75" customHeight="1" x14ac:dyDescent="0.25">
      <c r="B286" s="84" t="s">
        <v>5</v>
      </c>
      <c r="C286" s="29">
        <v>77.313145320001027</v>
      </c>
      <c r="D286" s="29">
        <v>12709.055149886017</v>
      </c>
      <c r="E286" s="50">
        <f t="shared" si="49"/>
        <v>0.20223359579508141</v>
      </c>
      <c r="F286" s="50">
        <f t="shared" si="53"/>
        <v>2.3197162487174745E-2</v>
      </c>
      <c r="G286" s="50">
        <f t="shared" si="50"/>
        <v>0.37719192826501602</v>
      </c>
      <c r="H286" s="51">
        <f t="shared" si="51"/>
        <v>6.9192243194392378E-2</v>
      </c>
      <c r="I286" s="50">
        <f t="shared" si="52"/>
        <v>6.4041596578022757E-3</v>
      </c>
    </row>
    <row r="287" spans="2:14" ht="12.75" customHeight="1" x14ac:dyDescent="0.25">
      <c r="B287" s="116" t="s">
        <v>6</v>
      </c>
      <c r="C287" s="29">
        <v>27.678981965070257</v>
      </c>
      <c r="D287" s="29">
        <v>33738.127951375733</v>
      </c>
      <c r="E287" s="50">
        <f t="shared" si="49"/>
        <v>7.2401918555695513E-2</v>
      </c>
      <c r="F287" s="50">
        <f t="shared" si="53"/>
        <v>6.1580410728501248E-2</v>
      </c>
      <c r="G287" s="50">
        <f t="shared" si="50"/>
        <v>0.44959384682071152</v>
      </c>
      <c r="H287" s="51">
        <f t="shared" si="51"/>
        <v>0.13077265392289361</v>
      </c>
      <c r="I287" s="50">
        <f t="shared" si="52"/>
        <v>2.5456903807130671E-2</v>
      </c>
    </row>
    <row r="288" spans="2:14" ht="12.75" customHeight="1" x14ac:dyDescent="0.25">
      <c r="B288" s="84" t="s">
        <v>7</v>
      </c>
      <c r="C288" s="29">
        <v>11.97256923586497</v>
      </c>
      <c r="D288" s="29">
        <v>34543.134541376516</v>
      </c>
      <c r="E288" s="50">
        <f t="shared" si="49"/>
        <v>3.1317516800705825E-2</v>
      </c>
      <c r="F288" s="50">
        <f t="shared" si="53"/>
        <v>6.3049746446323052E-2</v>
      </c>
      <c r="G288" s="50">
        <f t="shared" si="50"/>
        <v>0.48091136362141734</v>
      </c>
      <c r="H288" s="51">
        <f t="shared" si="51"/>
        <v>0.19382240036921666</v>
      </c>
      <c r="I288" s="50">
        <f t="shared" si="52"/>
        <v>2.9334058792679349E-2</v>
      </c>
    </row>
    <row r="289" spans="1:14" ht="12.75" customHeight="1" x14ac:dyDescent="0.25">
      <c r="B289" s="84" t="s">
        <v>8</v>
      </c>
      <c r="C289" s="29">
        <v>33.799999999999997</v>
      </c>
      <c r="D289" s="29">
        <v>43226.930239887697</v>
      </c>
      <c r="E289" s="50">
        <f t="shared" si="49"/>
        <v>8.8413108916749736E-2</v>
      </c>
      <c r="F289" s="50">
        <f t="shared" si="53"/>
        <v>7.8899816923481969E-2</v>
      </c>
      <c r="G289" s="50">
        <f t="shared" si="50"/>
        <v>0.56932447253816709</v>
      </c>
      <c r="H289" s="51">
        <f t="shared" si="51"/>
        <v>0.27272221729269863</v>
      </c>
      <c r="I289" s="50">
        <f t="shared" si="52"/>
        <v>4.1431707599735614E-2</v>
      </c>
    </row>
    <row r="290" spans="1:14" ht="12.75" customHeight="1" x14ac:dyDescent="0.25">
      <c r="B290" s="116" t="s">
        <v>9</v>
      </c>
      <c r="C290" s="29">
        <v>23.5</v>
      </c>
      <c r="D290" s="29">
        <v>69411.089457609574</v>
      </c>
      <c r="E290" s="50">
        <f t="shared" si="49"/>
        <v>6.1470652649219498E-2</v>
      </c>
      <c r="F290" s="50">
        <f t="shared" si="53"/>
        <v>0.12669237024865945</v>
      </c>
      <c r="G290" s="50">
        <f t="shared" si="50"/>
        <v>0.63079512518738656</v>
      </c>
      <c r="H290" s="51">
        <f t="shared" si="51"/>
        <v>0.39941458754135806</v>
      </c>
      <c r="I290" s="50">
        <f t="shared" si="52"/>
        <v>7.6022998208859022E-2</v>
      </c>
    </row>
    <row r="291" spans="1:14" ht="12.75" customHeight="1" x14ac:dyDescent="0.25">
      <c r="B291" s="84" t="s">
        <v>10</v>
      </c>
      <c r="C291" s="29">
        <v>58.968413233176513</v>
      </c>
      <c r="D291" s="29">
        <v>149774.72401466093</v>
      </c>
      <c r="E291" s="50">
        <f t="shared" si="49"/>
        <v>0.15424795094179711</v>
      </c>
      <c r="F291" s="50">
        <f t="shared" si="53"/>
        <v>0.273375838602054</v>
      </c>
      <c r="G291" s="50">
        <f t="shared" si="50"/>
        <v>0.78504307612918367</v>
      </c>
      <c r="H291" s="51">
        <f t="shared" si="51"/>
        <v>0.67279042614341211</v>
      </c>
      <c r="I291" s="50">
        <f t="shared" si="52"/>
        <v>0.1935279778048706</v>
      </c>
    </row>
    <row r="292" spans="1:14" ht="12.75" customHeight="1" thickBot="1" x14ac:dyDescent="0.3">
      <c r="B292" s="88" t="s">
        <v>11</v>
      </c>
      <c r="C292" s="32">
        <v>82.177225932354276</v>
      </c>
      <c r="D292" s="32">
        <v>179268.67227891536</v>
      </c>
      <c r="E292" s="52">
        <f t="shared" si="49"/>
        <v>0.21495692387081627</v>
      </c>
      <c r="F292" s="52">
        <f t="shared" si="53"/>
        <v>0.327209573856588</v>
      </c>
      <c r="G292" s="52">
        <f t="shared" si="50"/>
        <v>1</v>
      </c>
      <c r="H292" s="53">
        <f t="shared" si="51"/>
        <v>1</v>
      </c>
      <c r="I292" s="52">
        <f t="shared" si="52"/>
        <v>0.29204159212794151</v>
      </c>
    </row>
    <row r="293" spans="1:14" ht="12.75" customHeight="1" thickBot="1" x14ac:dyDescent="0.3">
      <c r="B293" s="38" t="s">
        <v>13</v>
      </c>
      <c r="C293" s="32">
        <f>SUM(C281:C292)</f>
        <v>382.29625011632902</v>
      </c>
      <c r="D293" s="32">
        <f>SUM(D281:D292)</f>
        <v>547871.10953387525</v>
      </c>
      <c r="E293" s="52">
        <f>SUM(E282:E292)</f>
        <v>1</v>
      </c>
      <c r="F293" s="52">
        <f>SUM(F282:F292)</f>
        <v>1</v>
      </c>
      <c r="G293" s="53"/>
      <c r="H293" s="53"/>
      <c r="I293" s="52">
        <f>SUM(I281:I292)</f>
        <v>0.66843680364952429</v>
      </c>
    </row>
    <row r="294" spans="1:14" ht="12.75" customHeight="1" thickBot="1" x14ac:dyDescent="0.3">
      <c r="B294" s="4"/>
      <c r="C294" s="4"/>
      <c r="D294" s="4"/>
      <c r="E294" s="51"/>
      <c r="F294" s="51"/>
      <c r="G294" s="51"/>
      <c r="H294" s="54"/>
      <c r="I294" s="54"/>
    </row>
    <row r="295" spans="1:14" ht="12.75" customHeight="1" thickBot="1" x14ac:dyDescent="0.3">
      <c r="B295" s="4"/>
      <c r="C295" s="4"/>
      <c r="D295" s="4"/>
      <c r="E295" s="51"/>
      <c r="F295" s="51"/>
      <c r="G295" s="56"/>
      <c r="H295" s="58" t="s">
        <v>33</v>
      </c>
      <c r="I295" s="59">
        <f>1-(2*I293)</f>
        <v>-0.33687360729904858</v>
      </c>
    </row>
    <row r="296" spans="1:14" ht="12.75" customHeight="1" x14ac:dyDescent="0.25"/>
    <row r="297" spans="1:14" ht="12.75" customHeight="1" x14ac:dyDescent="0.25"/>
    <row r="298" spans="1:14" ht="12.75" customHeight="1" x14ac:dyDescent="0.25"/>
    <row r="299" spans="1:14" ht="12.75" customHeight="1" x14ac:dyDescent="0.25">
      <c r="A299" s="117" t="s">
        <v>141</v>
      </c>
      <c r="B299" s="118"/>
      <c r="C299" s="118"/>
      <c r="D299" s="118"/>
      <c r="E299" s="118"/>
      <c r="F299" s="118"/>
      <c r="G299" s="118"/>
      <c r="H299" s="118"/>
      <c r="I299" s="118"/>
    </row>
    <row r="300" spans="1:14" ht="12.75" customHeight="1" x14ac:dyDescent="0.25"/>
    <row r="301" spans="1:14" ht="16.2" thickBot="1" x14ac:dyDescent="0.35">
      <c r="B301" s="209" t="s">
        <v>147</v>
      </c>
      <c r="C301" s="209"/>
      <c r="D301" s="209"/>
      <c r="E301" s="209"/>
      <c r="F301" s="209"/>
      <c r="G301" s="209"/>
      <c r="H301" s="209"/>
      <c r="I301" s="209"/>
    </row>
    <row r="302" spans="1:14" ht="27" thickBot="1" x14ac:dyDescent="0.3">
      <c r="B302" s="36" t="s">
        <v>20</v>
      </c>
      <c r="C302" s="37" t="s">
        <v>108</v>
      </c>
      <c r="D302" s="37" t="s">
        <v>46</v>
      </c>
      <c r="E302" s="37" t="s">
        <v>106</v>
      </c>
      <c r="F302" s="37" t="s">
        <v>17</v>
      </c>
      <c r="G302" s="37" t="s">
        <v>107</v>
      </c>
      <c r="H302" s="37" t="s">
        <v>136</v>
      </c>
      <c r="I302" s="37" t="s">
        <v>21</v>
      </c>
      <c r="J302" s="8"/>
      <c r="K302" s="8"/>
      <c r="L302" s="8"/>
      <c r="M302" s="8"/>
      <c r="N302" s="8"/>
    </row>
    <row r="303" spans="1:14" ht="12.75" customHeight="1" x14ac:dyDescent="0.25">
      <c r="B303" s="4"/>
      <c r="C303" s="26">
        <v>0</v>
      </c>
      <c r="D303" s="26">
        <v>0</v>
      </c>
      <c r="E303" s="50">
        <f>C303/$C$82</f>
        <v>0</v>
      </c>
      <c r="F303" s="50">
        <v>0</v>
      </c>
      <c r="G303" s="50">
        <v>0</v>
      </c>
      <c r="H303" s="51">
        <f>F303</f>
        <v>0</v>
      </c>
      <c r="I303" s="50">
        <v>0</v>
      </c>
    </row>
    <row r="304" spans="1:14" ht="12.75" customHeight="1" x14ac:dyDescent="0.25">
      <c r="B304" s="84" t="s">
        <v>1</v>
      </c>
      <c r="C304" s="29">
        <v>34.754204556029912</v>
      </c>
      <c r="D304" s="17">
        <v>6.169632</v>
      </c>
      <c r="E304" s="50">
        <f t="shared" ref="E304:E309" si="54">C304/$C$315</f>
        <v>9.0909090909090925E-2</v>
      </c>
      <c r="F304" s="50">
        <f t="shared" ref="F304:F314" si="55">D304/$D$315</f>
        <v>2.3065200054977395E-2</v>
      </c>
      <c r="G304" s="50">
        <f t="shared" ref="G304:G314" si="56">G303+E304</f>
        <v>9.0909090909090925E-2</v>
      </c>
      <c r="H304" s="51">
        <f t="shared" ref="H304:H314" si="57">F304+H303</f>
        <v>2.3065200054977395E-2</v>
      </c>
      <c r="I304" s="50">
        <f t="shared" ref="I304:I314" si="58">(G303+G304)*0.5*(H304-H303)</f>
        <v>1.0484181843171546E-3</v>
      </c>
    </row>
    <row r="305" spans="2:9" ht="12.75" customHeight="1" x14ac:dyDescent="0.25">
      <c r="B305" s="84" t="s">
        <v>2</v>
      </c>
      <c r="C305" s="29">
        <v>34.754204556029912</v>
      </c>
      <c r="D305" s="17">
        <v>3.8753060000000001</v>
      </c>
      <c r="E305" s="50">
        <f t="shared" si="54"/>
        <v>9.0909090909090925E-2</v>
      </c>
      <c r="F305" s="50">
        <f t="shared" si="55"/>
        <v>1.4487850841712153E-2</v>
      </c>
      <c r="G305" s="50">
        <f t="shared" si="56"/>
        <v>0.18181818181818185</v>
      </c>
      <c r="H305" s="51">
        <f t="shared" si="57"/>
        <v>3.7553050896689547E-2</v>
      </c>
      <c r="I305" s="50">
        <f t="shared" si="58"/>
        <v>1.9756160238698392E-3</v>
      </c>
    </row>
    <row r="306" spans="2:9" ht="12.75" customHeight="1" x14ac:dyDescent="0.25">
      <c r="B306" s="116" t="s">
        <v>3</v>
      </c>
      <c r="C306" s="29">
        <v>34.754204556029912</v>
      </c>
      <c r="D306" s="130">
        <v>83.946549000000005</v>
      </c>
      <c r="E306" s="50">
        <f t="shared" si="54"/>
        <v>9.0909090909090925E-2</v>
      </c>
      <c r="F306" s="50">
        <f t="shared" si="55"/>
        <v>0.31383459282660014</v>
      </c>
      <c r="G306" s="50">
        <f t="shared" si="56"/>
        <v>0.27272727272727276</v>
      </c>
      <c r="H306" s="51">
        <f t="shared" si="57"/>
        <v>0.35138764372328968</v>
      </c>
      <c r="I306" s="50">
        <f t="shared" si="58"/>
        <v>7.1326043824227317E-2</v>
      </c>
    </row>
    <row r="307" spans="2:9" ht="12.75" customHeight="1" x14ac:dyDescent="0.25">
      <c r="B307" s="84" t="s">
        <v>4</v>
      </c>
      <c r="C307" s="29">
        <v>34.754204556029912</v>
      </c>
      <c r="D307" s="17">
        <v>1.2901100000000001</v>
      </c>
      <c r="E307" s="50">
        <f t="shared" si="54"/>
        <v>9.0909090909090925E-2</v>
      </c>
      <c r="F307" s="50">
        <f t="shared" si="55"/>
        <v>4.8230826802841548E-3</v>
      </c>
      <c r="G307" s="50">
        <f t="shared" si="56"/>
        <v>0.3636363636363637</v>
      </c>
      <c r="H307" s="51">
        <f t="shared" si="57"/>
        <v>0.35621072640357382</v>
      </c>
      <c r="I307" s="50">
        <f t="shared" si="58"/>
        <v>1.5346172164540451E-3</v>
      </c>
    </row>
    <row r="308" spans="2:9" ht="12.75" customHeight="1" x14ac:dyDescent="0.25">
      <c r="B308" s="84" t="s">
        <v>5</v>
      </c>
      <c r="C308" s="29">
        <v>34.754204556029912</v>
      </c>
      <c r="D308" s="17">
        <v>39.232453</v>
      </c>
      <c r="E308" s="50">
        <f t="shared" si="54"/>
        <v>9.0909090909090925E-2</v>
      </c>
      <c r="F308" s="50">
        <f t="shared" si="55"/>
        <v>0.14667072154262978</v>
      </c>
      <c r="G308" s="50">
        <f t="shared" si="56"/>
        <v>0.45454545454545464</v>
      </c>
      <c r="H308" s="51">
        <f t="shared" si="57"/>
        <v>0.5028814479462036</v>
      </c>
      <c r="I308" s="50">
        <f t="shared" si="58"/>
        <v>6.0001658812894015E-2</v>
      </c>
    </row>
    <row r="309" spans="2:9" ht="12.75" customHeight="1" x14ac:dyDescent="0.25">
      <c r="B309" s="84" t="s">
        <v>6</v>
      </c>
      <c r="C309" s="29">
        <v>34.754204556029912</v>
      </c>
      <c r="D309" s="17">
        <v>19.742709999999999</v>
      </c>
      <c r="E309" s="50">
        <f t="shared" si="54"/>
        <v>9.0909090909090925E-2</v>
      </c>
      <c r="F309" s="50">
        <f t="shared" si="55"/>
        <v>7.3808219967966118E-2</v>
      </c>
      <c r="G309" s="50">
        <f t="shared" si="56"/>
        <v>0.54545454545454553</v>
      </c>
      <c r="H309" s="51">
        <f t="shared" si="57"/>
        <v>0.57668966791416976</v>
      </c>
      <c r="I309" s="50">
        <f t="shared" si="58"/>
        <v>3.6904109983983087E-2</v>
      </c>
    </row>
    <row r="310" spans="2:9" ht="12.75" customHeight="1" x14ac:dyDescent="0.25">
      <c r="B310" s="84" t="s">
        <v>7</v>
      </c>
      <c r="C310" s="29">
        <v>34.754204556029912</v>
      </c>
      <c r="D310" s="17">
        <v>11.426439</v>
      </c>
      <c r="E310" s="50">
        <f t="shared" ref="E310:E314" si="59">C310/$C$315</f>
        <v>9.0909090909090925E-2</v>
      </c>
      <c r="F310" s="50">
        <f t="shared" si="55"/>
        <v>4.2717799287055672E-2</v>
      </c>
      <c r="G310" s="50">
        <f t="shared" si="56"/>
        <v>0.63636363636363646</v>
      </c>
      <c r="H310" s="51">
        <f t="shared" si="57"/>
        <v>0.61940746720122541</v>
      </c>
      <c r="I310" s="50">
        <f t="shared" si="58"/>
        <v>2.5242335942351077E-2</v>
      </c>
    </row>
    <row r="311" spans="2:9" ht="12.75" customHeight="1" x14ac:dyDescent="0.25">
      <c r="B311" s="84" t="s">
        <v>8</v>
      </c>
      <c r="C311" s="29">
        <v>34.754204556029912</v>
      </c>
      <c r="D311" s="17">
        <v>36.982824999999998</v>
      </c>
      <c r="E311" s="50">
        <f t="shared" si="59"/>
        <v>9.0909090909090925E-2</v>
      </c>
      <c r="F311" s="50">
        <f t="shared" si="55"/>
        <v>0.1382604760256721</v>
      </c>
      <c r="G311" s="50">
        <f t="shared" si="56"/>
        <v>0.7272727272727274</v>
      </c>
      <c r="H311" s="51">
        <f t="shared" si="57"/>
        <v>0.75766794322689757</v>
      </c>
      <c r="I311" s="50">
        <f t="shared" si="58"/>
        <v>9.4268506381140107E-2</v>
      </c>
    </row>
    <row r="312" spans="2:9" ht="12.75" customHeight="1" x14ac:dyDescent="0.25">
      <c r="B312" s="84" t="s">
        <v>9</v>
      </c>
      <c r="C312" s="29">
        <v>34.754204556029912</v>
      </c>
      <c r="D312" s="17">
        <v>10.905776556851148</v>
      </c>
      <c r="E312" s="50">
        <f t="shared" si="59"/>
        <v>9.0909090909090925E-2</v>
      </c>
      <c r="F312" s="50">
        <f t="shared" si="55"/>
        <v>4.0771300142156658E-2</v>
      </c>
      <c r="G312" s="50">
        <f t="shared" si="56"/>
        <v>0.81818181818181834</v>
      </c>
      <c r="H312" s="51">
        <f t="shared" si="57"/>
        <v>0.79843924336905425</v>
      </c>
      <c r="I312" s="50">
        <f t="shared" si="58"/>
        <v>3.1505095564393813E-2</v>
      </c>
    </row>
    <row r="313" spans="2:9" ht="12.75" customHeight="1" x14ac:dyDescent="0.25">
      <c r="B313" s="116" t="s">
        <v>10</v>
      </c>
      <c r="C313" s="29">
        <v>34.754204556029912</v>
      </c>
      <c r="D313" s="130">
        <v>11.996235</v>
      </c>
      <c r="E313" s="50">
        <f t="shared" si="59"/>
        <v>9.0909090909090925E-2</v>
      </c>
      <c r="F313" s="50">
        <f t="shared" si="55"/>
        <v>4.4847984479709932E-2</v>
      </c>
      <c r="G313" s="50">
        <f t="shared" si="56"/>
        <v>0.90909090909090928</v>
      </c>
      <c r="H313" s="51">
        <f t="shared" si="57"/>
        <v>0.8432872278487642</v>
      </c>
      <c r="I313" s="50">
        <f t="shared" si="58"/>
        <v>3.873235023247678E-2</v>
      </c>
    </row>
    <row r="314" spans="2:9" ht="12.75" customHeight="1" thickBot="1" x14ac:dyDescent="0.3">
      <c r="B314" s="88" t="s">
        <v>11</v>
      </c>
      <c r="C314" s="32">
        <v>34.754204556029912</v>
      </c>
      <c r="D314" s="123">
        <v>41.918567000000003</v>
      </c>
      <c r="E314" s="52">
        <f t="shared" si="59"/>
        <v>9.0909090909090925E-2</v>
      </c>
      <c r="F314" s="52">
        <f t="shared" si="55"/>
        <v>0.15671277215123589</v>
      </c>
      <c r="G314" s="52">
        <f t="shared" si="56"/>
        <v>1.0000000000000002</v>
      </c>
      <c r="H314" s="53">
        <f t="shared" si="57"/>
        <v>1</v>
      </c>
      <c r="I314" s="52">
        <f t="shared" si="58"/>
        <v>0.14958946432617967</v>
      </c>
    </row>
    <row r="315" spans="2:9" ht="12.75" customHeight="1" thickBot="1" x14ac:dyDescent="0.3">
      <c r="B315" s="38" t="s">
        <v>13</v>
      </c>
      <c r="C315" s="32">
        <f>SUM(C303:C314)</f>
        <v>382.29625011632896</v>
      </c>
      <c r="D315" s="32">
        <f>SUM(D303:D314)</f>
        <v>267.48660255685115</v>
      </c>
      <c r="E315" s="52">
        <f>SUM(E304:E314)</f>
        <v>1.0000000000000002</v>
      </c>
      <c r="F315" s="52">
        <f>SUM(F304:F314)</f>
        <v>1</v>
      </c>
      <c r="G315" s="53"/>
      <c r="H315" s="53"/>
      <c r="I315" s="52">
        <f>SUM(I303:I314)</f>
        <v>0.5121282164922869</v>
      </c>
    </row>
    <row r="316" spans="2:9" ht="12.75" customHeight="1" thickBot="1" x14ac:dyDescent="0.3">
      <c r="B316" s="48"/>
      <c r="C316" s="29"/>
      <c r="D316" s="29"/>
      <c r="E316" s="26"/>
      <c r="F316" s="27"/>
      <c r="G316" s="4"/>
      <c r="H316" s="40"/>
      <c r="I316" s="34"/>
    </row>
    <row r="317" spans="2:9" ht="12.75" customHeight="1" thickBot="1" x14ac:dyDescent="0.3">
      <c r="B317" s="4"/>
      <c r="C317" s="4"/>
      <c r="D317" s="4"/>
      <c r="E317" s="4"/>
      <c r="F317" s="4"/>
      <c r="G317" s="5"/>
      <c r="H317" s="49" t="s">
        <v>42</v>
      </c>
      <c r="I317" s="62">
        <f>1-(2*I315)</f>
        <v>-2.4256432984573806E-2</v>
      </c>
    </row>
    <row r="318" spans="2:9" ht="12.75" customHeight="1" x14ac:dyDescent="0.25">
      <c r="B318" s="4"/>
      <c r="C318" s="4"/>
      <c r="D318" s="4"/>
      <c r="E318" s="4"/>
      <c r="F318" s="4"/>
      <c r="G318" s="5"/>
      <c r="H318" s="112"/>
      <c r="I318" s="113"/>
    </row>
    <row r="319" spans="2:9" ht="12.75" customHeight="1" x14ac:dyDescent="0.25">
      <c r="B319" s="4"/>
      <c r="C319" s="4"/>
      <c r="D319" s="4"/>
      <c r="E319" s="4"/>
      <c r="F319" s="4"/>
      <c r="G319" s="5"/>
      <c r="H319" s="112"/>
      <c r="I319" s="113"/>
    </row>
    <row r="320" spans="2:9" ht="12.75" customHeight="1" x14ac:dyDescent="0.25">
      <c r="B320" s="4"/>
      <c r="C320" s="4"/>
      <c r="D320" s="4"/>
      <c r="E320" s="4"/>
      <c r="F320" s="4"/>
      <c r="G320" s="5"/>
      <c r="H320" s="112"/>
      <c r="I320" s="113"/>
    </row>
    <row r="321" spans="2:14" ht="12.75" customHeight="1" x14ac:dyDescent="0.25">
      <c r="B321" s="4"/>
      <c r="C321" s="4"/>
      <c r="D321" s="4"/>
      <c r="E321" s="4"/>
      <c r="F321" s="4"/>
      <c r="G321" s="5"/>
      <c r="H321" s="112"/>
      <c r="I321" s="113"/>
    </row>
    <row r="322" spans="2:14" ht="16.2" thickBot="1" x14ac:dyDescent="0.35">
      <c r="B322" s="209" t="s">
        <v>148</v>
      </c>
      <c r="C322" s="209"/>
      <c r="D322" s="209"/>
      <c r="E322" s="209"/>
      <c r="F322" s="209"/>
      <c r="G322" s="209"/>
      <c r="H322" s="209"/>
      <c r="I322" s="209"/>
    </row>
    <row r="323" spans="2:14" ht="27" thickBot="1" x14ac:dyDescent="0.3">
      <c r="B323" s="30" t="s">
        <v>20</v>
      </c>
      <c r="C323" s="31" t="s">
        <v>44</v>
      </c>
      <c r="D323" s="31" t="s">
        <v>149</v>
      </c>
      <c r="E323" s="31" t="s">
        <v>16</v>
      </c>
      <c r="F323" s="31" t="s">
        <v>22</v>
      </c>
      <c r="G323" s="31" t="s">
        <v>18</v>
      </c>
      <c r="H323" s="31" t="s">
        <v>137</v>
      </c>
      <c r="I323" s="31" t="s">
        <v>21</v>
      </c>
      <c r="J323" s="8"/>
      <c r="K323" s="8"/>
      <c r="L323" s="8"/>
      <c r="M323" s="8"/>
      <c r="N323" s="8"/>
    </row>
    <row r="324" spans="2:14" ht="12.75" customHeight="1" x14ac:dyDescent="0.25">
      <c r="B324" s="4"/>
      <c r="C324" s="26">
        <v>0</v>
      </c>
      <c r="D324" s="26">
        <v>0</v>
      </c>
      <c r="E324" s="50">
        <v>0</v>
      </c>
      <c r="F324" s="50">
        <v>0</v>
      </c>
      <c r="G324" s="50">
        <v>0</v>
      </c>
      <c r="H324" s="51">
        <f>F324</f>
        <v>0</v>
      </c>
      <c r="I324" s="50">
        <v>0</v>
      </c>
    </row>
    <row r="325" spans="2:14" ht="12.75" customHeight="1" x14ac:dyDescent="0.25">
      <c r="B325" s="84" t="s">
        <v>1</v>
      </c>
      <c r="C325" s="29">
        <v>34.754204556029912</v>
      </c>
      <c r="D325" s="85">
        <v>13199.085501550475</v>
      </c>
      <c r="E325" s="50">
        <f>C325/$C$336</f>
        <v>9.0909090909090925E-2</v>
      </c>
      <c r="F325" s="50">
        <f t="shared" ref="F325:F335" si="60">D325/$D$336</f>
        <v>4.3177805010323955E-3</v>
      </c>
      <c r="G325" s="50">
        <f t="shared" ref="G325:G335" si="61">G324+E325</f>
        <v>9.0909090909090925E-2</v>
      </c>
      <c r="H325" s="51">
        <f t="shared" ref="H325:H335" si="62">F325+H324</f>
        <v>4.3177805010323955E-3</v>
      </c>
      <c r="I325" s="50">
        <f t="shared" ref="I325:I335" si="63">(G324+G325)*0.5*(H325-H324)</f>
        <v>1.962627500469271E-4</v>
      </c>
    </row>
    <row r="326" spans="2:14" ht="12.75" customHeight="1" x14ac:dyDescent="0.25">
      <c r="B326" s="84" t="s">
        <v>2</v>
      </c>
      <c r="C326" s="29">
        <v>34.754204556029912</v>
      </c>
      <c r="D326" s="85">
        <v>20450.034940117202</v>
      </c>
      <c r="E326" s="50">
        <f t="shared" ref="E326:E335" si="64">C326/$C$293</f>
        <v>9.0909090909090912E-2</v>
      </c>
      <c r="F326" s="50">
        <f t="shared" si="60"/>
        <v>6.6897636279041406E-3</v>
      </c>
      <c r="G326" s="50">
        <f t="shared" si="61"/>
        <v>0.18181818181818182</v>
      </c>
      <c r="H326" s="51">
        <f t="shared" si="62"/>
        <v>1.1007544128936536E-2</v>
      </c>
      <c r="I326" s="50">
        <f t="shared" si="63"/>
        <v>9.1224049471420106E-4</v>
      </c>
    </row>
    <row r="327" spans="2:14" ht="12.75" customHeight="1" x14ac:dyDescent="0.25">
      <c r="B327" s="116" t="s">
        <v>3</v>
      </c>
      <c r="C327" s="29">
        <v>34.754204556029912</v>
      </c>
      <c r="D327" s="85">
        <v>251430.37783690859</v>
      </c>
      <c r="E327" s="50">
        <f t="shared" si="64"/>
        <v>9.0909090909090912E-2</v>
      </c>
      <c r="F327" s="50">
        <f t="shared" si="60"/>
        <v>8.2249727275718124E-2</v>
      </c>
      <c r="G327" s="50">
        <f t="shared" si="61"/>
        <v>0.27272727272727271</v>
      </c>
      <c r="H327" s="51">
        <f t="shared" si="62"/>
        <v>9.325727140465466E-2</v>
      </c>
      <c r="I327" s="50">
        <f t="shared" si="63"/>
        <v>1.8693119835390484E-2</v>
      </c>
    </row>
    <row r="328" spans="2:14" ht="12.75" customHeight="1" x14ac:dyDescent="0.25">
      <c r="B328" s="84" t="s">
        <v>4</v>
      </c>
      <c r="C328" s="29">
        <v>34.754204556029912</v>
      </c>
      <c r="D328" s="85">
        <v>24496.645034227455</v>
      </c>
      <c r="E328" s="50">
        <f t="shared" si="64"/>
        <v>9.0909090909090912E-2</v>
      </c>
      <c r="F328" s="50">
        <f t="shared" si="60"/>
        <v>8.0135200470573958E-3</v>
      </c>
      <c r="G328" s="50">
        <f t="shared" si="61"/>
        <v>0.36363636363636365</v>
      </c>
      <c r="H328" s="51">
        <f t="shared" si="62"/>
        <v>0.10127079145171206</v>
      </c>
      <c r="I328" s="50">
        <f t="shared" si="63"/>
        <v>2.5497563786091712E-3</v>
      </c>
    </row>
    <row r="329" spans="2:14" ht="12.75" customHeight="1" x14ac:dyDescent="0.25">
      <c r="B329" s="84" t="s">
        <v>5</v>
      </c>
      <c r="C329" s="29">
        <v>34.754204556029912</v>
      </c>
      <c r="D329" s="85">
        <v>363314.38569269452</v>
      </c>
      <c r="E329" s="50">
        <f t="shared" si="64"/>
        <v>9.0909090909090912E-2</v>
      </c>
      <c r="F329" s="50">
        <f t="shared" si="60"/>
        <v>0.1188500347318915</v>
      </c>
      <c r="G329" s="50">
        <f t="shared" si="61"/>
        <v>0.45454545454545459</v>
      </c>
      <c r="H329" s="51">
        <f t="shared" si="62"/>
        <v>0.22012082618360357</v>
      </c>
      <c r="I329" s="50">
        <f t="shared" si="63"/>
        <v>4.862046875395562E-2</v>
      </c>
    </row>
    <row r="330" spans="2:14" ht="12.75" customHeight="1" x14ac:dyDescent="0.25">
      <c r="B330" s="84" t="s">
        <v>6</v>
      </c>
      <c r="C330" s="29">
        <v>34.754204556029912</v>
      </c>
      <c r="D330" s="85">
        <v>49475.746319971244</v>
      </c>
      <c r="E330" s="50">
        <f t="shared" si="64"/>
        <v>9.0909090909090912E-2</v>
      </c>
      <c r="F330" s="50">
        <f t="shared" si="60"/>
        <v>1.6184864679397896E-2</v>
      </c>
      <c r="G330" s="50">
        <f t="shared" si="61"/>
        <v>0.54545454545454553</v>
      </c>
      <c r="H330" s="51">
        <f t="shared" si="62"/>
        <v>0.23630569086300146</v>
      </c>
      <c r="I330" s="50">
        <f t="shared" si="63"/>
        <v>8.0924323396989462E-3</v>
      </c>
    </row>
    <row r="331" spans="2:14" ht="12.75" customHeight="1" x14ac:dyDescent="0.25">
      <c r="B331" s="84" t="s">
        <v>7</v>
      </c>
      <c r="C331" s="29">
        <v>34.754204556029912</v>
      </c>
      <c r="D331" s="85">
        <v>20836.189535136225</v>
      </c>
      <c r="E331" s="50">
        <f t="shared" si="64"/>
        <v>9.0909090909090912E-2</v>
      </c>
      <c r="F331" s="50">
        <f t="shared" si="60"/>
        <v>6.8160853174303836E-3</v>
      </c>
      <c r="G331" s="50">
        <f t="shared" si="61"/>
        <v>0.63636363636363646</v>
      </c>
      <c r="H331" s="51">
        <f t="shared" si="62"/>
        <v>0.24312177618043185</v>
      </c>
      <c r="I331" s="50">
        <f t="shared" si="63"/>
        <v>4.0276867784815934E-3</v>
      </c>
    </row>
    <row r="332" spans="2:14" ht="12.75" customHeight="1" x14ac:dyDescent="0.25">
      <c r="B332" s="116" t="s">
        <v>8</v>
      </c>
      <c r="C332" s="29">
        <v>34.754204556029912</v>
      </c>
      <c r="D332" s="133">
        <v>1339764.2833351614</v>
      </c>
      <c r="E332" s="50">
        <f t="shared" si="64"/>
        <v>9.0909090909090912E-2</v>
      </c>
      <c r="F332" s="50">
        <f t="shared" si="60"/>
        <v>0.43827340143259691</v>
      </c>
      <c r="G332" s="50">
        <f t="shared" si="61"/>
        <v>0.7272727272727274</v>
      </c>
      <c r="H332" s="51">
        <f t="shared" si="62"/>
        <v>0.6813951776130287</v>
      </c>
      <c r="I332" s="50">
        <f t="shared" si="63"/>
        <v>0.29882277370404331</v>
      </c>
    </row>
    <row r="333" spans="2:14" ht="12.75" customHeight="1" x14ac:dyDescent="0.25">
      <c r="B333" s="84" t="s">
        <v>9</v>
      </c>
      <c r="C333" s="29">
        <v>34.754204556029912</v>
      </c>
      <c r="D333" s="85">
        <v>617141.72101696266</v>
      </c>
      <c r="E333" s="50">
        <f t="shared" si="64"/>
        <v>9.0909090909090912E-2</v>
      </c>
      <c r="F333" s="50">
        <f t="shared" si="60"/>
        <v>0.20188387211126102</v>
      </c>
      <c r="G333" s="50">
        <f t="shared" si="61"/>
        <v>0.81818181818181834</v>
      </c>
      <c r="H333" s="51">
        <f t="shared" si="62"/>
        <v>0.88327904972428972</v>
      </c>
      <c r="I333" s="50">
        <f t="shared" si="63"/>
        <v>0.15600117390415627</v>
      </c>
    </row>
    <row r="334" spans="2:14" ht="12.75" customHeight="1" x14ac:dyDescent="0.25">
      <c r="B334" s="116" t="s">
        <v>10</v>
      </c>
      <c r="C334" s="29">
        <v>34.754204556029912</v>
      </c>
      <c r="D334" s="85">
        <v>119784.51078433092</v>
      </c>
      <c r="E334" s="50">
        <f t="shared" si="64"/>
        <v>9.0909090909090912E-2</v>
      </c>
      <c r="F334" s="50">
        <f t="shared" si="60"/>
        <v>3.9184777227902166E-2</v>
      </c>
      <c r="G334" s="50">
        <f t="shared" si="61"/>
        <v>0.90909090909090928</v>
      </c>
      <c r="H334" s="51">
        <f t="shared" si="62"/>
        <v>0.92246382695219187</v>
      </c>
      <c r="I334" s="50">
        <f t="shared" si="63"/>
        <v>3.38413985150064E-2</v>
      </c>
    </row>
    <row r="335" spans="2:14" ht="12.75" customHeight="1" thickBot="1" x14ac:dyDescent="0.3">
      <c r="B335" s="88" t="s">
        <v>11</v>
      </c>
      <c r="C335" s="32">
        <v>34.754204556029912</v>
      </c>
      <c r="D335" s="89">
        <v>237021.44592026682</v>
      </c>
      <c r="E335" s="52">
        <f t="shared" si="64"/>
        <v>9.0909090909090912E-2</v>
      </c>
      <c r="F335" s="52">
        <f t="shared" si="60"/>
        <v>7.7536173047808091E-2</v>
      </c>
      <c r="G335" s="52">
        <f t="shared" si="61"/>
        <v>1.0000000000000002</v>
      </c>
      <c r="H335" s="53">
        <f t="shared" si="62"/>
        <v>1</v>
      </c>
      <c r="I335" s="52">
        <f t="shared" si="63"/>
        <v>7.4011801545635053E-2</v>
      </c>
    </row>
    <row r="336" spans="2:14" ht="12.75" customHeight="1" thickBot="1" x14ac:dyDescent="0.3">
      <c r="B336" s="38" t="s">
        <v>13</v>
      </c>
      <c r="C336" s="32">
        <f>SUM(C324:C335)</f>
        <v>382.29625011632896</v>
      </c>
      <c r="D336" s="32">
        <f>SUM(D324:D335)</f>
        <v>3056914.4259173274</v>
      </c>
      <c r="E336" s="52">
        <f>SUM(E325:E335)</f>
        <v>1.0000000000000002</v>
      </c>
      <c r="F336" s="52">
        <f>SUM(F325:F335)</f>
        <v>1</v>
      </c>
      <c r="G336" s="53"/>
      <c r="H336" s="53"/>
      <c r="I336" s="52">
        <f>SUM(I324:I335)</f>
        <v>0.64576911499973799</v>
      </c>
    </row>
    <row r="337" spans="1:14" ht="12.75" customHeight="1" thickBot="1" x14ac:dyDescent="0.3">
      <c r="B337" s="4"/>
      <c r="C337" s="4"/>
      <c r="D337" s="4"/>
      <c r="E337" s="51"/>
      <c r="F337" s="51"/>
      <c r="G337" s="51"/>
      <c r="H337" s="54"/>
      <c r="I337" s="54"/>
    </row>
    <row r="338" spans="1:14" ht="12.75" customHeight="1" thickBot="1" x14ac:dyDescent="0.3">
      <c r="B338" s="4"/>
      <c r="C338" s="4"/>
      <c r="D338" s="4"/>
      <c r="E338" s="51"/>
      <c r="F338" s="51"/>
      <c r="G338" s="56"/>
      <c r="H338" s="58" t="s">
        <v>33</v>
      </c>
      <c r="I338" s="59">
        <f>1-(2*I336)</f>
        <v>-0.29153822999947598</v>
      </c>
    </row>
    <row r="339" spans="1:14" ht="12.75" customHeight="1" x14ac:dyDescent="0.25">
      <c r="B339" s="4"/>
      <c r="C339" s="4"/>
      <c r="D339" s="4"/>
      <c r="E339" s="4"/>
      <c r="F339" s="4"/>
      <c r="G339" s="5"/>
      <c r="H339" s="112"/>
      <c r="I339" s="113"/>
    </row>
    <row r="340" spans="1:14" ht="12.75" customHeight="1" x14ac:dyDescent="0.25">
      <c r="B340" s="4"/>
      <c r="C340" s="4"/>
      <c r="D340" s="4"/>
      <c r="E340" s="4"/>
      <c r="F340" s="4"/>
      <c r="G340" s="5"/>
      <c r="H340" s="112"/>
      <c r="I340" s="113"/>
    </row>
    <row r="341" spans="1:14" ht="12.75" customHeight="1" x14ac:dyDescent="0.25">
      <c r="B341" s="4"/>
      <c r="C341" s="4"/>
      <c r="D341" s="4"/>
      <c r="E341" s="4"/>
      <c r="F341" s="4"/>
      <c r="G341" s="5"/>
      <c r="H341" s="112"/>
      <c r="I341" s="113"/>
    </row>
    <row r="342" spans="1:14" ht="12.75" customHeight="1" x14ac:dyDescent="0.25"/>
    <row r="343" spans="1:14" ht="12.75" customHeight="1" x14ac:dyDescent="0.25">
      <c r="A343" s="210" t="s">
        <v>132</v>
      </c>
      <c r="B343" s="210"/>
      <c r="C343" s="210"/>
      <c r="D343" s="210"/>
      <c r="E343" s="210"/>
      <c r="F343" s="210"/>
      <c r="G343" s="210"/>
      <c r="H343" s="210"/>
      <c r="I343" s="210"/>
    </row>
    <row r="344" spans="1:14" ht="12.75" customHeight="1" x14ac:dyDescent="0.25"/>
    <row r="345" spans="1:14" ht="12.75" customHeight="1" x14ac:dyDescent="0.25"/>
    <row r="346" spans="1:14" ht="16.2" thickBot="1" x14ac:dyDescent="0.35">
      <c r="B346" s="209" t="s">
        <v>130</v>
      </c>
      <c r="C346" s="209"/>
      <c r="D346" s="209"/>
      <c r="E346" s="209"/>
      <c r="F346" s="209"/>
      <c r="G346" s="209"/>
      <c r="H346" s="209"/>
      <c r="I346" s="209"/>
    </row>
    <row r="347" spans="1:14" ht="27" thickBot="1" x14ac:dyDescent="0.3">
      <c r="B347" s="36" t="s">
        <v>20</v>
      </c>
      <c r="C347" s="37" t="s">
        <v>108</v>
      </c>
      <c r="D347" s="37" t="s">
        <v>46</v>
      </c>
      <c r="E347" s="37" t="s">
        <v>106</v>
      </c>
      <c r="F347" s="37" t="s">
        <v>17</v>
      </c>
      <c r="G347" s="37" t="s">
        <v>107</v>
      </c>
      <c r="H347" s="37" t="s">
        <v>19</v>
      </c>
      <c r="I347" s="37" t="s">
        <v>21</v>
      </c>
      <c r="J347" s="8"/>
      <c r="K347" s="8"/>
      <c r="L347" s="8"/>
      <c r="M347" s="8"/>
      <c r="N347" s="8"/>
    </row>
    <row r="348" spans="1:14" ht="12.75" customHeight="1" x14ac:dyDescent="0.25">
      <c r="B348" s="4"/>
      <c r="C348" s="26">
        <v>0</v>
      </c>
      <c r="D348" s="26">
        <v>0</v>
      </c>
      <c r="E348" s="50">
        <f>C348/$C$82</f>
        <v>0</v>
      </c>
      <c r="F348" s="50">
        <v>0</v>
      </c>
      <c r="G348" s="50">
        <v>0</v>
      </c>
      <c r="H348" s="51">
        <f>F348</f>
        <v>0</v>
      </c>
      <c r="I348" s="50">
        <v>0</v>
      </c>
    </row>
    <row r="349" spans="1:14" ht="12.75" customHeight="1" x14ac:dyDescent="0.25">
      <c r="B349" s="116" t="s">
        <v>1</v>
      </c>
      <c r="C349" s="29">
        <v>1.3224981196287995</v>
      </c>
      <c r="D349" s="130">
        <v>3.546421</v>
      </c>
      <c r="E349" s="50">
        <f t="shared" ref="E349:E359" si="65">C349/$C$315</f>
        <v>3.4593541506786332E-3</v>
      </c>
      <c r="F349" s="50">
        <f t="shared" ref="F349:F359" si="66">D349/$D$315</f>
        <v>1.3258312626129564E-2</v>
      </c>
      <c r="G349" s="50">
        <f t="shared" ref="G349:G359" si="67">G348+E349</f>
        <v>3.4593541506786332E-3</v>
      </c>
      <c r="H349" s="51">
        <f t="shared" ref="H349:H359" si="68">F349+H348</f>
        <v>1.3258312626129564E-2</v>
      </c>
      <c r="I349" s="50">
        <f t="shared" ref="I349:I359" si="69">(G348+G349)*0.5*(H349-H348)</f>
        <v>2.2932599407098117E-5</v>
      </c>
    </row>
    <row r="350" spans="1:14" ht="12.75" customHeight="1" x14ac:dyDescent="0.25">
      <c r="B350" s="84" t="s">
        <v>2</v>
      </c>
      <c r="C350" s="29">
        <v>1.9103503028842752</v>
      </c>
      <c r="D350" s="17">
        <v>12.952218</v>
      </c>
      <c r="E350" s="50">
        <f t="shared" si="65"/>
        <v>4.9970416981672582E-3</v>
      </c>
      <c r="F350" s="50">
        <f t="shared" si="66"/>
        <v>4.8421931701222894E-2</v>
      </c>
      <c r="G350" s="50">
        <f t="shared" si="67"/>
        <v>8.4563958488458914E-3</v>
      </c>
      <c r="H350" s="51">
        <f t="shared" si="68"/>
        <v>6.168024432735246E-2</v>
      </c>
      <c r="I350" s="50">
        <f t="shared" si="69"/>
        <v>2.8849181632291165E-4</v>
      </c>
    </row>
    <row r="351" spans="1:14" ht="12.75" customHeight="1" x14ac:dyDescent="0.25">
      <c r="B351" s="84" t="s">
        <v>3</v>
      </c>
      <c r="C351" s="29">
        <v>7.1530660073489152</v>
      </c>
      <c r="D351" s="17">
        <v>89.561402999999999</v>
      </c>
      <c r="E351" s="50">
        <f t="shared" si="65"/>
        <v>1.8710793017646152E-2</v>
      </c>
      <c r="F351" s="50">
        <f t="shared" si="66"/>
        <v>0.33482575255695196</v>
      </c>
      <c r="G351" s="50">
        <f t="shared" si="67"/>
        <v>2.7167188866492043E-2</v>
      </c>
      <c r="H351" s="51">
        <f t="shared" si="68"/>
        <v>0.39650599688430443</v>
      </c>
      <c r="I351" s="50">
        <f t="shared" si="69"/>
        <v>5.9638467805446776E-3</v>
      </c>
    </row>
    <row r="352" spans="1:14" ht="12.75" customHeight="1" x14ac:dyDescent="0.25">
      <c r="B352" s="84" t="s">
        <v>4</v>
      </c>
      <c r="C352" s="29">
        <v>11.97256923586497</v>
      </c>
      <c r="D352" s="17">
        <v>53.771296</v>
      </c>
      <c r="E352" s="50">
        <f t="shared" si="65"/>
        <v>3.1317516800705832E-2</v>
      </c>
      <c r="F352" s="50">
        <f t="shared" si="66"/>
        <v>0.20102425873300156</v>
      </c>
      <c r="G352" s="50">
        <f t="shared" si="67"/>
        <v>5.8484705667197878E-2</v>
      </c>
      <c r="H352" s="51">
        <f t="shared" si="68"/>
        <v>0.59753025561730599</v>
      </c>
      <c r="I352" s="50">
        <f t="shared" si="69"/>
        <v>8.6090543038561222E-3</v>
      </c>
    </row>
    <row r="353" spans="2:9" ht="12.75" customHeight="1" x14ac:dyDescent="0.25">
      <c r="B353" s="84" t="s">
        <v>5</v>
      </c>
      <c r="C353" s="29">
        <v>23.5</v>
      </c>
      <c r="D353" s="17">
        <v>59.734217999999998</v>
      </c>
      <c r="E353" s="50">
        <f t="shared" si="65"/>
        <v>6.1470652649219505E-2</v>
      </c>
      <c r="F353" s="50">
        <f t="shared" si="66"/>
        <v>0.22331667242027267</v>
      </c>
      <c r="G353" s="50">
        <f t="shared" si="67"/>
        <v>0.11995535831641738</v>
      </c>
      <c r="H353" s="51">
        <f t="shared" si="68"/>
        <v>0.82084692803757864</v>
      </c>
      <c r="I353" s="50">
        <f t="shared" si="69"/>
        <v>1.992432065764075E-2</v>
      </c>
    </row>
    <row r="354" spans="2:9" ht="12.75" customHeight="1" x14ac:dyDescent="0.25">
      <c r="B354" s="84" t="s">
        <v>6</v>
      </c>
      <c r="C354" s="29">
        <v>33.799999999999997</v>
      </c>
      <c r="D354" s="17">
        <v>102.33440400000001</v>
      </c>
      <c r="E354" s="50">
        <f t="shared" si="65"/>
        <v>8.841310891674975E-2</v>
      </c>
      <c r="F354" s="50">
        <f t="shared" si="66"/>
        <v>0.38257768060832142</v>
      </c>
      <c r="G354" s="50">
        <f t="shared" si="67"/>
        <v>0.20836846723316713</v>
      </c>
      <c r="H354" s="51">
        <f t="shared" si="68"/>
        <v>1.2034246086459</v>
      </c>
      <c r="I354" s="50">
        <f t="shared" si="69"/>
        <v>6.2804683833605573E-2</v>
      </c>
    </row>
    <row r="355" spans="2:9" ht="12.75" customHeight="1" x14ac:dyDescent="0.25">
      <c r="B355" s="84" t="s">
        <v>7</v>
      </c>
      <c r="C355" s="29">
        <v>37.678981965070257</v>
      </c>
      <c r="D355" s="17">
        <v>43.849260000000001</v>
      </c>
      <c r="E355" s="50">
        <f t="shared" si="65"/>
        <v>9.8559643087278298E-2</v>
      </c>
      <c r="F355" s="50">
        <f t="shared" si="66"/>
        <v>0.16393067757732036</v>
      </c>
      <c r="G355" s="50">
        <f t="shared" si="67"/>
        <v>0.30692811032044542</v>
      </c>
      <c r="H355" s="51">
        <f t="shared" si="68"/>
        <v>1.3673552862232203</v>
      </c>
      <c r="I355" s="50">
        <f t="shared" si="69"/>
        <v>4.2236458555818965E-2</v>
      </c>
    </row>
    <row r="356" spans="2:9" ht="12.75" customHeight="1" x14ac:dyDescent="0.25">
      <c r="B356" s="84" t="s">
        <v>8</v>
      </c>
      <c r="C356" s="29">
        <v>56.5</v>
      </c>
      <c r="D356" s="17">
        <v>11.890784</v>
      </c>
      <c r="E356" s="50">
        <f t="shared" si="65"/>
        <v>0.14779114360344264</v>
      </c>
      <c r="F356" s="50">
        <f t="shared" si="66"/>
        <v>4.4453755389385355E-2</v>
      </c>
      <c r="G356" s="50">
        <f t="shared" si="67"/>
        <v>0.45471925392388807</v>
      </c>
      <c r="H356" s="51">
        <f t="shared" si="68"/>
        <v>1.4118090416126057</v>
      </c>
      <c r="I356" s="50">
        <f t="shared" si="69"/>
        <v>1.6929042811543841E-2</v>
      </c>
    </row>
    <row r="357" spans="2:9" ht="12.75" customHeight="1" x14ac:dyDescent="0.25">
      <c r="B357" s="84" t="s">
        <v>9</v>
      </c>
      <c r="C357" s="29">
        <v>58.968413233176513</v>
      </c>
      <c r="D357" s="17">
        <v>114.963588</v>
      </c>
      <c r="E357" s="50">
        <f t="shared" si="65"/>
        <v>0.15424795094179714</v>
      </c>
      <c r="F357" s="50">
        <f t="shared" si="66"/>
        <v>0.4297919480866928</v>
      </c>
      <c r="G357" s="50">
        <f t="shared" si="67"/>
        <v>0.60896720486568523</v>
      </c>
      <c r="H357" s="51">
        <f t="shared" si="68"/>
        <v>1.8416009896992984</v>
      </c>
      <c r="I357" s="50">
        <f t="shared" si="69"/>
        <v>0.22858193763830317</v>
      </c>
    </row>
    <row r="358" spans="2:9" ht="12.75" customHeight="1" x14ac:dyDescent="0.25">
      <c r="B358" s="84" t="s">
        <v>10</v>
      </c>
      <c r="C358" s="29">
        <v>77.313145320001027</v>
      </c>
      <c r="D358" s="17">
        <v>11.193725000000001</v>
      </c>
      <c r="E358" s="50">
        <f t="shared" si="65"/>
        <v>0.20223359579508143</v>
      </c>
      <c r="F358" s="50">
        <f t="shared" si="66"/>
        <v>4.1847796835435547E-2</v>
      </c>
      <c r="G358" s="50">
        <f t="shared" si="67"/>
        <v>0.81120080066076672</v>
      </c>
      <c r="H358" s="51">
        <f t="shared" si="68"/>
        <v>1.883448786534734</v>
      </c>
      <c r="I358" s="50">
        <f t="shared" si="69"/>
        <v>2.9715451083728375E-2</v>
      </c>
    </row>
    <row r="359" spans="2:9" ht="12.75" customHeight="1" thickBot="1" x14ac:dyDescent="0.3">
      <c r="B359" s="88" t="s">
        <v>11</v>
      </c>
      <c r="C359" s="32">
        <v>82.177225932354276</v>
      </c>
      <c r="D359" s="123">
        <v>45.741007000000003</v>
      </c>
      <c r="E359" s="52">
        <f t="shared" si="65"/>
        <v>0.2149569238708163</v>
      </c>
      <c r="F359" s="52">
        <f t="shared" si="66"/>
        <v>0.1710029831878338</v>
      </c>
      <c r="G359" s="52">
        <f t="shared" si="67"/>
        <v>1.0261577245315829</v>
      </c>
      <c r="H359" s="53">
        <f t="shared" si="68"/>
        <v>2.0544517697225677</v>
      </c>
      <c r="I359" s="52">
        <f t="shared" si="69"/>
        <v>0.15709689449674513</v>
      </c>
    </row>
    <row r="360" spans="2:9" ht="12.75" customHeight="1" thickBot="1" x14ac:dyDescent="0.3">
      <c r="B360" s="38" t="s">
        <v>13</v>
      </c>
      <c r="C360" s="32">
        <f>SUM(C348:C359)</f>
        <v>392.29625011632902</v>
      </c>
      <c r="D360" s="32">
        <f>SUM(D348:D359)</f>
        <v>549.53832399999999</v>
      </c>
      <c r="E360" s="52">
        <f>SUM(E349:E359)</f>
        <v>1.0261577245315829</v>
      </c>
      <c r="F360" s="52">
        <f>SUM(F349:F359)</f>
        <v>2.0544517697225677</v>
      </c>
      <c r="G360" s="53"/>
      <c r="H360" s="53"/>
      <c r="I360" s="52">
        <f>SUM(I348:I359)</f>
        <v>0.57217311457751663</v>
      </c>
    </row>
    <row r="361" spans="2:9" ht="12.75" customHeight="1" thickBot="1" x14ac:dyDescent="0.3">
      <c r="B361" s="48"/>
      <c r="C361" s="29"/>
      <c r="D361" s="29"/>
      <c r="E361" s="26"/>
      <c r="F361" s="27"/>
      <c r="G361" s="4"/>
      <c r="H361" s="40"/>
      <c r="I361" s="34"/>
    </row>
    <row r="362" spans="2:9" ht="12.75" customHeight="1" thickBot="1" x14ac:dyDescent="0.3">
      <c r="B362" s="4"/>
      <c r="C362" s="4"/>
      <c r="D362" s="4"/>
      <c r="E362" s="4"/>
      <c r="F362" s="4"/>
      <c r="G362" s="5"/>
      <c r="H362" s="49" t="s">
        <v>42</v>
      </c>
      <c r="I362" s="62">
        <f>1-(2*I360)</f>
        <v>-0.14434622915503326</v>
      </c>
    </row>
    <row r="363" spans="2:9" ht="12.75" customHeight="1" x14ac:dyDescent="0.25">
      <c r="B363" s="4"/>
      <c r="C363" s="4"/>
      <c r="D363" s="4"/>
      <c r="E363" s="4"/>
      <c r="F363" s="4"/>
      <c r="G363" s="5"/>
      <c r="H363" s="112"/>
      <c r="I363" s="113"/>
    </row>
    <row r="364" spans="2:9" ht="12.75" customHeight="1" x14ac:dyDescent="0.25"/>
    <row r="365" spans="2:9" ht="12.75" customHeight="1" x14ac:dyDescent="0.25"/>
    <row r="366" spans="2:9" ht="12.75" customHeight="1" x14ac:dyDescent="0.25"/>
    <row r="367" spans="2:9" ht="12.75" customHeight="1" x14ac:dyDescent="0.25"/>
    <row r="368" spans="2:9"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sheetData>
  <sortState ref="B241:I253">
    <sortCondition ref="C242"/>
  </sortState>
  <mergeCells count="24">
    <mergeCell ref="B218:I218"/>
    <mergeCell ref="B239:I239"/>
    <mergeCell ref="A174:F174"/>
    <mergeCell ref="A1:F1"/>
    <mergeCell ref="B4:I4"/>
    <mergeCell ref="B25:I25"/>
    <mergeCell ref="B47:I47"/>
    <mergeCell ref="B68:I68"/>
    <mergeCell ref="AA21:AM21"/>
    <mergeCell ref="AA35:AM35"/>
    <mergeCell ref="AA6:AM6"/>
    <mergeCell ref="B346:I346"/>
    <mergeCell ref="B279:I279"/>
    <mergeCell ref="B259:I259"/>
    <mergeCell ref="B301:I301"/>
    <mergeCell ref="A343:I343"/>
    <mergeCell ref="B322:I322"/>
    <mergeCell ref="B92:I92"/>
    <mergeCell ref="B113:I113"/>
    <mergeCell ref="B134:I134"/>
    <mergeCell ref="B155:I155"/>
    <mergeCell ref="A89:F89"/>
    <mergeCell ref="B176:I176"/>
    <mergeCell ref="B197:I197"/>
  </mergeCells>
  <pageMargins left="0.7" right="0.7" top="0.75" bottom="0.75" header="0" footer="0"/>
  <pageSetup paperSize="9" orientation="portrait" r:id="rId1"/>
  <ignoredErrors>
    <ignoredError sqref="D106" formula="1"/>
    <ignoredError sqref="C106"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B594A-046A-450B-B8F0-42CC6563A94F}">
  <dimension ref="C4:F28"/>
  <sheetViews>
    <sheetView showGridLines="0" topLeftCell="A13" zoomScale="91" workbookViewId="0">
      <selection activeCell="I19" sqref="I19"/>
    </sheetView>
  </sheetViews>
  <sheetFormatPr defaultRowHeight="13.2" x14ac:dyDescent="0.25"/>
  <cols>
    <col min="3" max="3" width="3.88671875" customWidth="1"/>
    <col min="4" max="4" width="76.6640625" customWidth="1"/>
    <col min="5" max="5" width="13.6640625" style="2" customWidth="1"/>
    <col min="6" max="6" width="15" style="2" customWidth="1"/>
  </cols>
  <sheetData>
    <row r="4" spans="3:6" s="2" customFormat="1" x14ac:dyDescent="0.25">
      <c r="C4" s="66"/>
      <c r="D4" s="66"/>
      <c r="E4" s="66"/>
      <c r="F4" s="66"/>
    </row>
    <row r="5" spans="3:6" x14ac:dyDescent="0.25">
      <c r="C5" s="181" t="s">
        <v>160</v>
      </c>
      <c r="D5" s="181" t="s">
        <v>214</v>
      </c>
      <c r="E5" s="180"/>
      <c r="F5" s="180"/>
    </row>
    <row r="6" spans="3:6" s="2" customFormat="1" ht="26.4" x14ac:dyDescent="0.25">
      <c r="C6" s="178">
        <v>1</v>
      </c>
      <c r="D6" s="179" t="s">
        <v>174</v>
      </c>
      <c r="E6" s="179"/>
      <c r="F6" s="179"/>
    </row>
    <row r="7" spans="3:6" ht="26.4" x14ac:dyDescent="0.25">
      <c r="C7" s="180">
        <v>2</v>
      </c>
      <c r="D7" s="179" t="s">
        <v>175</v>
      </c>
      <c r="E7" s="179"/>
      <c r="F7" s="179"/>
    </row>
    <row r="8" spans="3:6" ht="39.6" x14ac:dyDescent="0.25">
      <c r="C8" s="180">
        <v>3</v>
      </c>
      <c r="D8" s="179" t="s">
        <v>176</v>
      </c>
      <c r="E8" s="179"/>
      <c r="F8" s="179"/>
    </row>
    <row r="9" spans="3:6" ht="26.4" x14ac:dyDescent="0.25">
      <c r="C9" s="180">
        <v>4</v>
      </c>
      <c r="D9" s="179" t="s">
        <v>180</v>
      </c>
      <c r="E9" s="179"/>
      <c r="F9" s="179"/>
    </row>
    <row r="10" spans="3:6" ht="26.4" x14ac:dyDescent="0.25">
      <c r="C10" s="180">
        <v>5</v>
      </c>
      <c r="D10" s="179" t="s">
        <v>177</v>
      </c>
      <c r="E10" s="179"/>
      <c r="F10" s="179"/>
    </row>
    <row r="11" spans="3:6" ht="26.4" x14ac:dyDescent="0.25">
      <c r="C11" s="180">
        <v>6</v>
      </c>
      <c r="D11" s="179" t="s">
        <v>178</v>
      </c>
      <c r="E11" s="179"/>
      <c r="F11" s="179"/>
    </row>
    <row r="12" spans="3:6" ht="26.4" x14ac:dyDescent="0.25">
      <c r="C12" s="180">
        <v>7</v>
      </c>
      <c r="D12" s="179" t="s">
        <v>179</v>
      </c>
      <c r="E12" s="179"/>
      <c r="F12" s="179"/>
    </row>
    <row r="13" spans="3:6" x14ac:dyDescent="0.25">
      <c r="D13" s="2"/>
    </row>
    <row r="15" spans="3:6" ht="15.6" x14ac:dyDescent="0.3">
      <c r="C15" s="185" t="s">
        <v>160</v>
      </c>
      <c r="D15" s="185" t="s">
        <v>213</v>
      </c>
      <c r="E15" s="185" t="s">
        <v>187</v>
      </c>
      <c r="F15" s="185" t="s">
        <v>184</v>
      </c>
    </row>
    <row r="16" spans="3:6" ht="31.2" x14ac:dyDescent="0.3">
      <c r="C16" s="186">
        <v>1</v>
      </c>
      <c r="D16" s="177" t="s">
        <v>183</v>
      </c>
      <c r="E16" s="190" t="s">
        <v>186</v>
      </c>
      <c r="F16" s="190" t="s">
        <v>185</v>
      </c>
    </row>
    <row r="17" spans="3:6" ht="31.2" x14ac:dyDescent="0.3">
      <c r="C17" s="187">
        <v>2</v>
      </c>
      <c r="D17" s="182" t="s">
        <v>181</v>
      </c>
      <c r="E17" s="188" t="s">
        <v>193</v>
      </c>
      <c r="F17" s="188" t="s">
        <v>188</v>
      </c>
    </row>
    <row r="18" spans="3:6" ht="15.6" x14ac:dyDescent="0.3">
      <c r="C18" s="187">
        <v>3</v>
      </c>
      <c r="D18" s="183" t="s">
        <v>194</v>
      </c>
      <c r="E18" s="188" t="s">
        <v>196</v>
      </c>
      <c r="F18" s="188" t="s">
        <v>195</v>
      </c>
    </row>
    <row r="19" spans="3:6" ht="31.2" customHeight="1" x14ac:dyDescent="0.3">
      <c r="C19" s="187">
        <v>4</v>
      </c>
      <c r="D19" s="182" t="s">
        <v>197</v>
      </c>
      <c r="E19" s="188" t="s">
        <v>196</v>
      </c>
      <c r="F19" s="188" t="s">
        <v>198</v>
      </c>
    </row>
    <row r="20" spans="3:6" ht="28.8" customHeight="1" x14ac:dyDescent="0.3">
      <c r="C20" s="187">
        <v>5</v>
      </c>
      <c r="D20" s="182" t="s">
        <v>199</v>
      </c>
      <c r="E20" s="188" t="s">
        <v>201</v>
      </c>
      <c r="F20" s="188" t="s">
        <v>200</v>
      </c>
    </row>
    <row r="21" spans="3:6" ht="31.2" x14ac:dyDescent="0.3">
      <c r="C21" s="187">
        <v>6</v>
      </c>
      <c r="D21" s="182" t="s">
        <v>202</v>
      </c>
      <c r="E21" s="188" t="s">
        <v>203</v>
      </c>
      <c r="F21" s="188" t="s">
        <v>189</v>
      </c>
    </row>
    <row r="22" spans="3:6" s="2" customFormat="1" ht="46.8" x14ac:dyDescent="0.3">
      <c r="C22" s="187">
        <v>7</v>
      </c>
      <c r="D22" s="182" t="s">
        <v>204</v>
      </c>
      <c r="E22" s="188" t="s">
        <v>205</v>
      </c>
      <c r="F22" s="188">
        <v>1949</v>
      </c>
    </row>
    <row r="23" spans="3:6" s="2" customFormat="1" ht="31.2" x14ac:dyDescent="0.3">
      <c r="C23" s="187">
        <v>8</v>
      </c>
      <c r="D23" s="182" t="s">
        <v>206</v>
      </c>
      <c r="E23" s="188" t="s">
        <v>207</v>
      </c>
      <c r="F23" s="188" t="s">
        <v>190</v>
      </c>
    </row>
    <row r="24" spans="3:6" s="2" customFormat="1" ht="31.2" x14ac:dyDescent="0.3">
      <c r="C24" s="187">
        <v>9</v>
      </c>
      <c r="D24" s="182" t="s">
        <v>208</v>
      </c>
      <c r="E24" s="188" t="s">
        <v>209</v>
      </c>
      <c r="F24" s="188">
        <v>1966</v>
      </c>
    </row>
    <row r="25" spans="3:6" s="2" customFormat="1" ht="31.2" x14ac:dyDescent="0.3">
      <c r="C25" s="187">
        <v>10</v>
      </c>
      <c r="D25" s="182" t="s">
        <v>210</v>
      </c>
      <c r="E25" s="188" t="s">
        <v>205</v>
      </c>
      <c r="F25" s="188" t="s">
        <v>191</v>
      </c>
    </row>
    <row r="26" spans="3:6" s="2" customFormat="1" ht="28.8" customHeight="1" x14ac:dyDescent="0.3">
      <c r="C26" s="187">
        <v>11</v>
      </c>
      <c r="D26" s="182" t="s">
        <v>211</v>
      </c>
      <c r="E26" s="188" t="s">
        <v>212</v>
      </c>
      <c r="F26" s="188" t="s">
        <v>192</v>
      </c>
    </row>
    <row r="27" spans="3:6" ht="31.2" x14ac:dyDescent="0.3">
      <c r="C27" s="187">
        <v>12</v>
      </c>
      <c r="D27" s="184" t="s">
        <v>182</v>
      </c>
      <c r="E27" s="189"/>
      <c r="F27" s="189"/>
    </row>
    <row r="28" spans="3:6" s="2" customFormat="1" x14ac:dyDescent="0.25">
      <c r="C28" s="180"/>
      <c r="D28" s="179"/>
      <c r="E28" s="179"/>
      <c r="F28" s="179"/>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43D14-E44B-43D9-8B01-2ACA3DBCB174}">
  <dimension ref="A1:R632"/>
  <sheetViews>
    <sheetView showGridLines="0" zoomScale="66" zoomScaleNormal="60" workbookViewId="0">
      <selection activeCell="C242" sqref="C242:C252"/>
    </sheetView>
  </sheetViews>
  <sheetFormatPr defaultColWidth="12.6640625" defaultRowHeight="15" customHeight="1" x14ac:dyDescent="0.25"/>
  <cols>
    <col min="1" max="1" width="8.6640625" style="2" customWidth="1"/>
    <col min="2" max="2" width="15.109375" style="2" bestFit="1" customWidth="1"/>
    <col min="3" max="3" width="16.33203125" style="2" bestFit="1" customWidth="1"/>
    <col min="4" max="4" width="13.21875" style="2" customWidth="1"/>
    <col min="5" max="5" width="8.44140625" style="2" customWidth="1"/>
    <col min="6" max="6" width="13.33203125" style="2" customWidth="1"/>
    <col min="7" max="7" width="14" style="2" bestFit="1" customWidth="1"/>
    <col min="8" max="8" width="14.21875" style="2" bestFit="1" customWidth="1"/>
    <col min="9" max="9" width="20.21875" style="2" bestFit="1" customWidth="1"/>
    <col min="10" max="13" width="16.109375" style="2" customWidth="1"/>
    <col min="14" max="14" width="20" style="2" customWidth="1"/>
    <col min="15" max="17" width="12.6640625" style="2"/>
    <col min="18" max="18" width="16.33203125" style="2" bestFit="1" customWidth="1"/>
    <col min="19" max="16384" width="12.6640625" style="2"/>
  </cols>
  <sheetData>
    <row r="1" spans="1:18" ht="25.05" customHeight="1" x14ac:dyDescent="0.25">
      <c r="A1" s="211" t="s">
        <v>96</v>
      </c>
      <c r="B1" s="211"/>
      <c r="C1" s="211"/>
      <c r="D1" s="211"/>
      <c r="E1" s="211"/>
      <c r="F1" s="211"/>
    </row>
    <row r="2" spans="1:18" ht="12.75" customHeight="1" x14ac:dyDescent="0.25">
      <c r="D2" s="1"/>
    </row>
    <row r="3" spans="1:18" ht="12.75" customHeight="1" x14ac:dyDescent="0.25"/>
    <row r="4" spans="1:18" ht="21" customHeight="1" thickBot="1" x14ac:dyDescent="0.35">
      <c r="B4" s="209" t="s">
        <v>110</v>
      </c>
      <c r="C4" s="209"/>
      <c r="D4" s="209"/>
      <c r="E4" s="209"/>
      <c r="F4" s="209"/>
      <c r="G4" s="209"/>
      <c r="H4" s="209"/>
      <c r="I4" s="209"/>
    </row>
    <row r="5" spans="1:18" s="8" customFormat="1" ht="40.200000000000003" customHeight="1" thickBot="1" x14ac:dyDescent="0.3">
      <c r="B5" s="36" t="s">
        <v>20</v>
      </c>
      <c r="C5" s="37" t="s">
        <v>47</v>
      </c>
      <c r="D5" s="37" t="s">
        <v>46</v>
      </c>
      <c r="E5" s="37" t="s">
        <v>30</v>
      </c>
      <c r="F5" s="37" t="s">
        <v>17</v>
      </c>
      <c r="G5" s="37" t="s">
        <v>31</v>
      </c>
      <c r="H5" s="37" t="s">
        <v>136</v>
      </c>
      <c r="I5" s="37" t="s">
        <v>21</v>
      </c>
    </row>
    <row r="6" spans="1:18" ht="12.75" customHeight="1" x14ac:dyDescent="0.25">
      <c r="B6" s="4"/>
      <c r="C6" s="26">
        <v>0</v>
      </c>
      <c r="D6" s="26">
        <v>0</v>
      </c>
      <c r="E6" s="50">
        <v>0</v>
      </c>
      <c r="F6" s="50">
        <v>0</v>
      </c>
      <c r="G6" s="50">
        <v>0</v>
      </c>
      <c r="H6" s="51">
        <f>F6</f>
        <v>0</v>
      </c>
      <c r="I6" s="50">
        <v>0</v>
      </c>
      <c r="P6" s="18"/>
      <c r="Q6" s="14"/>
      <c r="R6" s="15"/>
    </row>
    <row r="7" spans="1:18" ht="12.75" customHeight="1" x14ac:dyDescent="0.25">
      <c r="B7" s="84" t="s">
        <v>1</v>
      </c>
      <c r="C7" s="29">
        <v>15.589621527401139</v>
      </c>
      <c r="D7" s="29">
        <v>6.169632</v>
      </c>
      <c r="E7" s="50">
        <f t="shared" ref="E7:E17" si="0">C7/$C$18</f>
        <v>7.4822354531115009E-3</v>
      </c>
      <c r="F7" s="50">
        <f t="shared" ref="F7:F17" si="1">D7/$D$18</f>
        <v>2.3065200054977395E-2</v>
      </c>
      <c r="G7" s="50">
        <f t="shared" ref="G7:G17" si="2">G6+E7</f>
        <v>7.4822354531115009E-3</v>
      </c>
      <c r="H7" s="51">
        <f t="shared" ref="H7:H17" si="3">F7+H6</f>
        <v>2.3065200054977395E-2</v>
      </c>
      <c r="I7" s="50">
        <f t="shared" ref="I7:I17" si="4">(G6+G7)*0.5*(H7-H6)</f>
        <v>8.6289628792230605E-5</v>
      </c>
      <c r="P7" s="18"/>
      <c r="Q7" s="14"/>
      <c r="R7" s="15"/>
    </row>
    <row r="8" spans="1:18" ht="12.75" customHeight="1" x14ac:dyDescent="0.25">
      <c r="B8" s="84" t="s">
        <v>2</v>
      </c>
      <c r="C8" s="29">
        <v>23.724017140818511</v>
      </c>
      <c r="D8" s="29">
        <v>3.8753060000000001</v>
      </c>
      <c r="E8" s="50">
        <f t="shared" si="0"/>
        <v>1.1386336854250027E-2</v>
      </c>
      <c r="F8" s="50">
        <f>D8/$D$18</f>
        <v>1.4487850841712153E-2</v>
      </c>
      <c r="G8" s="50">
        <f>G7+E8</f>
        <v>1.8868572307361529E-2</v>
      </c>
      <c r="H8" s="51">
        <f t="shared" si="3"/>
        <v>3.7553050896689547E-2</v>
      </c>
      <c r="I8" s="50">
        <f t="shared" si="4"/>
        <v>1.9088328619618213E-4</v>
      </c>
      <c r="P8" s="18"/>
      <c r="Q8" s="14"/>
      <c r="R8" s="15"/>
    </row>
    <row r="9" spans="1:18" ht="12.75" customHeight="1" x14ac:dyDescent="0.25">
      <c r="B9" s="84" t="s">
        <v>3</v>
      </c>
      <c r="C9" s="29">
        <v>3.3803673657372775</v>
      </c>
      <c r="D9" s="29">
        <v>83.946549000000005</v>
      </c>
      <c r="E9" s="50">
        <f t="shared" si="0"/>
        <v>1.6224065801728926E-3</v>
      </c>
      <c r="F9" s="50">
        <f t="shared" si="1"/>
        <v>0.31383459282660014</v>
      </c>
      <c r="G9" s="50">
        <f t="shared" si="2"/>
        <v>2.0490978887534421E-2</v>
      </c>
      <c r="H9" s="51">
        <f t="shared" si="3"/>
        <v>0.35138764372328968</v>
      </c>
      <c r="I9" s="50">
        <f t="shared" si="4"/>
        <v>6.176194361543947E-3</v>
      </c>
      <c r="P9" s="18"/>
      <c r="Q9" s="14"/>
      <c r="R9" s="15"/>
    </row>
    <row r="10" spans="1:18" ht="12.75" customHeight="1" x14ac:dyDescent="0.25">
      <c r="B10" s="84" t="s">
        <v>4</v>
      </c>
      <c r="C10" s="29">
        <v>14.400136359321918</v>
      </c>
      <c r="D10" s="29">
        <v>1.2901100000000001</v>
      </c>
      <c r="E10" s="50">
        <f t="shared" si="0"/>
        <v>6.9113423060322386E-3</v>
      </c>
      <c r="F10" s="50">
        <f t="shared" si="1"/>
        <v>4.8230826802841548E-3</v>
      </c>
      <c r="G10" s="50">
        <f>G9+E10</f>
        <v>2.740232119356666E-2</v>
      </c>
      <c r="H10" s="51">
        <f t="shared" si="3"/>
        <v>0.35621072640357382</v>
      </c>
      <c r="I10" s="50">
        <f t="shared" si="4"/>
        <v>1.1549667306140483E-4</v>
      </c>
      <c r="P10" s="18"/>
      <c r="Q10" s="14"/>
      <c r="R10" s="15"/>
    </row>
    <row r="11" spans="1:18" ht="12.75" customHeight="1" x14ac:dyDescent="0.25">
      <c r="B11" s="84" t="s">
        <v>5</v>
      </c>
      <c r="C11" s="29">
        <v>484.06868290093661</v>
      </c>
      <c r="D11" s="29">
        <v>39.232453</v>
      </c>
      <c r="E11" s="50">
        <f t="shared" si="0"/>
        <v>0.2323286588180673</v>
      </c>
      <c r="F11" s="50">
        <f>D11/$D$18</f>
        <v>0.14667072154262978</v>
      </c>
      <c r="G11" s="50">
        <f t="shared" si="2"/>
        <v>0.25973098001163397</v>
      </c>
      <c r="H11" s="51">
        <f>F11+H10</f>
        <v>0.5028814479462036</v>
      </c>
      <c r="I11" s="50">
        <f t="shared" si="4"/>
        <v>2.1057024233342013E-2</v>
      </c>
      <c r="P11" s="18"/>
      <c r="Q11" s="14"/>
      <c r="R11" s="15"/>
    </row>
    <row r="12" spans="1:18" ht="12.75" customHeight="1" x14ac:dyDescent="0.25">
      <c r="B12" s="84" t="s">
        <v>6</v>
      </c>
      <c r="C12" s="29">
        <v>72.980329509151488</v>
      </c>
      <c r="D12" s="29">
        <v>19.742709999999999</v>
      </c>
      <c r="E12" s="50">
        <f>C12/$C$18</f>
        <v>3.5026893236205635E-2</v>
      </c>
      <c r="F12" s="50">
        <f t="shared" si="1"/>
        <v>7.3808219967966118E-2</v>
      </c>
      <c r="G12" s="50">
        <f t="shared" si="2"/>
        <v>0.29475787324783959</v>
      </c>
      <c r="H12" s="51">
        <f t="shared" si="3"/>
        <v>0.57668966791416976</v>
      </c>
      <c r="I12" s="50">
        <f t="shared" si="4"/>
        <v>2.0462917625580269E-2</v>
      </c>
      <c r="P12" s="18"/>
      <c r="Q12" s="14"/>
      <c r="R12" s="15"/>
    </row>
    <row r="13" spans="1:18" ht="12.75" customHeight="1" x14ac:dyDescent="0.25">
      <c r="B13" s="84" t="s">
        <v>7</v>
      </c>
      <c r="C13" s="29">
        <v>21.331893349594765</v>
      </c>
      <c r="D13" s="29">
        <v>11.426439</v>
      </c>
      <c r="E13" s="50">
        <f t="shared" si="0"/>
        <v>1.0238237562200726E-2</v>
      </c>
      <c r="F13" s="50">
        <f t="shared" si="1"/>
        <v>4.2717799287055672E-2</v>
      </c>
      <c r="G13" s="50">
        <f t="shared" si="2"/>
        <v>0.3049961108100403</v>
      </c>
      <c r="H13" s="51">
        <f t="shared" si="3"/>
        <v>0.61940746720122541</v>
      </c>
      <c r="I13" s="50">
        <f t="shared" si="4"/>
        <v>1.2810085156298244E-2</v>
      </c>
      <c r="P13" s="18"/>
      <c r="Q13" s="14"/>
      <c r="R13" s="15"/>
    </row>
    <row r="14" spans="1:18" ht="12.75" customHeight="1" x14ac:dyDescent="0.25">
      <c r="B14" s="84" t="s">
        <v>8</v>
      </c>
      <c r="C14" s="29">
        <v>404.09091338939459</v>
      </c>
      <c r="D14" s="29">
        <v>36.982824999999998</v>
      </c>
      <c r="E14" s="50">
        <f t="shared" si="0"/>
        <v>0.19394334577834801</v>
      </c>
      <c r="F14" s="50">
        <f t="shared" si="1"/>
        <v>0.1382604760256721</v>
      </c>
      <c r="G14" s="50">
        <f t="shared" si="2"/>
        <v>0.49893945658838834</v>
      </c>
      <c r="H14" s="51">
        <f t="shared" si="3"/>
        <v>0.75766794322689757</v>
      </c>
      <c r="I14" s="50">
        <f t="shared" si="4"/>
        <v>5.5576257121237788E-2</v>
      </c>
      <c r="P14" s="18"/>
      <c r="Q14" s="14"/>
      <c r="R14" s="15"/>
    </row>
    <row r="15" spans="1:18" ht="12.75" customHeight="1" x14ac:dyDescent="0.25">
      <c r="B15" s="84" t="s">
        <v>9</v>
      </c>
      <c r="C15" s="29">
        <v>620.94260061497255</v>
      </c>
      <c r="D15" s="29">
        <v>10.905776556851148</v>
      </c>
      <c r="E15" s="50">
        <f t="shared" si="0"/>
        <v>0.2980212657826542</v>
      </c>
      <c r="F15" s="50">
        <f t="shared" si="1"/>
        <v>4.0771300142156658E-2</v>
      </c>
      <c r="G15" s="50">
        <f t="shared" si="2"/>
        <v>0.79696072237104254</v>
      </c>
      <c r="H15" s="51">
        <f t="shared" si="3"/>
        <v>0.79843924336905425</v>
      </c>
      <c r="I15" s="50">
        <f t="shared" si="4"/>
        <v>2.6417767575314759E-2</v>
      </c>
      <c r="P15" s="18"/>
      <c r="Q15" s="14"/>
      <c r="R15" s="15"/>
    </row>
    <row r="16" spans="1:18" ht="12.75" customHeight="1" x14ac:dyDescent="0.25">
      <c r="B16" s="84" t="s">
        <v>10</v>
      </c>
      <c r="C16" s="29">
        <v>130.37580876063711</v>
      </c>
      <c r="D16" s="29">
        <v>11.996235</v>
      </c>
      <c r="E16" s="50">
        <f t="shared" si="0"/>
        <v>6.2573840989168947E-2</v>
      </c>
      <c r="F16" s="50">
        <f t="shared" si="1"/>
        <v>4.4847984479709932E-2</v>
      </c>
      <c r="G16" s="50">
        <f t="shared" si="2"/>
        <v>0.8595345633602115</v>
      </c>
      <c r="H16" s="51">
        <f t="shared" si="3"/>
        <v>0.8432872278487642</v>
      </c>
      <c r="I16" s="50">
        <f t="shared" si="4"/>
        <v>3.7145237432593986E-2</v>
      </c>
      <c r="P16" s="18"/>
      <c r="Q16" s="14"/>
      <c r="R16" s="15"/>
    </row>
    <row r="17" spans="1:14" ht="12.75" customHeight="1" thickBot="1" x14ac:dyDescent="0.3">
      <c r="B17" s="88" t="s">
        <v>11</v>
      </c>
      <c r="C17" s="32">
        <v>292.66694540931792</v>
      </c>
      <c r="D17" s="32">
        <v>41.918567000000003</v>
      </c>
      <c r="E17" s="52">
        <f t="shared" si="0"/>
        <v>0.14046543663978844</v>
      </c>
      <c r="F17" s="52">
        <f t="shared" si="1"/>
        <v>0.15671277215123589</v>
      </c>
      <c r="G17" s="50">
        <f t="shared" si="2"/>
        <v>1</v>
      </c>
      <c r="H17" s="53">
        <f t="shared" si="3"/>
        <v>1</v>
      </c>
      <c r="I17" s="52">
        <f t="shared" si="4"/>
        <v>0.14570640816760827</v>
      </c>
    </row>
    <row r="18" spans="1:14" ht="12.75" customHeight="1" thickBot="1" x14ac:dyDescent="0.3">
      <c r="B18" s="35" t="s">
        <v>13</v>
      </c>
      <c r="C18" s="6">
        <f>SUM(C6:C17)</f>
        <v>2083.551316327284</v>
      </c>
      <c r="D18" s="6">
        <f>SUM(D6:D17)</f>
        <v>267.48660255685115</v>
      </c>
      <c r="E18" s="60">
        <f>SUM(E7:E17)</f>
        <v>1</v>
      </c>
      <c r="F18" s="60">
        <f>SUM(F7:F17)</f>
        <v>1</v>
      </c>
      <c r="G18" s="54"/>
      <c r="H18" s="54"/>
      <c r="I18" s="60">
        <f>SUM(I6:I17)</f>
        <v>0.32574456126156909</v>
      </c>
    </row>
    <row r="19" spans="1:14" ht="12.75" customHeight="1" thickBot="1" x14ac:dyDescent="0.3">
      <c r="B19" s="4"/>
      <c r="C19" s="4"/>
      <c r="D19" s="4"/>
      <c r="E19" s="51"/>
      <c r="F19" s="51"/>
      <c r="G19" s="51"/>
      <c r="H19" s="54"/>
      <c r="I19" s="54"/>
    </row>
    <row r="20" spans="1:14" ht="12.75" customHeight="1" thickBot="1" x14ac:dyDescent="0.3">
      <c r="B20" s="4"/>
      <c r="C20" s="4"/>
      <c r="D20" s="4"/>
      <c r="E20" s="51"/>
      <c r="F20" s="51"/>
      <c r="G20" s="56"/>
      <c r="H20" s="57" t="s">
        <v>34</v>
      </c>
      <c r="I20" s="53">
        <f>1-(2*I18)</f>
        <v>0.34851087747686182</v>
      </c>
    </row>
    <row r="21" spans="1:14" ht="12.75" customHeight="1" x14ac:dyDescent="0.25"/>
    <row r="22" spans="1:14" ht="12.75" customHeight="1" x14ac:dyDescent="0.25"/>
    <row r="23" spans="1:14" ht="12.75" customHeight="1" x14ac:dyDescent="0.25"/>
    <row r="24" spans="1:14" ht="12.75" customHeight="1" x14ac:dyDescent="0.25"/>
    <row r="25" spans="1:14" ht="16.2" thickBot="1" x14ac:dyDescent="0.35">
      <c r="B25" s="209" t="s">
        <v>111</v>
      </c>
      <c r="C25" s="209"/>
      <c r="D25" s="209"/>
      <c r="E25" s="209"/>
      <c r="F25" s="209"/>
      <c r="G25" s="209"/>
      <c r="H25" s="209"/>
      <c r="I25" s="209"/>
    </row>
    <row r="26" spans="1:14" ht="27" thickBot="1" x14ac:dyDescent="0.3">
      <c r="B26" s="36" t="s">
        <v>20</v>
      </c>
      <c r="C26" s="37" t="s">
        <v>112</v>
      </c>
      <c r="D26" s="37" t="s">
        <v>46</v>
      </c>
      <c r="E26" s="37" t="s">
        <v>35</v>
      </c>
      <c r="F26" s="37" t="s">
        <v>17</v>
      </c>
      <c r="G26" s="37" t="s">
        <v>36</v>
      </c>
      <c r="H26" s="37" t="s">
        <v>136</v>
      </c>
      <c r="I26" s="37" t="s">
        <v>21</v>
      </c>
      <c r="J26" s="8"/>
      <c r="K26" s="8"/>
      <c r="L26" s="8"/>
      <c r="M26" s="8"/>
      <c r="N26" s="8"/>
    </row>
    <row r="27" spans="1:14" ht="12.75" customHeight="1" x14ac:dyDescent="0.25">
      <c r="B27" s="4"/>
      <c r="C27" s="26">
        <v>0</v>
      </c>
      <c r="D27" s="26">
        <v>0</v>
      </c>
      <c r="E27" s="50">
        <f t="shared" ref="E27:E37" si="5">C27/$C$39</f>
        <v>0</v>
      </c>
      <c r="F27" s="50">
        <f>D27/$D$39</f>
        <v>0</v>
      </c>
      <c r="G27" s="50">
        <v>0</v>
      </c>
      <c r="H27" s="51">
        <f>F27</f>
        <v>0</v>
      </c>
      <c r="I27" s="50">
        <v>0</v>
      </c>
    </row>
    <row r="28" spans="1:14" ht="12.75" customHeight="1" x14ac:dyDescent="0.25">
      <c r="A28" s="8"/>
      <c r="B28" s="84" t="s">
        <v>1</v>
      </c>
      <c r="C28" s="29">
        <v>13.62551145548483</v>
      </c>
      <c r="D28" s="29">
        <v>6.169632</v>
      </c>
      <c r="E28" s="50">
        <f t="shared" si="5"/>
        <v>6.4642065696603936E-3</v>
      </c>
      <c r="F28" s="50">
        <f t="shared" ref="F28:F31" si="6">D28/$D$39</f>
        <v>2.3065200054977395E-2</v>
      </c>
      <c r="G28" s="50">
        <f t="shared" ref="G28:G38" si="7">G27+E28</f>
        <v>6.4642065696603936E-3</v>
      </c>
      <c r="H28" s="51">
        <f t="shared" ref="H28:H38" si="8">F28+H27</f>
        <v>2.3065200054977395E-2</v>
      </c>
      <c r="I28" s="50">
        <f t="shared" ref="I28:I38" si="9">(G27+G28)*0.5*(H28-H27)</f>
        <v>7.4549108862958071E-5</v>
      </c>
    </row>
    <row r="29" spans="1:14" ht="12.75" customHeight="1" x14ac:dyDescent="0.25">
      <c r="B29" s="84" t="s">
        <v>2</v>
      </c>
      <c r="C29" s="29">
        <v>26.053635154547475</v>
      </c>
      <c r="D29" s="29">
        <v>3.8753060000000001</v>
      </c>
      <c r="E29" s="50">
        <f t="shared" si="5"/>
        <v>1.2360349193480467E-2</v>
      </c>
      <c r="F29" s="50">
        <f t="shared" si="6"/>
        <v>1.4487850841712153E-2</v>
      </c>
      <c r="G29" s="50">
        <f t="shared" si="7"/>
        <v>1.8824555763140863E-2</v>
      </c>
      <c r="H29" s="51">
        <f t="shared" si="8"/>
        <v>3.7553050896689547E-2</v>
      </c>
      <c r="I29" s="50">
        <f t="shared" si="9"/>
        <v>1.8318990832456663E-4</v>
      </c>
    </row>
    <row r="30" spans="1:14" ht="12.75" customHeight="1" x14ac:dyDescent="0.25">
      <c r="B30" s="84" t="s">
        <v>3</v>
      </c>
      <c r="C30" s="29">
        <v>63.208496046190042</v>
      </c>
      <c r="D30" s="29">
        <v>83.946549000000005</v>
      </c>
      <c r="E30" s="50">
        <f t="shared" si="5"/>
        <v>2.9987334914731531E-2</v>
      </c>
      <c r="F30" s="50">
        <f>D30/$D$39</f>
        <v>0.31383459282660014</v>
      </c>
      <c r="G30" s="50">
        <f t="shared" si="7"/>
        <v>4.8811890677872394E-2</v>
      </c>
      <c r="H30" s="51">
        <f t="shared" si="8"/>
        <v>0.35138764372328968</v>
      </c>
      <c r="I30" s="50">
        <f t="shared" si="9"/>
        <v>1.0613328314526773E-2</v>
      </c>
    </row>
    <row r="31" spans="1:14" ht="12.75" customHeight="1" x14ac:dyDescent="0.25">
      <c r="B31" s="84" t="s">
        <v>4</v>
      </c>
      <c r="C31" s="29">
        <v>11.171359418917772</v>
      </c>
      <c r="D31" s="29">
        <v>1.2901100000000001</v>
      </c>
      <c r="E31" s="50">
        <f t="shared" si="5"/>
        <v>5.2999093049631314E-3</v>
      </c>
      <c r="F31" s="50">
        <f t="shared" si="6"/>
        <v>4.8230826802841548E-3</v>
      </c>
      <c r="G31" s="50">
        <f t="shared" si="7"/>
        <v>5.4111799982835523E-2</v>
      </c>
      <c r="H31" s="51">
        <f t="shared" si="8"/>
        <v>0.35621072640357382</v>
      </c>
      <c r="I31" s="50">
        <f t="shared" si="9"/>
        <v>2.4820473490829147E-4</v>
      </c>
    </row>
    <row r="32" spans="1:14" ht="12.75" customHeight="1" x14ac:dyDescent="0.25">
      <c r="B32" s="84" t="s">
        <v>5</v>
      </c>
      <c r="C32" s="29">
        <v>353.6026358725851</v>
      </c>
      <c r="D32" s="29">
        <v>39.232453</v>
      </c>
      <c r="E32" s="50">
        <f t="shared" si="5"/>
        <v>0.16775593997513275</v>
      </c>
      <c r="F32" s="50">
        <f>D32/$D$39</f>
        <v>0.14667072154262978</v>
      </c>
      <c r="G32" s="50">
        <f>G31+E32</f>
        <v>0.22186773995796827</v>
      </c>
      <c r="H32" s="51">
        <f t="shared" si="8"/>
        <v>0.5028814479462036</v>
      </c>
      <c r="I32" s="50">
        <f t="shared" si="9"/>
        <v>2.0239059127060356E-2</v>
      </c>
    </row>
    <row r="33" spans="2:14" ht="12.75" customHeight="1" x14ac:dyDescent="0.25">
      <c r="B33" s="84" t="s">
        <v>6</v>
      </c>
      <c r="C33" s="29">
        <v>58.065831028798335</v>
      </c>
      <c r="D33" s="29">
        <v>19.742709999999999</v>
      </c>
      <c r="E33" s="50">
        <f>C33/$C$39</f>
        <v>2.7547555013654544E-2</v>
      </c>
      <c r="F33" s="50">
        <f>D33/$D$39</f>
        <v>7.3808219967966118E-2</v>
      </c>
      <c r="G33" s="50">
        <f t="shared" si="7"/>
        <v>0.24941529497162282</v>
      </c>
      <c r="H33" s="51">
        <f>F33+H32</f>
        <v>0.57668966791416976</v>
      </c>
      <c r="I33" s="50">
        <f t="shared" si="9"/>
        <v>1.7392280954626971E-2</v>
      </c>
    </row>
    <row r="34" spans="2:14" ht="12.75" customHeight="1" x14ac:dyDescent="0.25">
      <c r="B34" s="84" t="s">
        <v>7</v>
      </c>
      <c r="C34" s="29">
        <v>19.890651093947945</v>
      </c>
      <c r="D34" s="29">
        <v>11.426439</v>
      </c>
      <c r="E34" s="50">
        <f>C34/$C$39</f>
        <v>9.4365101740502624E-3</v>
      </c>
      <c r="F34" s="50">
        <f t="shared" ref="F34:F38" si="10">D34/$D$39</f>
        <v>4.2717799287055672E-2</v>
      </c>
      <c r="G34" s="50">
        <f t="shared" si="7"/>
        <v>0.25885180514567308</v>
      </c>
      <c r="H34" s="51">
        <f t="shared" si="8"/>
        <v>0.61940746720122541</v>
      </c>
      <c r="I34" s="50">
        <f t="shared" si="9"/>
        <v>1.0856025983512235E-2</v>
      </c>
    </row>
    <row r="35" spans="2:14" ht="12.75" customHeight="1" x14ac:dyDescent="0.25">
      <c r="B35" s="84" t="s">
        <v>8</v>
      </c>
      <c r="C35" s="29">
        <v>436.58135275731689</v>
      </c>
      <c r="D35" s="29">
        <v>36.982824999999998</v>
      </c>
      <c r="E35" s="50">
        <f t="shared" si="5"/>
        <v>0.20712265061793605</v>
      </c>
      <c r="F35" s="50">
        <f t="shared" si="10"/>
        <v>0.1382604760256721</v>
      </c>
      <c r="G35" s="50">
        <f t="shared" si="7"/>
        <v>0.46597445576360913</v>
      </c>
      <c r="H35" s="51">
        <f t="shared" si="8"/>
        <v>0.75766794322689757</v>
      </c>
      <c r="I35" s="50">
        <f t="shared" si="9"/>
        <v>5.0107411934612697E-2</v>
      </c>
    </row>
    <row r="36" spans="2:14" ht="12.75" customHeight="1" x14ac:dyDescent="0.25">
      <c r="B36" s="84" t="s">
        <v>9</v>
      </c>
      <c r="C36" s="29">
        <v>734.87724433925337</v>
      </c>
      <c r="D36" s="29">
        <v>10.905776556851148</v>
      </c>
      <c r="E36" s="50">
        <f t="shared" si="5"/>
        <v>0.34863999977332938</v>
      </c>
      <c r="F36" s="50">
        <f>D36/$D$39</f>
        <v>4.0771300142156658E-2</v>
      </c>
      <c r="G36" s="50">
        <f t="shared" si="7"/>
        <v>0.81461445553693856</v>
      </c>
      <c r="H36" s="51">
        <f t="shared" si="8"/>
        <v>0.79843924336905425</v>
      </c>
      <c r="I36" s="50">
        <f t="shared" si="9"/>
        <v>2.6105637430676149E-2</v>
      </c>
    </row>
    <row r="37" spans="2:14" ht="12.75" customHeight="1" x14ac:dyDescent="0.25">
      <c r="B37" s="84" t="s">
        <v>10</v>
      </c>
      <c r="C37" s="29">
        <v>113.8115207203455</v>
      </c>
      <c r="D37" s="29">
        <v>11.996235</v>
      </c>
      <c r="E37" s="50">
        <f t="shared" si="5"/>
        <v>5.3994390034243257E-2</v>
      </c>
      <c r="F37" s="50">
        <f t="shared" si="10"/>
        <v>4.4847984479709932E-2</v>
      </c>
      <c r="G37" s="50">
        <f t="shared" si="7"/>
        <v>0.86860884557118179</v>
      </c>
      <c r="H37" s="51">
        <f t="shared" si="8"/>
        <v>0.8432872278487642</v>
      </c>
      <c r="I37" s="50">
        <f t="shared" si="9"/>
        <v>3.7744586241991562E-2</v>
      </c>
    </row>
    <row r="38" spans="2:14" ht="12.75" customHeight="1" thickBot="1" x14ac:dyDescent="0.3">
      <c r="B38" s="88" t="s">
        <v>11</v>
      </c>
      <c r="C38" s="32">
        <v>276.95149598433915</v>
      </c>
      <c r="D38" s="32">
        <v>41.918567000000003</v>
      </c>
      <c r="E38" s="52">
        <f>C38/$C$39</f>
        <v>0.13139115442881824</v>
      </c>
      <c r="F38" s="50">
        <f t="shared" si="10"/>
        <v>0.15671277215123589</v>
      </c>
      <c r="G38" s="52">
        <f t="shared" si="7"/>
        <v>1</v>
      </c>
      <c r="H38" s="53">
        <f t="shared" si="8"/>
        <v>1</v>
      </c>
      <c r="I38" s="52">
        <f t="shared" si="9"/>
        <v>0.14641743612789018</v>
      </c>
    </row>
    <row r="39" spans="2:14" ht="12.75" customHeight="1" thickBot="1" x14ac:dyDescent="0.3">
      <c r="B39" s="35" t="s">
        <v>13</v>
      </c>
      <c r="C39" s="6">
        <f>SUM(C27:C38)</f>
        <v>2107.8397338717264</v>
      </c>
      <c r="D39" s="6">
        <f>SUM(D27:D38)</f>
        <v>267.48660255685115</v>
      </c>
      <c r="E39" s="52">
        <f>SUM(E28:E38)</f>
        <v>1</v>
      </c>
      <c r="F39" s="60">
        <f>SUM(F28:F38)</f>
        <v>1</v>
      </c>
      <c r="G39" s="54"/>
      <c r="H39" s="54"/>
      <c r="I39" s="60">
        <f>SUM(I27:I38)</f>
        <v>0.3199817098669927</v>
      </c>
    </row>
    <row r="40" spans="2:14" ht="12.75" customHeight="1" thickBot="1" x14ac:dyDescent="0.3">
      <c r="B40" s="4"/>
      <c r="C40" s="4"/>
      <c r="D40" s="4"/>
      <c r="E40" s="51"/>
      <c r="F40" s="51"/>
      <c r="G40" s="51"/>
      <c r="H40" s="54"/>
      <c r="I40" s="54"/>
    </row>
    <row r="41" spans="2:14" ht="12.75" customHeight="1" thickBot="1" x14ac:dyDescent="0.3">
      <c r="B41" s="4"/>
      <c r="C41" s="4"/>
      <c r="D41" s="4"/>
      <c r="E41" s="51"/>
      <c r="F41" s="51"/>
      <c r="G41" s="56"/>
      <c r="H41" s="57" t="s">
        <v>33</v>
      </c>
      <c r="I41" s="53">
        <f>1-(2*I39)</f>
        <v>0.36003658026601459</v>
      </c>
    </row>
    <row r="42" spans="2:14" ht="12.75" customHeight="1" x14ac:dyDescent="0.25">
      <c r="E42" s="61"/>
      <c r="F42" s="61"/>
      <c r="G42" s="61"/>
      <c r="H42" s="61"/>
      <c r="I42" s="61"/>
    </row>
    <row r="43" spans="2:14" ht="12.75" customHeight="1" x14ac:dyDescent="0.25"/>
    <row r="44" spans="2:14" ht="12.75" customHeight="1" x14ac:dyDescent="0.25"/>
    <row r="45" spans="2:14" ht="12.75" customHeight="1" x14ac:dyDescent="0.25"/>
    <row r="46" spans="2:14" ht="12.75" customHeight="1" x14ac:dyDescent="0.25"/>
    <row r="47" spans="2:14" ht="16.2" thickBot="1" x14ac:dyDescent="0.35">
      <c r="B47" s="212" t="s">
        <v>119</v>
      </c>
      <c r="C47" s="212"/>
      <c r="D47" s="212"/>
      <c r="E47" s="212"/>
      <c r="F47" s="212"/>
      <c r="G47" s="212"/>
      <c r="H47" s="212"/>
      <c r="I47" s="212"/>
      <c r="J47" s="126"/>
    </row>
    <row r="48" spans="2:14" ht="27" thickBot="1" x14ac:dyDescent="0.3">
      <c r="B48" s="30" t="s">
        <v>20</v>
      </c>
      <c r="C48" s="31" t="s">
        <v>43</v>
      </c>
      <c r="D48" s="31" t="s">
        <v>46</v>
      </c>
      <c r="E48" s="31" t="s">
        <v>16</v>
      </c>
      <c r="F48" s="31" t="s">
        <v>17</v>
      </c>
      <c r="G48" s="31" t="s">
        <v>18</v>
      </c>
      <c r="H48" s="31" t="s">
        <v>136</v>
      </c>
      <c r="I48" s="31" t="s">
        <v>21</v>
      </c>
      <c r="J48" s="25"/>
      <c r="K48" s="8"/>
      <c r="L48" s="8"/>
      <c r="M48" s="8"/>
      <c r="N48" s="8"/>
    </row>
    <row r="49" spans="1:10" ht="12.75" customHeight="1" x14ac:dyDescent="0.25">
      <c r="B49" s="4"/>
      <c r="C49" s="26">
        <v>0</v>
      </c>
      <c r="D49" s="26">
        <v>0</v>
      </c>
      <c r="E49" s="50">
        <f t="shared" ref="E49:E53" si="11">C49/$C$61</f>
        <v>0</v>
      </c>
      <c r="F49" s="50">
        <f t="shared" ref="F49:F53" si="12">D49/$D$61</f>
        <v>0</v>
      </c>
      <c r="G49" s="50">
        <v>0</v>
      </c>
      <c r="H49" s="51">
        <f>F49</f>
        <v>0</v>
      </c>
      <c r="I49" s="50">
        <v>0</v>
      </c>
      <c r="J49" s="28"/>
    </row>
    <row r="50" spans="1:10" ht="12.75" customHeight="1" x14ac:dyDescent="0.25">
      <c r="B50" s="84" t="s">
        <v>1</v>
      </c>
      <c r="C50" s="29">
        <v>1.9832072109514134</v>
      </c>
      <c r="D50" s="29">
        <v>6.169632</v>
      </c>
      <c r="E50" s="50">
        <f t="shared" si="11"/>
        <v>3.5466968162584246E-2</v>
      </c>
      <c r="F50" s="50">
        <f t="shared" si="12"/>
        <v>2.3065200054977395E-2</v>
      </c>
      <c r="G50" s="50">
        <f t="shared" ref="G50:G60" si="13">G49+E50</f>
        <v>3.5466968162584246E-2</v>
      </c>
      <c r="H50" s="51">
        <f t="shared" ref="H50:H60" si="14">F50+H49</f>
        <v>2.3065200054977395E-2</v>
      </c>
      <c r="I50" s="50">
        <f t="shared" ref="I50:I60" si="15">(G49+G50)*0.5*(H50-H49)</f>
        <v>4.0902635800675981E-4</v>
      </c>
      <c r="J50" s="28"/>
    </row>
    <row r="51" spans="1:10" ht="12.75" customHeight="1" x14ac:dyDescent="0.25">
      <c r="A51" s="8"/>
      <c r="B51" s="84" t="s">
        <v>2</v>
      </c>
      <c r="C51" s="29">
        <v>-2.1134039371138331</v>
      </c>
      <c r="D51" s="29">
        <v>3.8753060000000001</v>
      </c>
      <c r="E51" s="50">
        <f t="shared" si="11"/>
        <v>-3.7795359828455596E-2</v>
      </c>
      <c r="F51" s="50">
        <f t="shared" si="12"/>
        <v>1.4487850841712153E-2</v>
      </c>
      <c r="G51" s="50">
        <f t="shared" si="13"/>
        <v>-2.3283916658713502E-3</v>
      </c>
      <c r="H51" s="51">
        <f t="shared" si="14"/>
        <v>3.7553050896689547E-2</v>
      </c>
      <c r="I51" s="50">
        <f t="shared" si="15"/>
        <v>2.4005337669552221E-4</v>
      </c>
      <c r="J51" s="28"/>
    </row>
    <row r="52" spans="1:10" ht="12.75" customHeight="1" x14ac:dyDescent="0.25">
      <c r="B52" s="84" t="s">
        <v>3</v>
      </c>
      <c r="C52" s="29">
        <v>-16.828155050388805</v>
      </c>
      <c r="D52" s="29">
        <v>83.946549000000005</v>
      </c>
      <c r="E52" s="50">
        <f t="shared" si="11"/>
        <v>-0.30094870375186078</v>
      </c>
      <c r="F52" s="50">
        <f t="shared" si="12"/>
        <v>0.31383459282660014</v>
      </c>
      <c r="G52" s="50">
        <f t="shared" si="13"/>
        <v>-0.30327709541773212</v>
      </c>
      <c r="H52" s="51">
        <f t="shared" si="14"/>
        <v>0.35138764372328968</v>
      </c>
      <c r="I52" s="50">
        <f t="shared" si="15"/>
        <v>-4.7954786802228755E-2</v>
      </c>
      <c r="J52" s="28"/>
    </row>
    <row r="53" spans="1:10" ht="12.75" customHeight="1" x14ac:dyDescent="0.25">
      <c r="B53" s="84" t="s">
        <v>4</v>
      </c>
      <c r="C53" s="29">
        <v>3.2750912718752518</v>
      </c>
      <c r="D53" s="29">
        <v>1.2901100000000001</v>
      </c>
      <c r="E53" s="50">
        <f t="shared" si="11"/>
        <v>5.8570560467774965E-2</v>
      </c>
      <c r="F53" s="50">
        <f t="shared" si="12"/>
        <v>4.8230826802841548E-3</v>
      </c>
      <c r="G53" s="50">
        <f t="shared" si="13"/>
        <v>-0.24470653494995714</v>
      </c>
      <c r="H53" s="51">
        <f t="shared" si="14"/>
        <v>0.35621072640357382</v>
      </c>
      <c r="I53" s="50">
        <f t="shared" si="15"/>
        <v>-1.3214851783528144E-3</v>
      </c>
      <c r="J53" s="28"/>
    </row>
    <row r="54" spans="1:10" ht="12.75" customHeight="1" x14ac:dyDescent="0.25">
      <c r="B54" s="84" t="s">
        <v>5</v>
      </c>
      <c r="C54" s="29">
        <v>131.03557864571476</v>
      </c>
      <c r="D54" s="29">
        <v>39.232453</v>
      </c>
      <c r="E54" s="50">
        <f>C54/$C$61</f>
        <v>2.3433934035384199</v>
      </c>
      <c r="F54" s="50">
        <f>D54/$D$61</f>
        <v>0.14667072154262978</v>
      </c>
      <c r="G54" s="50">
        <f t="shared" si="13"/>
        <v>2.0986868685884628</v>
      </c>
      <c r="H54" s="51">
        <f t="shared" si="14"/>
        <v>0.5028814479462036</v>
      </c>
      <c r="I54" s="50">
        <f t="shared" si="15"/>
        <v>0.13596231663030256</v>
      </c>
      <c r="J54" s="28"/>
    </row>
    <row r="55" spans="1:10" ht="12.75" customHeight="1" x14ac:dyDescent="0.25">
      <c r="B55" s="84" t="s">
        <v>6</v>
      </c>
      <c r="C55" s="29">
        <v>16.052819884560293</v>
      </c>
      <c r="D55" s="29">
        <v>19.742709999999999</v>
      </c>
      <c r="E55" s="50">
        <f t="shared" ref="E55:E60" si="16">C55/$C$61</f>
        <v>0.2870828870636592</v>
      </c>
      <c r="F55" s="50">
        <f t="shared" ref="F55:F60" si="17">D55/$D$61</f>
        <v>7.3808219967966118E-2</v>
      </c>
      <c r="G55" s="50">
        <f>G54+E55</f>
        <v>2.385769755652122</v>
      </c>
      <c r="H55" s="51">
        <f t="shared" si="14"/>
        <v>0.57668966791416976</v>
      </c>
      <c r="I55" s="50">
        <f t="shared" si="15"/>
        <v>0.16549488047937599</v>
      </c>
      <c r="J55" s="28"/>
    </row>
    <row r="56" spans="1:10" ht="12.75" customHeight="1" x14ac:dyDescent="0.25">
      <c r="B56" s="84" t="s">
        <v>7</v>
      </c>
      <c r="C56" s="29">
        <v>1.5386391808328861</v>
      </c>
      <c r="D56" s="29">
        <v>11.426439</v>
      </c>
      <c r="E56" s="50">
        <f t="shared" si="16"/>
        <v>2.7516472579849651E-2</v>
      </c>
      <c r="F56" s="50">
        <f t="shared" si="17"/>
        <v>4.2717799287055672E-2</v>
      </c>
      <c r="G56" s="50">
        <f t="shared" si="13"/>
        <v>2.4132862282319718</v>
      </c>
      <c r="H56" s="51">
        <f t="shared" si="14"/>
        <v>0.61940746720122541</v>
      </c>
      <c r="I56" s="50">
        <f t="shared" si="15"/>
        <v>0.10250255514345205</v>
      </c>
      <c r="J56" s="28"/>
    </row>
    <row r="57" spans="1:10" ht="12.75" customHeight="1" x14ac:dyDescent="0.25">
      <c r="B57" s="84" t="s">
        <v>8</v>
      </c>
      <c r="C57" s="29">
        <v>-15.946701336720173</v>
      </c>
      <c r="D57" s="29">
        <v>36.982824999999998</v>
      </c>
      <c r="E57" s="50">
        <f t="shared" si="16"/>
        <v>-0.28518510092365235</v>
      </c>
      <c r="F57" s="50">
        <f t="shared" si="17"/>
        <v>0.1382604760256721</v>
      </c>
      <c r="G57" s="50">
        <f t="shared" si="13"/>
        <v>2.1281011273083195</v>
      </c>
      <c r="H57" s="51">
        <f>F57+H56</f>
        <v>0.75766794322689757</v>
      </c>
      <c r="I57" s="50">
        <f t="shared" si="15"/>
        <v>0.31394718879698452</v>
      </c>
      <c r="J57" s="28"/>
    </row>
    <row r="58" spans="1:10" ht="12.75" customHeight="1" x14ac:dyDescent="0.25">
      <c r="B58" s="84" t="s">
        <v>9</v>
      </c>
      <c r="C58" s="29">
        <v>-113.16668198295125</v>
      </c>
      <c r="D58" s="29">
        <v>10.905776556851148</v>
      </c>
      <c r="E58" s="50">
        <f t="shared" si="16"/>
        <v>-2.0238324491716257</v>
      </c>
      <c r="F58" s="50">
        <f>D58/$D$61</f>
        <v>4.0771300142156658E-2</v>
      </c>
      <c r="G58" s="50">
        <f t="shared" si="13"/>
        <v>0.10426867813669372</v>
      </c>
      <c r="H58" s="51">
        <f t="shared" si="14"/>
        <v>0.79843924336905425</v>
      </c>
      <c r="I58" s="50">
        <f t="shared" si="15"/>
        <v>4.5508309683043278E-2</v>
      </c>
      <c r="J58" s="28"/>
    </row>
    <row r="59" spans="1:10" ht="12.75" customHeight="1" x14ac:dyDescent="0.25">
      <c r="B59" s="84" t="s">
        <v>10</v>
      </c>
      <c r="C59" s="29">
        <v>27.835036451662162</v>
      </c>
      <c r="D59" s="29">
        <v>11.996235</v>
      </c>
      <c r="E59" s="50">
        <f t="shared" si="16"/>
        <v>0.49779183243382219</v>
      </c>
      <c r="F59" s="50">
        <f t="shared" si="17"/>
        <v>4.4847984479709932E-2</v>
      </c>
      <c r="G59" s="50">
        <f t="shared" si="13"/>
        <v>0.60206051057051591</v>
      </c>
      <c r="H59" s="51">
        <f t="shared" si="14"/>
        <v>0.8432872278487642</v>
      </c>
      <c r="I59" s="50">
        <f t="shared" si="15"/>
        <v>1.5838720246353528E-2</v>
      </c>
      <c r="J59" s="28"/>
    </row>
    <row r="60" spans="1:10" ht="12.75" customHeight="1" thickBot="1" x14ac:dyDescent="0.3">
      <c r="B60" s="88" t="s">
        <v>11</v>
      </c>
      <c r="C60" s="32">
        <v>22.251590870161746</v>
      </c>
      <c r="D60" s="32">
        <v>41.918567000000003</v>
      </c>
      <c r="E60" s="50">
        <f t="shared" si="16"/>
        <v>0.39793948942948421</v>
      </c>
      <c r="F60" s="50">
        <f t="shared" si="17"/>
        <v>0.15671277215123589</v>
      </c>
      <c r="G60" s="52">
        <f t="shared" si="13"/>
        <v>1</v>
      </c>
      <c r="H60" s="53">
        <f t="shared" si="14"/>
        <v>1</v>
      </c>
      <c r="I60" s="52">
        <f t="shared" si="15"/>
        <v>0.12553167188276487</v>
      </c>
      <c r="J60" s="28"/>
    </row>
    <row r="61" spans="1:10" ht="12.75" customHeight="1" thickBot="1" x14ac:dyDescent="0.3">
      <c r="B61" s="35" t="s">
        <v>13</v>
      </c>
      <c r="C61" s="6">
        <f>SUM(C49:C60)</f>
        <v>55.917021208584472</v>
      </c>
      <c r="D61" s="6">
        <f t="shared" ref="D61:H61" si="18">SUM(D49:D60)</f>
        <v>267.48660255685115</v>
      </c>
      <c r="E61" s="6">
        <f t="shared" si="18"/>
        <v>1</v>
      </c>
      <c r="F61" s="6">
        <f t="shared" si="18"/>
        <v>1</v>
      </c>
      <c r="G61" s="6">
        <f t="shared" si="18"/>
        <v>10.217328114617109</v>
      </c>
      <c r="H61" s="6">
        <f t="shared" si="18"/>
        <v>5.866589618584845</v>
      </c>
      <c r="I61" s="111">
        <f>SUM(I49:I60)</f>
        <v>0.85615845061639773</v>
      </c>
      <c r="J61" s="28"/>
    </row>
    <row r="62" spans="1:10" ht="12.75" customHeight="1" thickBot="1" x14ac:dyDescent="0.3">
      <c r="B62" s="4"/>
      <c r="C62" s="4"/>
      <c r="D62" s="4"/>
      <c r="E62" s="51"/>
      <c r="F62" s="51"/>
      <c r="G62" s="51"/>
      <c r="H62" s="54"/>
      <c r="I62" s="54"/>
      <c r="J62" s="9"/>
    </row>
    <row r="63" spans="1:10" ht="12.75" customHeight="1" thickBot="1" x14ac:dyDescent="0.3">
      <c r="B63" s="4"/>
      <c r="C63" s="4"/>
      <c r="D63" s="4"/>
      <c r="E63" s="51"/>
      <c r="F63" s="51"/>
      <c r="G63" s="56"/>
      <c r="H63" s="57" t="s">
        <v>33</v>
      </c>
      <c r="I63" s="53">
        <f>1-(2*I61)</f>
        <v>-0.71231690123279545</v>
      </c>
      <c r="J63" s="9"/>
    </row>
    <row r="64" spans="1:10" ht="12.75" customHeight="1" x14ac:dyDescent="0.25"/>
    <row r="65" spans="2:14" ht="12.75" customHeight="1" x14ac:dyDescent="0.25"/>
    <row r="66" spans="2:14" ht="12.75" customHeight="1" x14ac:dyDescent="0.25"/>
    <row r="67" spans="2:14" ht="12.75" customHeight="1" x14ac:dyDescent="0.25"/>
    <row r="68" spans="2:14" ht="16.2" thickBot="1" x14ac:dyDescent="0.35">
      <c r="B68" s="209" t="s">
        <v>113</v>
      </c>
      <c r="C68" s="209"/>
      <c r="D68" s="209"/>
      <c r="E68" s="209"/>
      <c r="F68" s="209"/>
      <c r="G68" s="209"/>
      <c r="H68" s="209"/>
      <c r="I68" s="209"/>
    </row>
    <row r="69" spans="2:14" ht="27" thickBot="1" x14ac:dyDescent="0.3">
      <c r="B69" s="36" t="s">
        <v>20</v>
      </c>
      <c r="C69" s="37" t="s">
        <v>108</v>
      </c>
      <c r="D69" s="37" t="s">
        <v>46</v>
      </c>
      <c r="E69" s="37" t="s">
        <v>106</v>
      </c>
      <c r="F69" s="37" t="s">
        <v>17</v>
      </c>
      <c r="G69" s="37" t="s">
        <v>107</v>
      </c>
      <c r="H69" s="37" t="s">
        <v>136</v>
      </c>
      <c r="I69" s="37" t="s">
        <v>21</v>
      </c>
      <c r="J69" s="8"/>
      <c r="K69" s="8"/>
      <c r="L69" s="8"/>
      <c r="M69" s="8"/>
      <c r="N69" s="8"/>
    </row>
    <row r="70" spans="2:14" ht="12.75" customHeight="1" x14ac:dyDescent="0.25">
      <c r="B70" s="4"/>
      <c r="C70" s="26">
        <v>0</v>
      </c>
      <c r="D70" s="26">
        <v>0</v>
      </c>
      <c r="E70" s="50">
        <f t="shared" ref="E70:E81" si="19">C70/$C$82</f>
        <v>0</v>
      </c>
      <c r="F70" s="50">
        <v>0</v>
      </c>
      <c r="G70" s="50">
        <v>0</v>
      </c>
      <c r="H70" s="51">
        <f>F70</f>
        <v>0</v>
      </c>
      <c r="I70" s="50">
        <v>0</v>
      </c>
    </row>
    <row r="71" spans="2:14" ht="12.75" customHeight="1" x14ac:dyDescent="0.25">
      <c r="B71" s="84" t="s">
        <v>1</v>
      </c>
      <c r="C71" s="29">
        <v>1.9832072109514134</v>
      </c>
      <c r="D71" s="29">
        <v>6.169632</v>
      </c>
      <c r="E71" s="50">
        <f t="shared" si="19"/>
        <v>1.0190307089459937E-2</v>
      </c>
      <c r="F71" s="50">
        <f t="shared" ref="F71:F81" si="20">D71/$D$82</f>
        <v>2.3065200054977395E-2</v>
      </c>
      <c r="G71" s="50">
        <f t="shared" ref="G71:G81" si="21">G70+E71</f>
        <v>1.0190307089459937E-2</v>
      </c>
      <c r="H71" s="51">
        <f t="shared" ref="H71:H81" si="22">F71+H70</f>
        <v>2.3065200054977395E-2</v>
      </c>
      <c r="I71" s="50">
        <f t="shared" ref="I71:I81" si="23">(G70+G71)*0.5*(H71-H70)</f>
        <v>1.1752073582002394E-4</v>
      </c>
    </row>
    <row r="72" spans="2:14" ht="12.75" customHeight="1" x14ac:dyDescent="0.25">
      <c r="B72" s="84" t="s">
        <v>2</v>
      </c>
      <c r="C72" s="29">
        <v>-2.1134039371138331</v>
      </c>
      <c r="D72" s="29">
        <v>3.8753060000000001</v>
      </c>
      <c r="E72" s="50">
        <f t="shared" si="19"/>
        <v>-1.0859296499296187E-2</v>
      </c>
      <c r="F72" s="50">
        <f t="shared" si="20"/>
        <v>1.4487850841712153E-2</v>
      </c>
      <c r="G72" s="50">
        <f t="shared" si="21"/>
        <v>-6.6898940983625005E-4</v>
      </c>
      <c r="H72" s="51">
        <f t="shared" si="22"/>
        <v>3.7553050896689547E-2</v>
      </c>
      <c r="I72" s="50">
        <f t="shared" si="23"/>
        <v>6.8971715179472407E-5</v>
      </c>
    </row>
    <row r="73" spans="2:14" ht="12.75" customHeight="1" x14ac:dyDescent="0.25">
      <c r="B73" s="84" t="s">
        <v>3</v>
      </c>
      <c r="C73" s="29">
        <v>39.671844949611199</v>
      </c>
      <c r="D73" s="29">
        <v>83.946549000000005</v>
      </c>
      <c r="E73" s="50">
        <f t="shared" si="19"/>
        <v>0.20384571042782609</v>
      </c>
      <c r="F73" s="50">
        <f t="shared" si="20"/>
        <v>0.31383459282660014</v>
      </c>
      <c r="G73" s="50">
        <f t="shared" si="21"/>
        <v>0.20317672101798984</v>
      </c>
      <c r="H73" s="51">
        <f t="shared" si="22"/>
        <v>0.35138764372328968</v>
      </c>
      <c r="I73" s="50">
        <f t="shared" si="23"/>
        <v>3.1776965746741652E-2</v>
      </c>
    </row>
    <row r="74" spans="2:14" ht="12.75" customHeight="1" x14ac:dyDescent="0.25">
      <c r="B74" s="84" t="s">
        <v>4</v>
      </c>
      <c r="C74" s="29">
        <v>3.2750912718752518</v>
      </c>
      <c r="D74" s="29">
        <v>1.2901100000000001</v>
      </c>
      <c r="E74" s="50">
        <f t="shared" si="19"/>
        <v>1.6828390710826424E-2</v>
      </c>
      <c r="F74" s="50">
        <f t="shared" si="20"/>
        <v>4.8230826802841548E-3</v>
      </c>
      <c r="G74" s="50">
        <f t="shared" si="21"/>
        <v>0.22000511172881626</v>
      </c>
      <c r="H74" s="51">
        <f t="shared" si="22"/>
        <v>0.35621072640357382</v>
      </c>
      <c r="I74" s="50">
        <f t="shared" si="23"/>
        <v>1.0205204840660104E-3</v>
      </c>
    </row>
    <row r="75" spans="2:14" ht="12.75" customHeight="1" x14ac:dyDescent="0.25">
      <c r="B75" s="84" t="s">
        <v>5</v>
      </c>
      <c r="C75" s="29">
        <v>131.03557864571476</v>
      </c>
      <c r="D75" s="29">
        <v>39.232453</v>
      </c>
      <c r="E75" s="50">
        <f t="shared" si="19"/>
        <v>0.67329968279226149</v>
      </c>
      <c r="F75" s="50">
        <f t="shared" si="20"/>
        <v>0.14667072154262978</v>
      </c>
      <c r="G75" s="50">
        <f t="shared" si="21"/>
        <v>0.89330479452107769</v>
      </c>
      <c r="H75" s="51">
        <f t="shared" si="22"/>
        <v>0.5028814479462036</v>
      </c>
      <c r="I75" s="50">
        <f t="shared" si="23"/>
        <v>8.1644983625114728E-2</v>
      </c>
    </row>
    <row r="76" spans="2:14" ht="12.75" customHeight="1" x14ac:dyDescent="0.25">
      <c r="B76" s="84" t="s">
        <v>6</v>
      </c>
      <c r="C76" s="29">
        <v>16.052819884560293</v>
      </c>
      <c r="D76" s="29">
        <v>19.742709999999999</v>
      </c>
      <c r="E76" s="50">
        <f t="shared" si="19"/>
        <v>8.2484151616704582E-2</v>
      </c>
      <c r="F76" s="50">
        <f t="shared" si="20"/>
        <v>7.3808219967966118E-2</v>
      </c>
      <c r="G76" s="50">
        <f t="shared" si="21"/>
        <v>0.97578894613778222</v>
      </c>
      <c r="H76" s="51">
        <f t="shared" si="22"/>
        <v>0.57668966791416976</v>
      </c>
      <c r="I76" s="50">
        <f t="shared" si="23"/>
        <v>6.8977240975648918E-2</v>
      </c>
    </row>
    <row r="77" spans="2:14" ht="12.75" customHeight="1" x14ac:dyDescent="0.25">
      <c r="B77" s="84" t="s">
        <v>7</v>
      </c>
      <c r="C77" s="29">
        <v>5.3386391808328861</v>
      </c>
      <c r="D77" s="29">
        <v>11.426439</v>
      </c>
      <c r="E77" s="50">
        <f t="shared" si="19"/>
        <v>2.7431512144619141E-2</v>
      </c>
      <c r="F77" s="50">
        <f t="shared" si="20"/>
        <v>4.2717799287055672E-2</v>
      </c>
      <c r="G77" s="50">
        <f t="shared" si="21"/>
        <v>1.0032204582824014</v>
      </c>
      <c r="H77" s="51">
        <f t="shared" si="22"/>
        <v>0.61940746720122541</v>
      </c>
      <c r="I77" s="50">
        <f t="shared" si="23"/>
        <v>4.2269463262608477E-2</v>
      </c>
    </row>
    <row r="78" spans="2:14" ht="12.75" customHeight="1" x14ac:dyDescent="0.25">
      <c r="B78" s="84" t="s">
        <v>8</v>
      </c>
      <c r="C78" s="29">
        <v>17.853298663279823</v>
      </c>
      <c r="D78" s="29">
        <v>36.982824999999998</v>
      </c>
      <c r="E78" s="50">
        <f t="shared" si="19"/>
        <v>9.1735545803803109E-2</v>
      </c>
      <c r="F78" s="50">
        <f t="shared" si="20"/>
        <v>0.1382604760256721</v>
      </c>
      <c r="G78" s="50">
        <f t="shared" si="21"/>
        <v>1.0949560040862045</v>
      </c>
      <c r="H78" s="51">
        <f t="shared" si="22"/>
        <v>0.75766794322689757</v>
      </c>
      <c r="I78" s="50">
        <f t="shared" si="23"/>
        <v>0.14504743823647215</v>
      </c>
    </row>
    <row r="79" spans="2:14" ht="12.75" customHeight="1" x14ac:dyDescent="0.25">
      <c r="B79" s="84" t="s">
        <v>9</v>
      </c>
      <c r="C79" s="29">
        <v>-89.666681982951246</v>
      </c>
      <c r="D79" s="29">
        <v>10.905776556851148</v>
      </c>
      <c r="E79" s="50">
        <f t="shared" si="19"/>
        <v>-0.46073401712817957</v>
      </c>
      <c r="F79" s="50">
        <f t="shared" si="20"/>
        <v>4.0771300142156658E-2</v>
      </c>
      <c r="G79" s="50">
        <f t="shared" si="21"/>
        <v>0.63422198695802501</v>
      </c>
      <c r="H79" s="51">
        <f t="shared" si="22"/>
        <v>0.79843924336905425</v>
      </c>
      <c r="I79" s="50">
        <f t="shared" si="23"/>
        <v>3.5250417436037906E-2</v>
      </c>
    </row>
    <row r="80" spans="2:14" ht="12.75" customHeight="1" x14ac:dyDescent="0.25">
      <c r="B80" s="84" t="s">
        <v>10</v>
      </c>
      <c r="C80" s="29">
        <v>27.835036451662162</v>
      </c>
      <c r="D80" s="29">
        <v>11.996235</v>
      </c>
      <c r="E80" s="50">
        <f t="shared" si="19"/>
        <v>0.14302467625290305</v>
      </c>
      <c r="F80" s="50">
        <f t="shared" si="20"/>
        <v>4.4847984479709932E-2</v>
      </c>
      <c r="G80" s="50">
        <f t="shared" si="21"/>
        <v>0.77724666321092806</v>
      </c>
      <c r="H80" s="51">
        <f t="shared" si="22"/>
        <v>0.8432872278487642</v>
      </c>
      <c r="I80" s="50">
        <f t="shared" si="23"/>
        <v>3.1650762058187176E-2</v>
      </c>
    </row>
    <row r="81" spans="1:14" ht="12.75" customHeight="1" thickBot="1" x14ac:dyDescent="0.3">
      <c r="B81" s="88" t="s">
        <v>11</v>
      </c>
      <c r="C81" s="32">
        <v>43.351590870161743</v>
      </c>
      <c r="D81" s="32">
        <v>41.918567000000003</v>
      </c>
      <c r="E81" s="52">
        <f t="shared" si="19"/>
        <v>0.22275333678907178</v>
      </c>
      <c r="F81" s="52">
        <f t="shared" si="20"/>
        <v>0.15671277215123589</v>
      </c>
      <c r="G81" s="52">
        <f t="shared" si="21"/>
        <v>0.99999999999999978</v>
      </c>
      <c r="H81" s="53">
        <f t="shared" si="22"/>
        <v>1</v>
      </c>
      <c r="I81" s="52">
        <f t="shared" si="23"/>
        <v>0.13925862569415912</v>
      </c>
    </row>
    <row r="82" spans="1:14" ht="12.75" customHeight="1" thickBot="1" x14ac:dyDescent="0.3">
      <c r="B82" s="38" t="s">
        <v>13</v>
      </c>
      <c r="C82" s="32">
        <f>SUM(C70:C81)</f>
        <v>194.61702120858448</v>
      </c>
      <c r="D82" s="32">
        <f>SUM(D70:D81)</f>
        <v>267.48660255685115</v>
      </c>
      <c r="E82" s="52">
        <f>SUM(E71:E81)</f>
        <v>0.99999999999999978</v>
      </c>
      <c r="F82" s="52">
        <f>SUM(F71:F81)</f>
        <v>1</v>
      </c>
      <c r="G82" s="53"/>
      <c r="H82" s="53"/>
      <c r="I82" s="52">
        <f>SUM(I70:I81)</f>
        <v>0.57708290997003564</v>
      </c>
    </row>
    <row r="83" spans="1:14" ht="12.75" customHeight="1" thickBot="1" x14ac:dyDescent="0.3">
      <c r="B83" s="48"/>
      <c r="C83" s="29"/>
      <c r="D83" s="29"/>
      <c r="E83" s="26"/>
      <c r="F83" s="27"/>
      <c r="G83" s="4"/>
      <c r="H83" s="40"/>
      <c r="I83" s="34"/>
    </row>
    <row r="84" spans="1:14" ht="12.75" customHeight="1" thickBot="1" x14ac:dyDescent="0.3">
      <c r="B84" s="4"/>
      <c r="C84" s="4"/>
      <c r="D84" s="4"/>
      <c r="E84" s="4"/>
      <c r="F84" s="4"/>
      <c r="G84" s="5"/>
      <c r="H84" s="49" t="s">
        <v>42</v>
      </c>
      <c r="I84" s="62">
        <f>1-(2*I82)</f>
        <v>-0.15416581994007128</v>
      </c>
    </row>
    <row r="85" spans="1:14" ht="12.75" customHeight="1" x14ac:dyDescent="0.25">
      <c r="B85" s="4"/>
      <c r="C85" s="4"/>
      <c r="D85" s="4"/>
      <c r="E85" s="4"/>
      <c r="F85" s="4"/>
      <c r="G85" s="5"/>
      <c r="H85" s="112"/>
      <c r="I85" s="113"/>
    </row>
    <row r="86" spans="1:14" ht="12.75" customHeight="1" x14ac:dyDescent="0.25">
      <c r="B86" s="4"/>
      <c r="C86" s="4"/>
      <c r="D86" s="4"/>
      <c r="E86" s="4"/>
      <c r="F86" s="4"/>
      <c r="G86" s="5"/>
      <c r="H86" s="112"/>
      <c r="I86" s="113"/>
    </row>
    <row r="87" spans="1:14" ht="12.75" customHeight="1" x14ac:dyDescent="0.25"/>
    <row r="88" spans="1:14" ht="12.75" customHeight="1" x14ac:dyDescent="0.25"/>
    <row r="89" spans="1:14" ht="23.55" customHeight="1" x14ac:dyDescent="0.25">
      <c r="A89" s="211" t="s">
        <v>133</v>
      </c>
      <c r="B89" s="211"/>
      <c r="C89" s="211"/>
      <c r="D89" s="211"/>
      <c r="E89" s="211"/>
      <c r="F89" s="211"/>
    </row>
    <row r="90" spans="1:14" ht="12.75" customHeight="1" x14ac:dyDescent="0.25">
      <c r="D90" s="1"/>
    </row>
    <row r="91" spans="1:14" ht="12.75" customHeight="1" x14ac:dyDescent="0.25"/>
    <row r="92" spans="1:14" ht="16.2" thickBot="1" x14ac:dyDescent="0.35">
      <c r="B92" s="209" t="s">
        <v>114</v>
      </c>
      <c r="C92" s="209"/>
      <c r="D92" s="209"/>
      <c r="E92" s="209"/>
      <c r="F92" s="209"/>
      <c r="G92" s="209"/>
      <c r="H92" s="209"/>
      <c r="I92" s="209"/>
    </row>
    <row r="93" spans="1:14" ht="27" thickBot="1" x14ac:dyDescent="0.3">
      <c r="A93" s="8"/>
      <c r="B93" s="36" t="s">
        <v>20</v>
      </c>
      <c r="C93" s="37" t="s">
        <v>47</v>
      </c>
      <c r="D93" s="37" t="s">
        <v>49</v>
      </c>
      <c r="E93" s="37" t="s">
        <v>30</v>
      </c>
      <c r="F93" s="37" t="s">
        <v>22</v>
      </c>
      <c r="G93" s="37" t="s">
        <v>31</v>
      </c>
      <c r="H93" s="37" t="s">
        <v>137</v>
      </c>
      <c r="I93" s="37" t="s">
        <v>21</v>
      </c>
      <c r="J93" s="8"/>
      <c r="K93" s="8"/>
      <c r="L93" s="8"/>
      <c r="M93" s="8"/>
      <c r="N93" s="8"/>
    </row>
    <row r="94" spans="1:14" ht="12.75" customHeight="1" x14ac:dyDescent="0.25">
      <c r="B94" s="4"/>
      <c r="C94" s="26">
        <v>0</v>
      </c>
      <c r="D94" s="26">
        <v>0</v>
      </c>
      <c r="E94" s="50">
        <v>0</v>
      </c>
      <c r="F94" s="50">
        <v>0</v>
      </c>
      <c r="G94" s="50">
        <v>0</v>
      </c>
      <c r="H94" s="51">
        <f>F94</f>
        <v>0</v>
      </c>
      <c r="I94" s="50">
        <v>0</v>
      </c>
    </row>
    <row r="95" spans="1:14" ht="12.75" customHeight="1" x14ac:dyDescent="0.25">
      <c r="B95" s="84" t="s">
        <v>1</v>
      </c>
      <c r="C95" s="29">
        <v>15.589621527401139</v>
      </c>
      <c r="D95" s="29">
        <v>33738.127951375733</v>
      </c>
      <c r="E95" s="50">
        <f t="shared" ref="E95:E105" si="24">C95/$C$106</f>
        <v>7.4822354531115009E-3</v>
      </c>
      <c r="F95" s="50">
        <f t="shared" ref="F95:F105" si="25">D95/$D$106</f>
        <v>6.1580410728501248E-2</v>
      </c>
      <c r="G95" s="50">
        <f t="shared" ref="G95:G105" si="26">G94+E95</f>
        <v>7.4822354531115009E-3</v>
      </c>
      <c r="H95" s="51">
        <f t="shared" ref="H95:H105" si="27">F95+H94</f>
        <v>6.1580410728501248E-2</v>
      </c>
      <c r="I95" s="50">
        <f t="shared" ref="I95:I105" si="28">(G94+G95)*0.5*(H95-H94)</f>
        <v>2.3037956618497993E-4</v>
      </c>
    </row>
    <row r="96" spans="1:14" ht="12.75" customHeight="1" x14ac:dyDescent="0.25">
      <c r="B96" s="84" t="s">
        <v>2</v>
      </c>
      <c r="C96" s="29">
        <v>23.724017140818511</v>
      </c>
      <c r="D96" s="29">
        <v>4739.5256339269945</v>
      </c>
      <c r="E96" s="50">
        <f t="shared" si="24"/>
        <v>1.1386336854250027E-2</v>
      </c>
      <c r="F96" s="50">
        <f t="shared" si="25"/>
        <v>8.6508040877704764E-3</v>
      </c>
      <c r="G96" s="50">
        <f t="shared" si="26"/>
        <v>1.8868572307361529E-2</v>
      </c>
      <c r="H96" s="51">
        <f t="shared" si="27"/>
        <v>7.0231214816271731E-2</v>
      </c>
      <c r="I96" s="50">
        <f t="shared" si="28"/>
        <v>1.1397783774517713E-4</v>
      </c>
    </row>
    <row r="97" spans="2:9" ht="12.75" customHeight="1" x14ac:dyDescent="0.25">
      <c r="B97" s="84" t="s">
        <v>3</v>
      </c>
      <c r="C97" s="29">
        <v>3.3803673657372775</v>
      </c>
      <c r="D97" s="29">
        <v>7498.2226388555227</v>
      </c>
      <c r="E97" s="50">
        <f t="shared" si="24"/>
        <v>1.6224065801728926E-3</v>
      </c>
      <c r="F97" s="50">
        <f t="shared" si="25"/>
        <v>1.3686107021111144E-2</v>
      </c>
      <c r="G97" s="50">
        <f t="shared" si="26"/>
        <v>2.0490978887534421E-2</v>
      </c>
      <c r="H97" s="51">
        <f t="shared" si="27"/>
        <v>8.3917321837382874E-2</v>
      </c>
      <c r="I97" s="50">
        <f t="shared" si="28"/>
        <v>2.6933951497812449E-4</v>
      </c>
    </row>
    <row r="98" spans="2:9" ht="12.75" customHeight="1" x14ac:dyDescent="0.25">
      <c r="B98" s="84" t="s">
        <v>4</v>
      </c>
      <c r="C98" s="29">
        <v>14.400136359321918</v>
      </c>
      <c r="D98" s="29">
        <v>4549.0211045835586</v>
      </c>
      <c r="E98" s="50">
        <f t="shared" si="24"/>
        <v>6.9113423060322386E-3</v>
      </c>
      <c r="F98" s="50">
        <f t="shared" si="25"/>
        <v>8.3030863015460567E-3</v>
      </c>
      <c r="G98" s="50">
        <f t="shared" si="26"/>
        <v>2.740232119356666E-2</v>
      </c>
      <c r="H98" s="51">
        <f t="shared" si="27"/>
        <v>9.2220408138928928E-2</v>
      </c>
      <c r="I98" s="50">
        <f t="shared" si="28"/>
        <v>1.9883110191961243E-4</v>
      </c>
    </row>
    <row r="99" spans="2:9" ht="12.75" customHeight="1" x14ac:dyDescent="0.25">
      <c r="B99" s="84" t="s">
        <v>5</v>
      </c>
      <c r="C99" s="29">
        <v>484.06868290093661</v>
      </c>
      <c r="D99" s="29">
        <v>12709.055149886017</v>
      </c>
      <c r="E99" s="50">
        <f t="shared" si="24"/>
        <v>0.2323286588180673</v>
      </c>
      <c r="F99" s="50">
        <f t="shared" si="25"/>
        <v>2.3197162487174745E-2</v>
      </c>
      <c r="G99" s="50">
        <f t="shared" si="26"/>
        <v>0.25973098001163397</v>
      </c>
      <c r="H99" s="51">
        <f t="shared" si="27"/>
        <v>0.11541757062610367</v>
      </c>
      <c r="I99" s="50">
        <f t="shared" si="28"/>
        <v>3.3303389217679627E-3</v>
      </c>
    </row>
    <row r="100" spans="2:9" ht="12.75" customHeight="1" x14ac:dyDescent="0.25">
      <c r="B100" s="84" t="s">
        <v>6</v>
      </c>
      <c r="C100" s="29">
        <v>72.980329509151488</v>
      </c>
      <c r="D100" s="29">
        <v>34543.134541376516</v>
      </c>
      <c r="E100" s="50">
        <f t="shared" si="24"/>
        <v>3.5026893236205635E-2</v>
      </c>
      <c r="F100" s="50">
        <f t="shared" si="25"/>
        <v>6.3049746446323052E-2</v>
      </c>
      <c r="G100" s="50">
        <f t="shared" si="26"/>
        <v>0.29475787324783959</v>
      </c>
      <c r="H100" s="51">
        <f t="shared" si="27"/>
        <v>0.17846731707242672</v>
      </c>
      <c r="I100" s="50">
        <f t="shared" si="28"/>
        <v>1.7480190802661121E-2</v>
      </c>
    </row>
    <row r="101" spans="2:9" ht="12.75" customHeight="1" x14ac:dyDescent="0.25">
      <c r="B101" s="84" t="s">
        <v>7</v>
      </c>
      <c r="C101" s="29">
        <v>21.331893349594765</v>
      </c>
      <c r="D101" s="29">
        <v>43226.930239887697</v>
      </c>
      <c r="E101" s="50">
        <f t="shared" si="24"/>
        <v>1.0238237562200726E-2</v>
      </c>
      <c r="F101" s="50">
        <f t="shared" si="25"/>
        <v>7.8899816923481969E-2</v>
      </c>
      <c r="G101" s="50">
        <f t="shared" si="26"/>
        <v>0.3049961108100403</v>
      </c>
      <c r="H101" s="51">
        <f t="shared" si="27"/>
        <v>0.25736713399590871</v>
      </c>
      <c r="I101" s="50">
        <f t="shared" si="28"/>
        <v>2.366023977064783E-2</v>
      </c>
    </row>
    <row r="102" spans="2:9" ht="12.75" customHeight="1" x14ac:dyDescent="0.25">
      <c r="B102" s="84" t="s">
        <v>8</v>
      </c>
      <c r="C102" s="29">
        <v>404.09091338939459</v>
      </c>
      <c r="D102" s="29">
        <v>69411.089457609574</v>
      </c>
      <c r="E102" s="50">
        <f t="shared" si="24"/>
        <v>0.19394334577834801</v>
      </c>
      <c r="F102" s="50">
        <f t="shared" si="25"/>
        <v>0.12669237024865945</v>
      </c>
      <c r="G102" s="50">
        <f t="shared" si="26"/>
        <v>0.49893945658838834</v>
      </c>
      <c r="H102" s="51">
        <f t="shared" si="27"/>
        <v>0.38405950424456814</v>
      </c>
      <c r="I102" s="50">
        <f t="shared" si="28"/>
        <v>5.0926251280453909E-2</v>
      </c>
    </row>
    <row r="103" spans="2:9" ht="12.75" customHeight="1" x14ac:dyDescent="0.25">
      <c r="B103" s="84" t="s">
        <v>9</v>
      </c>
      <c r="C103" s="29">
        <v>620.94260061497255</v>
      </c>
      <c r="D103" s="29">
        <v>179268.67227891536</v>
      </c>
      <c r="E103" s="50">
        <f t="shared" si="24"/>
        <v>0.2980212657826542</v>
      </c>
      <c r="F103" s="50">
        <f t="shared" si="25"/>
        <v>0.327209573856588</v>
      </c>
      <c r="G103" s="50">
        <f t="shared" si="26"/>
        <v>0.79696072237104254</v>
      </c>
      <c r="H103" s="51">
        <f t="shared" si="27"/>
        <v>0.71126907810115614</v>
      </c>
      <c r="I103" s="50">
        <f t="shared" si="28"/>
        <v>0.21201547265899576</v>
      </c>
    </row>
    <row r="104" spans="2:9" ht="12.75" customHeight="1" x14ac:dyDescent="0.25">
      <c r="B104" s="84" t="s">
        <v>10</v>
      </c>
      <c r="C104" s="29">
        <v>130.37580876063711</v>
      </c>
      <c r="D104" s="29">
        <v>149774.72401466093</v>
      </c>
      <c r="E104" s="50">
        <f t="shared" si="24"/>
        <v>6.2573840989168947E-2</v>
      </c>
      <c r="F104" s="50">
        <f t="shared" si="25"/>
        <v>0.273375838602054</v>
      </c>
      <c r="G104" s="50">
        <f t="shared" si="26"/>
        <v>0.8595345633602115</v>
      </c>
      <c r="H104" s="51">
        <f t="shared" si="27"/>
        <v>0.98464491670321008</v>
      </c>
      <c r="I104" s="50">
        <f t="shared" si="28"/>
        <v>0.22642289393856527</v>
      </c>
    </row>
    <row r="105" spans="2:9" ht="12.75" customHeight="1" thickBot="1" x14ac:dyDescent="0.3">
      <c r="B105" s="88" t="s">
        <v>11</v>
      </c>
      <c r="C105" s="32">
        <v>292.66694540931792</v>
      </c>
      <c r="D105" s="32">
        <v>8412.6065227973904</v>
      </c>
      <c r="E105" s="52">
        <f t="shared" si="24"/>
        <v>0.14046543663978844</v>
      </c>
      <c r="F105" s="52">
        <f t="shared" si="25"/>
        <v>1.5355083296789959E-2</v>
      </c>
      <c r="G105" s="52">
        <f t="shared" si="26"/>
        <v>1</v>
      </c>
      <c r="H105" s="53">
        <f t="shared" si="27"/>
        <v>1</v>
      </c>
      <c r="I105" s="52">
        <f t="shared" si="28"/>
        <v>1.4276654056827957E-2</v>
      </c>
    </row>
    <row r="106" spans="2:9" ht="12.75" customHeight="1" thickBot="1" x14ac:dyDescent="0.3">
      <c r="B106" s="38" t="s">
        <v>13</v>
      </c>
      <c r="C106" s="32">
        <f>SUM(C95:C105)</f>
        <v>2083.551316327284</v>
      </c>
      <c r="D106" s="32">
        <f>SUM(D94:D105)</f>
        <v>547871.10953387525</v>
      </c>
      <c r="E106" s="39">
        <f>SUM(E95:E105)</f>
        <v>1</v>
      </c>
      <c r="F106" s="33">
        <f>SUM(F95:F105)</f>
        <v>1</v>
      </c>
      <c r="G106" s="40"/>
      <c r="H106" s="40"/>
      <c r="I106" s="52">
        <f>SUM(I94:I105)</f>
        <v>0.54892456945074775</v>
      </c>
    </row>
    <row r="107" spans="2:9" ht="12.75" customHeight="1" thickBot="1" x14ac:dyDescent="0.3">
      <c r="B107" s="4"/>
      <c r="C107" s="4"/>
      <c r="D107" s="4"/>
      <c r="E107" s="4"/>
      <c r="F107" s="4"/>
      <c r="G107" s="4"/>
      <c r="H107" s="7"/>
      <c r="I107" s="54"/>
    </row>
    <row r="108" spans="2:9" ht="12.75" customHeight="1" thickBot="1" x14ac:dyDescent="0.3">
      <c r="B108" s="4"/>
      <c r="C108" s="4"/>
      <c r="D108" s="4"/>
      <c r="E108" s="4"/>
      <c r="F108" s="4"/>
      <c r="G108" s="5"/>
      <c r="H108" s="24" t="s">
        <v>33</v>
      </c>
      <c r="I108" s="53">
        <f>1-(2*I106)</f>
        <v>-9.7849138901495492E-2</v>
      </c>
    </row>
    <row r="109" spans="2:9" ht="12.75" customHeight="1" x14ac:dyDescent="0.25"/>
    <row r="110" spans="2:9" ht="12.75" customHeight="1" x14ac:dyDescent="0.25"/>
    <row r="111" spans="2:9" ht="12.75" customHeight="1" x14ac:dyDescent="0.25"/>
    <row r="112" spans="2:9" ht="12.75" customHeight="1" x14ac:dyDescent="0.25"/>
    <row r="113" spans="1:14" ht="16.2" thickBot="1" x14ac:dyDescent="0.35">
      <c r="B113" s="209" t="s">
        <v>115</v>
      </c>
      <c r="C113" s="209"/>
      <c r="D113" s="209"/>
      <c r="E113" s="209"/>
      <c r="F113" s="209"/>
      <c r="G113" s="209"/>
      <c r="H113" s="209"/>
      <c r="I113" s="209"/>
    </row>
    <row r="114" spans="1:14" ht="27" thickBot="1" x14ac:dyDescent="0.3">
      <c r="A114" s="8"/>
      <c r="B114" s="30" t="s">
        <v>20</v>
      </c>
      <c r="C114" s="31" t="s">
        <v>48</v>
      </c>
      <c r="D114" s="31" t="s">
        <v>49</v>
      </c>
      <c r="E114" s="31" t="s">
        <v>35</v>
      </c>
      <c r="F114" s="31" t="s">
        <v>22</v>
      </c>
      <c r="G114" s="31" t="s">
        <v>36</v>
      </c>
      <c r="H114" s="31" t="s">
        <v>137</v>
      </c>
      <c r="I114" s="31" t="s">
        <v>21</v>
      </c>
      <c r="J114" s="8"/>
      <c r="K114" s="8"/>
      <c r="L114" s="8"/>
      <c r="M114" s="8"/>
      <c r="N114" s="8"/>
    </row>
    <row r="115" spans="1:14" ht="12.75" customHeight="1" x14ac:dyDescent="0.25">
      <c r="B115" s="4"/>
      <c r="C115" s="26">
        <v>0</v>
      </c>
      <c r="D115" s="26">
        <v>0</v>
      </c>
      <c r="E115" s="50">
        <f t="shared" ref="E115:E126" si="29">C115/$C$127</f>
        <v>0</v>
      </c>
      <c r="F115" s="50">
        <v>0</v>
      </c>
      <c r="G115" s="50">
        <v>0</v>
      </c>
      <c r="H115" s="51">
        <f>F115</f>
        <v>0</v>
      </c>
      <c r="I115" s="50">
        <v>0</v>
      </c>
    </row>
    <row r="116" spans="1:14" ht="12.75" customHeight="1" x14ac:dyDescent="0.25">
      <c r="B116" s="84" t="s">
        <v>1</v>
      </c>
      <c r="C116" s="29">
        <v>13.62551145548483</v>
      </c>
      <c r="D116" s="29">
        <v>4739.5256339269945</v>
      </c>
      <c r="E116" s="50">
        <f t="shared" si="29"/>
        <v>6.4642065696603936E-3</v>
      </c>
      <c r="F116" s="50">
        <f>D116/$D$127</f>
        <v>8.6508040877704764E-3</v>
      </c>
      <c r="G116" s="50">
        <f t="shared" ref="G116:G126" si="30">G115+E116</f>
        <v>6.4642065696603936E-3</v>
      </c>
      <c r="H116" s="51">
        <f t="shared" ref="H116:H126" si="31">F116+H115</f>
        <v>8.6508040877704764E-3</v>
      </c>
      <c r="I116" s="50">
        <f t="shared" ref="I116:I126" si="32">(G115+G116)*0.5*(H116-H115)</f>
        <v>2.7960292308505451E-5</v>
      </c>
    </row>
    <row r="117" spans="1:14" ht="12.75" customHeight="1" x14ac:dyDescent="0.25">
      <c r="B117" s="84" t="s">
        <v>2</v>
      </c>
      <c r="C117" s="29">
        <v>26.053635154547475</v>
      </c>
      <c r="D117" s="29">
        <v>7498.2226388555227</v>
      </c>
      <c r="E117" s="50">
        <f t="shared" si="29"/>
        <v>1.2360349193480467E-2</v>
      </c>
      <c r="F117" s="50">
        <f t="shared" ref="F117:F126" si="33">D117/$D$127</f>
        <v>1.3686107021111144E-2</v>
      </c>
      <c r="G117" s="50">
        <f t="shared" si="30"/>
        <v>1.8824555763140863E-2</v>
      </c>
      <c r="H117" s="51">
        <f t="shared" si="31"/>
        <v>2.233691110888162E-2</v>
      </c>
      <c r="I117" s="50">
        <f t="shared" si="32"/>
        <v>1.7305235385908115E-4</v>
      </c>
    </row>
    <row r="118" spans="1:14" ht="12.75" customHeight="1" x14ac:dyDescent="0.25">
      <c r="B118" s="84" t="s">
        <v>3</v>
      </c>
      <c r="C118" s="29">
        <v>63.208496046190042</v>
      </c>
      <c r="D118" s="29">
        <v>12709.055149886017</v>
      </c>
      <c r="E118" s="50">
        <f t="shared" si="29"/>
        <v>2.9987334914731531E-2</v>
      </c>
      <c r="F118" s="50">
        <f t="shared" si="33"/>
        <v>2.3197162487174745E-2</v>
      </c>
      <c r="G118" s="50">
        <f t="shared" si="30"/>
        <v>4.8811890677872394E-2</v>
      </c>
      <c r="H118" s="51">
        <f t="shared" si="31"/>
        <v>4.5534073596056365E-2</v>
      </c>
      <c r="I118" s="50">
        <f t="shared" si="32"/>
        <v>7.8448681907363827E-4</v>
      </c>
    </row>
    <row r="119" spans="1:14" ht="12.75" customHeight="1" x14ac:dyDescent="0.25">
      <c r="B119" s="84" t="s">
        <v>4</v>
      </c>
      <c r="C119" s="29">
        <v>11.171359418917772</v>
      </c>
      <c r="D119" s="29">
        <v>4549.0211045835586</v>
      </c>
      <c r="E119" s="50">
        <f t="shared" si="29"/>
        <v>5.2999093049631314E-3</v>
      </c>
      <c r="F119" s="50">
        <f t="shared" si="33"/>
        <v>8.3030863015460567E-3</v>
      </c>
      <c r="G119" s="50">
        <f t="shared" si="30"/>
        <v>5.4111799982835523E-2</v>
      </c>
      <c r="H119" s="51">
        <f t="shared" si="31"/>
        <v>5.3837159897602418E-2</v>
      </c>
      <c r="I119" s="50">
        <f t="shared" si="32"/>
        <v>4.2729214301474367E-4</v>
      </c>
    </row>
    <row r="120" spans="1:14" ht="12.75" customHeight="1" x14ac:dyDescent="0.25">
      <c r="B120" s="84" t="s">
        <v>5</v>
      </c>
      <c r="C120" s="29">
        <v>353.6026358725851</v>
      </c>
      <c r="D120" s="29">
        <v>34543.134541376516</v>
      </c>
      <c r="E120" s="50">
        <f t="shared" si="29"/>
        <v>0.16775593997513275</v>
      </c>
      <c r="F120" s="50">
        <f t="shared" si="33"/>
        <v>6.3049746446323052E-2</v>
      </c>
      <c r="G120" s="50">
        <f t="shared" si="30"/>
        <v>0.22186773995796827</v>
      </c>
      <c r="H120" s="51">
        <f t="shared" si="31"/>
        <v>0.11688690634392547</v>
      </c>
      <c r="I120" s="50">
        <f t="shared" si="32"/>
        <v>8.7002200088202829E-3</v>
      </c>
    </row>
    <row r="121" spans="1:14" ht="12.75" customHeight="1" x14ac:dyDescent="0.25">
      <c r="B121" s="84" t="s">
        <v>6</v>
      </c>
      <c r="C121" s="29">
        <v>58.065831028798335</v>
      </c>
      <c r="D121" s="29">
        <v>33738.127951375733</v>
      </c>
      <c r="E121" s="50">
        <f t="shared" si="29"/>
        <v>2.7547555013654544E-2</v>
      </c>
      <c r="F121" s="50">
        <f t="shared" si="33"/>
        <v>6.1580410728501248E-2</v>
      </c>
      <c r="G121" s="50">
        <f t="shared" si="30"/>
        <v>0.24941529497162282</v>
      </c>
      <c r="H121" s="51">
        <f t="shared" si="31"/>
        <v>0.17846731707242672</v>
      </c>
      <c r="I121" s="50">
        <f t="shared" si="32"/>
        <v>1.451090143016941E-2</v>
      </c>
    </row>
    <row r="122" spans="1:14" ht="12.75" customHeight="1" x14ac:dyDescent="0.25">
      <c r="B122" s="84" t="s">
        <v>7</v>
      </c>
      <c r="C122" s="29">
        <v>19.890651093947945</v>
      </c>
      <c r="D122" s="29">
        <v>43226.930239887697</v>
      </c>
      <c r="E122" s="50">
        <f t="shared" si="29"/>
        <v>9.4365101740502624E-3</v>
      </c>
      <c r="F122" s="50">
        <f>D122/$D$127</f>
        <v>7.8899816923481969E-2</v>
      </c>
      <c r="G122" s="50">
        <f t="shared" si="30"/>
        <v>0.25885180514567308</v>
      </c>
      <c r="H122" s="51">
        <f t="shared" si="31"/>
        <v>0.25736713399590871</v>
      </c>
      <c r="I122" s="50">
        <f t="shared" si="32"/>
        <v>2.0051090573741871E-2</v>
      </c>
    </row>
    <row r="123" spans="1:14" ht="12.75" customHeight="1" x14ac:dyDescent="0.25">
      <c r="B123" s="84" t="s">
        <v>8</v>
      </c>
      <c r="C123" s="29">
        <v>436.58135275731689</v>
      </c>
      <c r="D123" s="29">
        <v>69411.089457609574</v>
      </c>
      <c r="E123" s="50">
        <f t="shared" si="29"/>
        <v>0.20712265061793605</v>
      </c>
      <c r="F123" s="50">
        <f t="shared" si="33"/>
        <v>0.12669237024865945</v>
      </c>
      <c r="G123" s="50">
        <f t="shared" si="30"/>
        <v>0.46597445576360913</v>
      </c>
      <c r="H123" s="51">
        <f t="shared" si="31"/>
        <v>0.38405950424456814</v>
      </c>
      <c r="I123" s="50">
        <f t="shared" si="32"/>
        <v>4.5914978506535094E-2</v>
      </c>
    </row>
    <row r="124" spans="1:14" ht="12.75" customHeight="1" x14ac:dyDescent="0.25">
      <c r="B124" s="84" t="s">
        <v>9</v>
      </c>
      <c r="C124" s="29">
        <v>734.87724433925337</v>
      </c>
      <c r="D124" s="29">
        <v>149774.72401466093</v>
      </c>
      <c r="E124" s="50">
        <f>C124/$C$127</f>
        <v>0.34863999977332938</v>
      </c>
      <c r="F124" s="50">
        <f t="shared" si="33"/>
        <v>0.273375838602054</v>
      </c>
      <c r="G124" s="50">
        <f t="shared" si="30"/>
        <v>0.81461445553693856</v>
      </c>
      <c r="H124" s="51">
        <f t="shared" si="31"/>
        <v>0.65743534284662219</v>
      </c>
      <c r="I124" s="50">
        <f t="shared" si="32"/>
        <v>0.17504103376563934</v>
      </c>
    </row>
    <row r="125" spans="1:14" ht="12.75" customHeight="1" x14ac:dyDescent="0.25">
      <c r="B125" s="84" t="s">
        <v>10</v>
      </c>
      <c r="C125" s="29">
        <v>113.8115207203455</v>
      </c>
      <c r="D125" s="29">
        <v>179268.67227891536</v>
      </c>
      <c r="E125" s="50">
        <f>C125/$C$127</f>
        <v>5.3994390034243257E-2</v>
      </c>
      <c r="F125" s="50">
        <f t="shared" si="33"/>
        <v>0.327209573856588</v>
      </c>
      <c r="G125" s="50">
        <f t="shared" si="30"/>
        <v>0.86860884557118179</v>
      </c>
      <c r="H125" s="51">
        <f t="shared" si="31"/>
        <v>0.98464491670321019</v>
      </c>
      <c r="I125" s="50">
        <f t="shared" si="32"/>
        <v>0.27538338953053371</v>
      </c>
    </row>
    <row r="126" spans="1:14" ht="12.75" customHeight="1" thickBot="1" x14ac:dyDescent="0.3">
      <c r="B126" s="88" t="s">
        <v>11</v>
      </c>
      <c r="C126" s="32">
        <v>276.95149598433915</v>
      </c>
      <c r="D126" s="32">
        <v>8412.6065227973904</v>
      </c>
      <c r="E126" s="52">
        <f t="shared" si="29"/>
        <v>0.13139115442881824</v>
      </c>
      <c r="F126" s="52">
        <f t="shared" si="33"/>
        <v>1.5355083296789959E-2</v>
      </c>
      <c r="G126" s="52">
        <f t="shared" si="30"/>
        <v>1</v>
      </c>
      <c r="H126" s="53">
        <f t="shared" si="31"/>
        <v>1.0000000000000002</v>
      </c>
      <c r="I126" s="52">
        <f t="shared" si="32"/>
        <v>1.4346322236432075E-2</v>
      </c>
    </row>
    <row r="127" spans="1:14" ht="12.75" customHeight="1" thickBot="1" x14ac:dyDescent="0.3">
      <c r="B127" s="38" t="s">
        <v>13</v>
      </c>
      <c r="C127" s="32">
        <f>SUM(C115:C126)</f>
        <v>2107.8397338717264</v>
      </c>
      <c r="D127" s="32">
        <f>SUM(D115:D126)</f>
        <v>547871.10953387525</v>
      </c>
      <c r="E127" s="52">
        <f>SUM(E116:E126)</f>
        <v>1</v>
      </c>
      <c r="F127" s="52">
        <f>SUM(F116:F126)</f>
        <v>1.0000000000000002</v>
      </c>
      <c r="G127" s="53"/>
      <c r="H127" s="53"/>
      <c r="I127" s="52">
        <f>SUM(I115:I126)</f>
        <v>0.55536072766012767</v>
      </c>
    </row>
    <row r="128" spans="1:14" ht="12.75" customHeight="1" thickBot="1" x14ac:dyDescent="0.3">
      <c r="B128" s="4"/>
      <c r="C128" s="4"/>
      <c r="D128" s="4"/>
      <c r="E128" s="51"/>
      <c r="F128" s="51"/>
      <c r="G128" s="51"/>
      <c r="H128" s="54"/>
      <c r="I128" s="54"/>
    </row>
    <row r="129" spans="1:14" ht="12.75" customHeight="1" thickBot="1" x14ac:dyDescent="0.3">
      <c r="B129" s="4"/>
      <c r="C129" s="4"/>
      <c r="D129" s="4"/>
      <c r="E129" s="51"/>
      <c r="F129" s="51"/>
      <c r="G129" s="56"/>
      <c r="H129" s="57" t="s">
        <v>33</v>
      </c>
      <c r="I129" s="53">
        <f>1-(2*I127)</f>
        <v>-0.11072145532025535</v>
      </c>
    </row>
    <row r="130" spans="1:14" ht="12.75" customHeight="1" x14ac:dyDescent="0.25"/>
    <row r="131" spans="1:14" ht="12.75" customHeight="1" x14ac:dyDescent="0.25"/>
    <row r="132" spans="1:14" ht="12.75" customHeight="1" x14ac:dyDescent="0.25"/>
    <row r="133" spans="1:14" ht="12.75" customHeight="1" x14ac:dyDescent="0.25"/>
    <row r="134" spans="1:14" ht="16.2" thickBot="1" x14ac:dyDescent="0.35">
      <c r="B134" s="209" t="s">
        <v>120</v>
      </c>
      <c r="C134" s="209"/>
      <c r="D134" s="209"/>
      <c r="E134" s="209"/>
      <c r="F134" s="209"/>
      <c r="G134" s="209"/>
      <c r="H134" s="209"/>
      <c r="I134" s="209"/>
    </row>
    <row r="135" spans="1:14" ht="27" thickBot="1" x14ac:dyDescent="0.3">
      <c r="A135" s="8"/>
      <c r="B135" s="30" t="s">
        <v>20</v>
      </c>
      <c r="C135" s="31" t="s">
        <v>43</v>
      </c>
      <c r="D135" s="31" t="s">
        <v>39</v>
      </c>
      <c r="E135" s="31" t="s">
        <v>16</v>
      </c>
      <c r="F135" s="31" t="s">
        <v>22</v>
      </c>
      <c r="G135" s="31" t="s">
        <v>18</v>
      </c>
      <c r="H135" s="31" t="s">
        <v>137</v>
      </c>
      <c r="I135" s="31" t="s">
        <v>21</v>
      </c>
      <c r="J135" s="8"/>
      <c r="K135" s="8"/>
      <c r="L135" s="8"/>
      <c r="M135" s="8"/>
      <c r="N135" s="8"/>
    </row>
    <row r="136" spans="1:14" ht="12.75" customHeight="1" x14ac:dyDescent="0.25">
      <c r="B136" s="4"/>
      <c r="C136" s="26">
        <v>0</v>
      </c>
      <c r="D136" s="26">
        <v>0</v>
      </c>
      <c r="E136" s="50">
        <v>0</v>
      </c>
      <c r="F136" s="50">
        <v>0</v>
      </c>
      <c r="G136" s="50">
        <v>0</v>
      </c>
      <c r="H136" s="51">
        <f>F136</f>
        <v>0</v>
      </c>
      <c r="I136" s="50">
        <v>0</v>
      </c>
    </row>
    <row r="137" spans="1:14" ht="12.75" customHeight="1" x14ac:dyDescent="0.25">
      <c r="B137" s="84" t="s">
        <v>1</v>
      </c>
      <c r="C137" s="29">
        <v>1.9832072109514134</v>
      </c>
      <c r="D137" s="29">
        <v>33738.127951375733</v>
      </c>
      <c r="E137" s="50">
        <f>C137/$C$148</f>
        <v>3.5466968162584246E-2</v>
      </c>
      <c r="F137" s="50">
        <f>D137/$D$148</f>
        <v>6.1580410728501248E-2</v>
      </c>
      <c r="G137" s="50">
        <f t="shared" ref="G137:G147" si="34">G136+E137</f>
        <v>3.5466968162584246E-2</v>
      </c>
      <c r="H137" s="51">
        <f t="shared" ref="H137:H147" si="35">F137+H136</f>
        <v>6.1580410728501248E-2</v>
      </c>
      <c r="I137" s="50">
        <f t="shared" ref="I137:I147" si="36">(G136+G137)*0.5*(H137-H136)</f>
        <v>1.0920352333733075E-3</v>
      </c>
    </row>
    <row r="138" spans="1:14" ht="12.75" customHeight="1" x14ac:dyDescent="0.25">
      <c r="B138" s="84" t="s">
        <v>2</v>
      </c>
      <c r="C138" s="29">
        <v>-2.1134039371138331</v>
      </c>
      <c r="D138" s="29">
        <v>179268.67227891536</v>
      </c>
      <c r="E138" s="50">
        <f t="shared" ref="E138:E147" si="37">C138/$C$148</f>
        <v>-3.7795359828455596E-2</v>
      </c>
      <c r="F138" s="50">
        <f t="shared" ref="F138:F147" si="38">D138/$D$148</f>
        <v>0.327209573856588</v>
      </c>
      <c r="G138" s="50">
        <f t="shared" si="34"/>
        <v>-2.3283916658713502E-3</v>
      </c>
      <c r="H138" s="51">
        <f t="shared" si="35"/>
        <v>0.38878998458508923</v>
      </c>
      <c r="I138" s="50">
        <f t="shared" si="36"/>
        <v>5.4216297468516845E-3</v>
      </c>
    </row>
    <row r="139" spans="1:14" ht="12.75" customHeight="1" x14ac:dyDescent="0.25">
      <c r="B139" s="84" t="s">
        <v>3</v>
      </c>
      <c r="C139" s="29">
        <v>-16.828155050388805</v>
      </c>
      <c r="D139" s="29">
        <v>8412.6065227973904</v>
      </c>
      <c r="E139" s="50">
        <f t="shared" si="37"/>
        <v>-0.30094870375186078</v>
      </c>
      <c r="F139" s="50">
        <f t="shared" si="38"/>
        <v>1.5355083296789959E-2</v>
      </c>
      <c r="G139" s="50">
        <f t="shared" si="34"/>
        <v>-0.30327709541773212</v>
      </c>
      <c r="H139" s="51">
        <f t="shared" si="35"/>
        <v>0.40414506788187921</v>
      </c>
      <c r="I139" s="50">
        <f t="shared" si="36"/>
        <v>-2.3462988550624017E-3</v>
      </c>
    </row>
    <row r="140" spans="1:14" ht="12.75" customHeight="1" x14ac:dyDescent="0.25">
      <c r="B140" s="84" t="s">
        <v>4</v>
      </c>
      <c r="C140" s="29">
        <v>3.2750912718752518</v>
      </c>
      <c r="D140" s="29">
        <v>4549.0211045835586</v>
      </c>
      <c r="E140" s="50">
        <f t="shared" si="37"/>
        <v>5.8570560467774965E-2</v>
      </c>
      <c r="F140" s="50">
        <f t="shared" si="38"/>
        <v>8.3030863015460567E-3</v>
      </c>
      <c r="G140" s="50">
        <f t="shared" si="34"/>
        <v>-0.24470653494995714</v>
      </c>
      <c r="H140" s="51">
        <f t="shared" si="35"/>
        <v>0.41244815418342529</v>
      </c>
      <c r="I140" s="50">
        <f t="shared" si="36"/>
        <v>-2.2749776873887259E-3</v>
      </c>
    </row>
    <row r="141" spans="1:14" ht="12.75" customHeight="1" x14ac:dyDescent="0.25">
      <c r="B141" s="84" t="s">
        <v>5</v>
      </c>
      <c r="C141" s="29">
        <v>131.03557864571476</v>
      </c>
      <c r="D141" s="29">
        <v>4739.5256339269945</v>
      </c>
      <c r="E141" s="50">
        <f t="shared" si="37"/>
        <v>2.3433934035384199</v>
      </c>
      <c r="F141" s="50">
        <f t="shared" si="38"/>
        <v>8.6508040877704764E-3</v>
      </c>
      <c r="G141" s="50">
        <f t="shared" si="34"/>
        <v>2.0986868685884628</v>
      </c>
      <c r="H141" s="51">
        <f t="shared" si="35"/>
        <v>0.42109895827119576</v>
      </c>
      <c r="I141" s="50">
        <f t="shared" si="36"/>
        <v>8.0192103244430216E-3</v>
      </c>
    </row>
    <row r="142" spans="1:14" ht="12.75" customHeight="1" x14ac:dyDescent="0.25">
      <c r="B142" s="84" t="s">
        <v>6</v>
      </c>
      <c r="C142" s="29">
        <v>16.052819884560293</v>
      </c>
      <c r="D142" s="29">
        <v>7498.2226388555227</v>
      </c>
      <c r="E142" s="50">
        <f t="shared" si="37"/>
        <v>0.2870828870636592</v>
      </c>
      <c r="F142" s="50">
        <f t="shared" si="38"/>
        <v>1.3686107021111144E-2</v>
      </c>
      <c r="G142" s="50">
        <f t="shared" si="34"/>
        <v>2.385769755652122</v>
      </c>
      <c r="H142" s="51">
        <f t="shared" si="35"/>
        <v>0.43478506529230687</v>
      </c>
      <c r="I142" s="50">
        <f t="shared" si="36"/>
        <v>3.0687376645443656E-2</v>
      </c>
    </row>
    <row r="143" spans="1:14" ht="12.75" customHeight="1" x14ac:dyDescent="0.25">
      <c r="B143" s="84" t="s">
        <v>7</v>
      </c>
      <c r="C143" s="29">
        <v>1.5386391808328861</v>
      </c>
      <c r="D143" s="29">
        <v>12709.055149886017</v>
      </c>
      <c r="E143" s="50">
        <f t="shared" si="37"/>
        <v>2.7516472579849651E-2</v>
      </c>
      <c r="F143" s="50">
        <f t="shared" si="38"/>
        <v>2.3197162487174745E-2</v>
      </c>
      <c r="G143" s="50">
        <f t="shared" si="34"/>
        <v>2.4132862282319718</v>
      </c>
      <c r="H143" s="51">
        <f t="shared" si="35"/>
        <v>0.45798222777948161</v>
      </c>
      <c r="I143" s="50">
        <f t="shared" si="36"/>
        <v>5.5662240721603772E-2</v>
      </c>
    </row>
    <row r="144" spans="1:14" ht="12.75" customHeight="1" x14ac:dyDescent="0.25">
      <c r="B144" s="84" t="s">
        <v>8</v>
      </c>
      <c r="C144" s="29">
        <v>-15.946701336720173</v>
      </c>
      <c r="D144" s="29">
        <v>34543.134541376516</v>
      </c>
      <c r="E144" s="50">
        <f t="shared" si="37"/>
        <v>-0.28518510092365235</v>
      </c>
      <c r="F144" s="50">
        <f t="shared" si="38"/>
        <v>6.3049746446323052E-2</v>
      </c>
      <c r="G144" s="50">
        <f t="shared" si="34"/>
        <v>2.1281011273083195</v>
      </c>
      <c r="H144" s="51">
        <f>F144+H143</f>
        <v>0.52103197422580472</v>
      </c>
      <c r="I144" s="50">
        <f t="shared" si="36"/>
        <v>0.14316666064067657</v>
      </c>
    </row>
    <row r="145" spans="1:14" ht="12.75" customHeight="1" x14ac:dyDescent="0.25">
      <c r="B145" s="84" t="s">
        <v>9</v>
      </c>
      <c r="C145" s="29">
        <v>-113.16668198295125</v>
      </c>
      <c r="D145" s="29">
        <v>43226.930239887697</v>
      </c>
      <c r="E145" s="50">
        <f t="shared" si="37"/>
        <v>-2.0238324491716257</v>
      </c>
      <c r="F145" s="50">
        <f t="shared" si="38"/>
        <v>7.8899816923481969E-2</v>
      </c>
      <c r="G145" s="50">
        <f t="shared" si="34"/>
        <v>0.10426867813669372</v>
      </c>
      <c r="H145" s="51">
        <f t="shared" si="35"/>
        <v>0.59993179114928674</v>
      </c>
      <c r="I145" s="50">
        <f t="shared" si="36"/>
        <v>8.8066784477560361E-2</v>
      </c>
    </row>
    <row r="146" spans="1:14" ht="12.75" customHeight="1" x14ac:dyDescent="0.25">
      <c r="B146" s="84" t="s">
        <v>10</v>
      </c>
      <c r="C146" s="29">
        <v>27.835036451662162</v>
      </c>
      <c r="D146" s="29">
        <v>69411.089457609574</v>
      </c>
      <c r="E146" s="50">
        <f t="shared" si="37"/>
        <v>0.49779183243382219</v>
      </c>
      <c r="F146" s="50">
        <f>D146/$D$148</f>
        <v>0.12669237024865945</v>
      </c>
      <c r="G146" s="50">
        <f t="shared" si="34"/>
        <v>0.60206051057051591</v>
      </c>
      <c r="H146" s="51">
        <f t="shared" si="35"/>
        <v>0.72662416139794617</v>
      </c>
      <c r="I146" s="50">
        <f t="shared" si="36"/>
        <v>4.4743259546564516E-2</v>
      </c>
    </row>
    <row r="147" spans="1:14" ht="12.75" customHeight="1" thickBot="1" x14ac:dyDescent="0.3">
      <c r="B147" s="88" t="s">
        <v>11</v>
      </c>
      <c r="C147" s="32">
        <v>22.251590870161746</v>
      </c>
      <c r="D147" s="32">
        <v>149774.72401466093</v>
      </c>
      <c r="E147" s="52">
        <f t="shared" si="37"/>
        <v>0.39793948942948421</v>
      </c>
      <c r="F147" s="52">
        <f t="shared" si="38"/>
        <v>0.273375838602054</v>
      </c>
      <c r="G147" s="52">
        <f t="shared" si="34"/>
        <v>1</v>
      </c>
      <c r="H147" s="53">
        <f t="shared" si="35"/>
        <v>1.0000000000000002</v>
      </c>
      <c r="I147" s="52">
        <f t="shared" si="36"/>
        <v>0.21898231778422483</v>
      </c>
    </row>
    <row r="148" spans="1:14" ht="12.75" customHeight="1" thickBot="1" x14ac:dyDescent="0.3">
      <c r="B148" s="38" t="s">
        <v>13</v>
      </c>
      <c r="C148" s="32">
        <f>SUM(C136:C147)</f>
        <v>55.917021208584472</v>
      </c>
      <c r="D148" s="32">
        <f>SUM(D136:D147)</f>
        <v>547871.10953387525</v>
      </c>
      <c r="E148" s="52">
        <f>SUM(E137:E147)</f>
        <v>1</v>
      </c>
      <c r="F148" s="52">
        <f>SUM(F137:F147)</f>
        <v>1.0000000000000002</v>
      </c>
      <c r="G148" s="53"/>
      <c r="H148" s="53"/>
      <c r="I148" s="52">
        <f>SUM(I136:I147)</f>
        <v>0.59122023857829054</v>
      </c>
    </row>
    <row r="149" spans="1:14" ht="12.75" customHeight="1" thickBot="1" x14ac:dyDescent="0.3">
      <c r="B149" s="4"/>
      <c r="C149" s="4"/>
      <c r="D149" s="4"/>
      <c r="E149" s="51"/>
      <c r="F149" s="51"/>
      <c r="G149" s="51"/>
      <c r="H149" s="54"/>
      <c r="I149" s="54"/>
    </row>
    <row r="150" spans="1:14" ht="12.75" customHeight="1" thickBot="1" x14ac:dyDescent="0.3">
      <c r="B150" s="4"/>
      <c r="C150" s="4"/>
      <c r="D150" s="4"/>
      <c r="E150" s="51"/>
      <c r="F150" s="51"/>
      <c r="G150" s="56"/>
      <c r="H150" s="57" t="s">
        <v>37</v>
      </c>
      <c r="I150" s="53">
        <f>1-(2*I148)</f>
        <v>-0.18244047715658107</v>
      </c>
    </row>
    <row r="151" spans="1:14" ht="12.75" customHeight="1" x14ac:dyDescent="0.25"/>
    <row r="152" spans="1:14" ht="12.75" customHeight="1" x14ac:dyDescent="0.25"/>
    <row r="153" spans="1:14" ht="12.75" customHeight="1" x14ac:dyDescent="0.25"/>
    <row r="154" spans="1:14" ht="12.75" customHeight="1" x14ac:dyDescent="0.25"/>
    <row r="155" spans="1:14" ht="16.2" thickBot="1" x14ac:dyDescent="0.35">
      <c r="B155" s="209" t="s">
        <v>116</v>
      </c>
      <c r="C155" s="209"/>
      <c r="D155" s="209"/>
      <c r="E155" s="209"/>
      <c r="F155" s="209"/>
      <c r="G155" s="209"/>
      <c r="H155" s="209"/>
      <c r="I155" s="209"/>
    </row>
    <row r="156" spans="1:14" ht="27" thickBot="1" x14ac:dyDescent="0.3">
      <c r="A156" s="8"/>
      <c r="B156" s="30" t="s">
        <v>20</v>
      </c>
      <c r="C156" s="31" t="s">
        <v>44</v>
      </c>
      <c r="D156" s="31" t="s">
        <v>45</v>
      </c>
      <c r="E156" s="31" t="s">
        <v>16</v>
      </c>
      <c r="F156" s="31" t="s">
        <v>22</v>
      </c>
      <c r="G156" s="31" t="s">
        <v>18</v>
      </c>
      <c r="H156" s="31" t="s">
        <v>137</v>
      </c>
      <c r="I156" s="31" t="s">
        <v>21</v>
      </c>
      <c r="J156" s="8"/>
      <c r="K156" s="8"/>
      <c r="L156" s="8"/>
      <c r="M156" s="8"/>
      <c r="N156" s="8"/>
    </row>
    <row r="157" spans="1:14" ht="12.75" customHeight="1" x14ac:dyDescent="0.25">
      <c r="B157" s="4"/>
      <c r="C157" s="26">
        <v>0</v>
      </c>
      <c r="D157" s="26">
        <v>0</v>
      </c>
      <c r="E157" s="50">
        <v>0</v>
      </c>
      <c r="F157" s="50">
        <v>0</v>
      </c>
      <c r="G157" s="50">
        <v>0</v>
      </c>
      <c r="H157" s="51">
        <f>F157</f>
        <v>0</v>
      </c>
      <c r="I157" s="50">
        <v>0</v>
      </c>
    </row>
    <row r="158" spans="1:14" ht="12.75" customHeight="1" x14ac:dyDescent="0.25">
      <c r="B158" s="84" t="s">
        <v>1</v>
      </c>
      <c r="C158" s="29">
        <v>1.9832072109514134</v>
      </c>
      <c r="D158" s="29">
        <v>4549.0211045835586</v>
      </c>
      <c r="E158" s="50">
        <f t="shared" ref="E158:E168" si="39">C158/$C$169</f>
        <v>1.0190307089459937E-2</v>
      </c>
      <c r="F158" s="50">
        <f t="shared" ref="F158:F168" si="40">D158/$D$169</f>
        <v>8.3030863015460567E-3</v>
      </c>
      <c r="G158" s="50">
        <f t="shared" ref="G158:G168" si="41">G157+E158</f>
        <v>1.0190307089459937E-2</v>
      </c>
      <c r="H158" s="51">
        <f t="shared" ref="H158:H168" si="42">F158+H157</f>
        <v>8.3030863015460567E-3</v>
      </c>
      <c r="I158" s="50">
        <f t="shared" ref="I158:I168" si="43">(G157+G158)*0.5*(H158-H157)</f>
        <v>4.2305499601521234E-5</v>
      </c>
    </row>
    <row r="159" spans="1:14" ht="12.75" customHeight="1" x14ac:dyDescent="0.25">
      <c r="B159" s="84" t="s">
        <v>2</v>
      </c>
      <c r="C159" s="29">
        <v>-2.1134039371138331</v>
      </c>
      <c r="D159" s="29">
        <v>4739.5256339269945</v>
      </c>
      <c r="E159" s="50">
        <f t="shared" si="39"/>
        <v>-1.0859296499296187E-2</v>
      </c>
      <c r="F159" s="50">
        <f t="shared" si="40"/>
        <v>8.6508040877704764E-3</v>
      </c>
      <c r="G159" s="50">
        <f t="shared" si="41"/>
        <v>-6.6898940983625005E-4</v>
      </c>
      <c r="H159" s="51">
        <f t="shared" si="42"/>
        <v>1.6953890389316533E-2</v>
      </c>
      <c r="I159" s="50">
        <f t="shared" si="43"/>
        <v>4.1183526951924948E-5</v>
      </c>
    </row>
    <row r="160" spans="1:14" ht="12.75" customHeight="1" x14ac:dyDescent="0.25">
      <c r="B160" s="84" t="s">
        <v>3</v>
      </c>
      <c r="C160" s="29">
        <v>39.671844949611199</v>
      </c>
      <c r="D160" s="29">
        <v>7498.2226388555227</v>
      </c>
      <c r="E160" s="50">
        <f t="shared" si="39"/>
        <v>0.20384571042782609</v>
      </c>
      <c r="F160" s="50">
        <f t="shared" si="40"/>
        <v>1.3686107021111144E-2</v>
      </c>
      <c r="G160" s="50">
        <f t="shared" si="41"/>
        <v>0.20317672101798984</v>
      </c>
      <c r="H160" s="51">
        <f t="shared" si="42"/>
        <v>3.0639997410427677E-2</v>
      </c>
      <c r="I160" s="50">
        <f t="shared" si="43"/>
        <v>1.385771243695821E-3</v>
      </c>
    </row>
    <row r="161" spans="1:9" ht="12.75" customHeight="1" x14ac:dyDescent="0.25">
      <c r="B161" s="84" t="s">
        <v>4</v>
      </c>
      <c r="C161" s="29">
        <v>3.2750912718752518</v>
      </c>
      <c r="D161" s="29">
        <v>12709.055149886017</v>
      </c>
      <c r="E161" s="50">
        <f t="shared" si="39"/>
        <v>1.6828390710826424E-2</v>
      </c>
      <c r="F161" s="50">
        <f t="shared" si="40"/>
        <v>2.3197162487174745E-2</v>
      </c>
      <c r="G161" s="50">
        <f t="shared" si="41"/>
        <v>0.22000511172881626</v>
      </c>
      <c r="H161" s="51">
        <f t="shared" si="42"/>
        <v>5.3837159897602418E-2</v>
      </c>
      <c r="I161" s="50">
        <f t="shared" si="43"/>
        <v>4.9083088679240331E-3</v>
      </c>
    </row>
    <row r="162" spans="1:9" ht="12.75" customHeight="1" x14ac:dyDescent="0.25">
      <c r="B162" s="84" t="s">
        <v>5</v>
      </c>
      <c r="C162" s="29">
        <v>131.03557864571476</v>
      </c>
      <c r="D162" s="29">
        <v>8412.6065227973904</v>
      </c>
      <c r="E162" s="50">
        <f t="shared" si="39"/>
        <v>0.67329968279226149</v>
      </c>
      <c r="F162" s="50">
        <f t="shared" si="40"/>
        <v>1.5355083296789959E-2</v>
      </c>
      <c r="G162" s="50">
        <f t="shared" si="41"/>
        <v>0.89330479452107769</v>
      </c>
      <c r="H162" s="51">
        <f t="shared" si="42"/>
        <v>6.9192243194392378E-2</v>
      </c>
      <c r="I162" s="50">
        <f t="shared" si="43"/>
        <v>8.5474831728042707E-3</v>
      </c>
    </row>
    <row r="163" spans="1:9" ht="12.75" customHeight="1" x14ac:dyDescent="0.25">
      <c r="B163" s="84" t="s">
        <v>6</v>
      </c>
      <c r="C163" s="29">
        <v>16.052819884560293</v>
      </c>
      <c r="D163" s="29">
        <v>34543.134541376516</v>
      </c>
      <c r="E163" s="50">
        <f t="shared" si="39"/>
        <v>8.2484151616704582E-2</v>
      </c>
      <c r="F163" s="50">
        <f t="shared" si="40"/>
        <v>6.3049746446323052E-2</v>
      </c>
      <c r="G163" s="50">
        <f t="shared" si="41"/>
        <v>0.97578894613778222</v>
      </c>
      <c r="H163" s="51">
        <f t="shared" si="42"/>
        <v>0.13224198964071543</v>
      </c>
      <c r="I163" s="50">
        <f t="shared" si="43"/>
        <v>5.8922943216475308E-2</v>
      </c>
    </row>
    <row r="164" spans="1:9" ht="12.75" customHeight="1" x14ac:dyDescent="0.25">
      <c r="B164" s="84" t="s">
        <v>7</v>
      </c>
      <c r="C164" s="29">
        <v>5.3386391808328861</v>
      </c>
      <c r="D164" s="29">
        <v>179268.67227891536</v>
      </c>
      <c r="E164" s="50">
        <f t="shared" si="39"/>
        <v>2.7431512144619141E-2</v>
      </c>
      <c r="F164" s="50">
        <f t="shared" si="40"/>
        <v>0.327209573856588</v>
      </c>
      <c r="G164" s="50">
        <f t="shared" si="41"/>
        <v>1.0032204582824014</v>
      </c>
      <c r="H164" s="51">
        <f t="shared" si="42"/>
        <v>0.45945156349730343</v>
      </c>
      <c r="I164" s="50">
        <f t="shared" si="43"/>
        <v>0.32377541193925413</v>
      </c>
    </row>
    <row r="165" spans="1:9" ht="12.75" customHeight="1" x14ac:dyDescent="0.25">
      <c r="B165" s="84" t="s">
        <v>8</v>
      </c>
      <c r="C165" s="29">
        <v>17.853298663279823</v>
      </c>
      <c r="D165" s="29">
        <v>33738.127951375733</v>
      </c>
      <c r="E165" s="50">
        <f t="shared" si="39"/>
        <v>9.1735545803803109E-2</v>
      </c>
      <c r="F165" s="50">
        <f t="shared" si="40"/>
        <v>6.1580410728501248E-2</v>
      </c>
      <c r="G165" s="50">
        <f t="shared" si="41"/>
        <v>1.0949560040862045</v>
      </c>
      <c r="H165" s="51">
        <f t="shared" si="42"/>
        <v>0.52103197422580472</v>
      </c>
      <c r="I165" s="50">
        <f t="shared" si="43"/>
        <v>6.4603284166766292E-2</v>
      </c>
    </row>
    <row r="166" spans="1:9" ht="12.75" customHeight="1" x14ac:dyDescent="0.25">
      <c r="B166" s="84" t="s">
        <v>9</v>
      </c>
      <c r="C166" s="29">
        <v>-89.666681982951246</v>
      </c>
      <c r="D166" s="29">
        <v>43226.930239887697</v>
      </c>
      <c r="E166" s="50">
        <f t="shared" si="39"/>
        <v>-0.46073401712817957</v>
      </c>
      <c r="F166" s="50">
        <f t="shared" si="40"/>
        <v>7.8899816923481969E-2</v>
      </c>
      <c r="G166" s="50">
        <f t="shared" si="41"/>
        <v>0.63422198695802501</v>
      </c>
      <c r="H166" s="51">
        <f t="shared" si="42"/>
        <v>0.59993179114928674</v>
      </c>
      <c r="I166" s="50">
        <f t="shared" si="43"/>
        <v>6.8215913460752078E-2</v>
      </c>
    </row>
    <row r="167" spans="1:9" ht="12.75" customHeight="1" x14ac:dyDescent="0.25">
      <c r="B167" s="84" t="s">
        <v>10</v>
      </c>
      <c r="C167" s="29">
        <v>27.835036451662162</v>
      </c>
      <c r="D167" s="29">
        <v>149774.72401466093</v>
      </c>
      <c r="E167" s="50">
        <f t="shared" si="39"/>
        <v>0.14302467625290305</v>
      </c>
      <c r="F167" s="50">
        <f t="shared" si="40"/>
        <v>0.273375838602054</v>
      </c>
      <c r="G167" s="50">
        <f t="shared" si="41"/>
        <v>0.77724666321092806</v>
      </c>
      <c r="H167" s="51">
        <f t="shared" si="42"/>
        <v>0.87330762975134069</v>
      </c>
      <c r="I167" s="50">
        <f t="shared" si="43"/>
        <v>0.19293071295022332</v>
      </c>
    </row>
    <row r="168" spans="1:9" ht="12.75" customHeight="1" thickBot="1" x14ac:dyDescent="0.3">
      <c r="B168" s="88" t="s">
        <v>11</v>
      </c>
      <c r="C168" s="32">
        <v>43.351590870161743</v>
      </c>
      <c r="D168" s="32">
        <v>69411.089457609574</v>
      </c>
      <c r="E168" s="52">
        <f t="shared" si="39"/>
        <v>0.22275333678907178</v>
      </c>
      <c r="F168" s="52">
        <f t="shared" si="40"/>
        <v>0.12669237024865945</v>
      </c>
      <c r="G168" s="52">
        <f t="shared" si="41"/>
        <v>0.99999999999999978</v>
      </c>
      <c r="H168" s="53">
        <f t="shared" si="42"/>
        <v>1.0000000000000002</v>
      </c>
      <c r="I168" s="52">
        <f t="shared" si="43"/>
        <v>0.11258179613935679</v>
      </c>
    </row>
    <row r="169" spans="1:9" ht="12.75" customHeight="1" thickBot="1" x14ac:dyDescent="0.3">
      <c r="B169" s="38" t="s">
        <v>13</v>
      </c>
      <c r="C169" s="32">
        <f>SUM(C157:C168)</f>
        <v>194.61702120858448</v>
      </c>
      <c r="D169" s="32">
        <f>SUM(D157:D168)</f>
        <v>547871.10953387525</v>
      </c>
      <c r="E169" s="52">
        <f>SUM(E158:E168)</f>
        <v>0.99999999999999978</v>
      </c>
      <c r="F169" s="52">
        <f>SUM(F158:F168)</f>
        <v>1.0000000000000002</v>
      </c>
      <c r="G169" s="53"/>
      <c r="H169" s="53"/>
      <c r="I169" s="52">
        <f>SUM(I157:I168)</f>
        <v>0.83595511418380553</v>
      </c>
    </row>
    <row r="170" spans="1:9" ht="12.75" customHeight="1" thickBot="1" x14ac:dyDescent="0.3">
      <c r="B170" s="4"/>
      <c r="C170" s="4"/>
      <c r="D170" s="4"/>
      <c r="E170" s="51"/>
      <c r="F170" s="51"/>
      <c r="G170" s="51"/>
      <c r="H170" s="54"/>
      <c r="I170" s="54"/>
    </row>
    <row r="171" spans="1:9" ht="12.75" customHeight="1" thickBot="1" x14ac:dyDescent="0.3">
      <c r="B171" s="4"/>
      <c r="C171" s="4"/>
      <c r="D171" s="4"/>
      <c r="E171" s="51"/>
      <c r="F171" s="51"/>
      <c r="G171" s="56"/>
      <c r="H171" s="58" t="s">
        <v>33</v>
      </c>
      <c r="I171" s="59">
        <f>1-(2*I169)</f>
        <v>-0.67191022836761105</v>
      </c>
    </row>
    <row r="172" spans="1:9" ht="12.75" customHeight="1" x14ac:dyDescent="0.25">
      <c r="B172" s="4"/>
      <c r="C172" s="4"/>
      <c r="D172" s="4"/>
      <c r="E172" s="51"/>
      <c r="F172" s="51"/>
      <c r="G172" s="56"/>
      <c r="H172" s="127"/>
      <c r="I172" s="113"/>
    </row>
    <row r="173" spans="1:9" ht="12.75" customHeight="1" x14ac:dyDescent="0.25">
      <c r="B173" s="4"/>
      <c r="C173" s="4"/>
      <c r="D173" s="4"/>
      <c r="E173" s="51"/>
      <c r="F173" s="51"/>
      <c r="G173" s="56"/>
      <c r="H173" s="127"/>
      <c r="I173" s="113"/>
    </row>
    <row r="174" spans="1:9" ht="28.2" customHeight="1" x14ac:dyDescent="0.25">
      <c r="A174" s="211" t="s">
        <v>109</v>
      </c>
      <c r="B174" s="211"/>
      <c r="C174" s="211"/>
      <c r="D174" s="211"/>
      <c r="E174" s="211"/>
      <c r="F174" s="211"/>
      <c r="G174" s="56"/>
      <c r="H174" s="127"/>
      <c r="I174" s="113"/>
    </row>
    <row r="175" spans="1:9" ht="12.75" customHeight="1" x14ac:dyDescent="0.25"/>
    <row r="176" spans="1:9" ht="16.2" thickBot="1" x14ac:dyDescent="0.35">
      <c r="B176" s="209" t="s">
        <v>134</v>
      </c>
      <c r="C176" s="209"/>
      <c r="D176" s="209"/>
      <c r="E176" s="209"/>
      <c r="F176" s="209"/>
      <c r="G176" s="209"/>
      <c r="H176" s="209"/>
      <c r="I176" s="209"/>
    </row>
    <row r="177" spans="1:14" ht="42.6" customHeight="1" thickBot="1" x14ac:dyDescent="0.3">
      <c r="A177" s="8"/>
      <c r="B177" s="36" t="s">
        <v>20</v>
      </c>
      <c r="C177" s="37" t="s">
        <v>47</v>
      </c>
      <c r="D177" s="37" t="s">
        <v>135</v>
      </c>
      <c r="E177" s="37" t="s">
        <v>30</v>
      </c>
      <c r="F177" s="37" t="s">
        <v>22</v>
      </c>
      <c r="G177" s="37" t="s">
        <v>31</v>
      </c>
      <c r="H177" s="37" t="s">
        <v>137</v>
      </c>
      <c r="I177" s="37" t="s">
        <v>21</v>
      </c>
      <c r="J177" s="8"/>
      <c r="K177" s="8"/>
      <c r="L177" s="8"/>
      <c r="M177" s="8"/>
      <c r="N177" s="8"/>
    </row>
    <row r="178" spans="1:14" ht="12.75" customHeight="1" x14ac:dyDescent="0.25">
      <c r="B178" s="4"/>
      <c r="C178" s="26">
        <v>0</v>
      </c>
      <c r="D178" s="26">
        <v>0</v>
      </c>
      <c r="E178" s="50">
        <v>0</v>
      </c>
      <c r="F178" s="50">
        <v>0</v>
      </c>
      <c r="G178" s="50">
        <v>0</v>
      </c>
      <c r="H178" s="51">
        <f>F178</f>
        <v>0</v>
      </c>
      <c r="I178" s="50">
        <v>0</v>
      </c>
    </row>
    <row r="179" spans="1:14" ht="12.75" customHeight="1" x14ac:dyDescent="0.25">
      <c r="B179" s="84" t="s">
        <v>1</v>
      </c>
      <c r="C179" s="86">
        <v>15.5896215274011</v>
      </c>
      <c r="D179" s="29">
        <v>251430.37783690859</v>
      </c>
      <c r="E179" s="50">
        <f t="shared" ref="E179:E189" si="44">C179/$C$190</f>
        <v>7.48223545311148E-3</v>
      </c>
      <c r="F179" s="50">
        <f t="shared" ref="F179:F189" si="45">D179/$D$190</f>
        <v>8.2249727275718124E-2</v>
      </c>
      <c r="G179" s="50">
        <f t="shared" ref="G179:G189" si="46">G178+E179</f>
        <v>7.48223545311148E-3</v>
      </c>
      <c r="H179" s="51">
        <f t="shared" ref="H179:H189" si="47">F179+H178</f>
        <v>8.2249727275718124E-2</v>
      </c>
      <c r="I179" s="50">
        <f t="shared" ref="I179:I189" si="48">(G178+G179)*0.5*(H179-H178)</f>
        <v>3.0770591271556423E-4</v>
      </c>
    </row>
    <row r="180" spans="1:14" ht="12.75" customHeight="1" x14ac:dyDescent="0.25">
      <c r="B180" s="84" t="s">
        <v>2</v>
      </c>
      <c r="C180" s="86">
        <v>23.7240171408185</v>
      </c>
      <c r="D180" s="29">
        <v>24496.645034227455</v>
      </c>
      <c r="E180" s="50">
        <f t="shared" si="44"/>
        <v>1.138633685425002E-2</v>
      </c>
      <c r="F180" s="50">
        <f t="shared" si="45"/>
        <v>8.0135200470573958E-3</v>
      </c>
      <c r="G180" s="50">
        <f t="shared" si="46"/>
        <v>1.8868572307361501E-2</v>
      </c>
      <c r="H180" s="51">
        <f t="shared" si="47"/>
        <v>9.0263247322775519E-2</v>
      </c>
      <c r="I180" s="50">
        <f t="shared" si="48"/>
        <v>1.0558136312235291E-4</v>
      </c>
    </row>
    <row r="181" spans="1:14" ht="12.75" customHeight="1" x14ac:dyDescent="0.25">
      <c r="B181" s="84" t="s">
        <v>3</v>
      </c>
      <c r="C181" s="86">
        <v>3.3803673657372775</v>
      </c>
      <c r="D181" s="29">
        <v>13199.085501550475</v>
      </c>
      <c r="E181" s="50">
        <f t="shared" si="44"/>
        <v>1.6224065801728922E-3</v>
      </c>
      <c r="F181" s="50">
        <f t="shared" si="45"/>
        <v>4.3177805010323955E-3</v>
      </c>
      <c r="G181" s="50">
        <f t="shared" si="46"/>
        <v>2.0490978887534393E-2</v>
      </c>
      <c r="H181" s="51">
        <f t="shared" si="47"/>
        <v>9.4581027823807909E-2</v>
      </c>
      <c r="I181" s="50">
        <f t="shared" si="48"/>
        <v>8.4972951339353796E-5</v>
      </c>
    </row>
    <row r="182" spans="1:14" ht="12.75" customHeight="1" x14ac:dyDescent="0.25">
      <c r="B182" s="84" t="s">
        <v>4</v>
      </c>
      <c r="C182" s="86">
        <v>14.4001363593219</v>
      </c>
      <c r="D182" s="29">
        <v>20450.034940117202</v>
      </c>
      <c r="E182" s="50">
        <f t="shared" si="44"/>
        <v>6.9113423060322291E-3</v>
      </c>
      <c r="F182" s="50">
        <f t="shared" si="45"/>
        <v>6.6897636279041406E-3</v>
      </c>
      <c r="G182" s="50">
        <f t="shared" si="46"/>
        <v>2.7402321193566621E-2</v>
      </c>
      <c r="H182" s="51">
        <f t="shared" si="47"/>
        <v>0.10127079145171206</v>
      </c>
      <c r="I182" s="50">
        <f t="shared" si="48"/>
        <v>1.6019742845142413E-4</v>
      </c>
    </row>
    <row r="183" spans="1:14" ht="12.75" customHeight="1" x14ac:dyDescent="0.25">
      <c r="B183" s="84" t="s">
        <v>5</v>
      </c>
      <c r="C183" s="86">
        <v>484.06868290093661</v>
      </c>
      <c r="D183" s="29">
        <v>20836.189535136225</v>
      </c>
      <c r="E183" s="50">
        <f t="shared" si="44"/>
        <v>0.23232865881806727</v>
      </c>
      <c r="F183" s="50">
        <f t="shared" si="45"/>
        <v>6.8160853174303836E-3</v>
      </c>
      <c r="G183" s="50">
        <f t="shared" si="46"/>
        <v>0.25973098001163392</v>
      </c>
      <c r="H183" s="51">
        <f t="shared" si="47"/>
        <v>0.10808687676914244</v>
      </c>
      <c r="I183" s="50">
        <f t="shared" si="48"/>
        <v>9.7856253924504216E-4</v>
      </c>
    </row>
    <row r="184" spans="1:14" ht="12.75" customHeight="1" x14ac:dyDescent="0.25">
      <c r="B184" s="84" t="s">
        <v>6</v>
      </c>
      <c r="C184" s="86">
        <v>72.980329509151503</v>
      </c>
      <c r="D184" s="29">
        <v>49475.746319971244</v>
      </c>
      <c r="E184" s="50">
        <f t="shared" si="44"/>
        <v>3.5026893236205635E-2</v>
      </c>
      <c r="F184" s="50">
        <f t="shared" si="45"/>
        <v>1.6184864679397896E-2</v>
      </c>
      <c r="G184" s="50">
        <f t="shared" si="46"/>
        <v>0.29475787324783953</v>
      </c>
      <c r="H184" s="51">
        <f t="shared" si="47"/>
        <v>0.12427174144854033</v>
      </c>
      <c r="I184" s="50">
        <f t="shared" si="48"/>
        <v>4.4871635281195461E-3</v>
      </c>
    </row>
    <row r="185" spans="1:14" ht="12.75" customHeight="1" x14ac:dyDescent="0.25">
      <c r="B185" s="84" t="s">
        <v>7</v>
      </c>
      <c r="C185" s="86">
        <v>21.331893349594765</v>
      </c>
      <c r="D185" s="29">
        <v>119784.51078433092</v>
      </c>
      <c r="E185" s="50">
        <f t="shared" si="44"/>
        <v>1.0238237562200722E-2</v>
      </c>
      <c r="F185" s="50">
        <f t="shared" si="45"/>
        <v>3.9184777227902166E-2</v>
      </c>
      <c r="G185" s="50">
        <f t="shared" si="46"/>
        <v>0.30499611081004024</v>
      </c>
      <c r="H185" s="51">
        <f t="shared" si="47"/>
        <v>0.16345651867644251</v>
      </c>
      <c r="I185" s="50">
        <f t="shared" si="48"/>
        <v>1.1750613128427406E-2</v>
      </c>
    </row>
    <row r="186" spans="1:14" ht="12.75" customHeight="1" x14ac:dyDescent="0.25">
      <c r="B186" s="84" t="s">
        <v>8</v>
      </c>
      <c r="C186" s="86">
        <v>404.09091338939498</v>
      </c>
      <c r="D186" s="29">
        <v>237021.44592026682</v>
      </c>
      <c r="E186" s="50">
        <f t="shared" si="44"/>
        <v>0.19394334577834815</v>
      </c>
      <c r="F186" s="50">
        <f t="shared" si="45"/>
        <v>7.7536173047808091E-2</v>
      </c>
      <c r="G186" s="50">
        <f t="shared" si="46"/>
        <v>0.4989394565883884</v>
      </c>
      <c r="H186" s="51">
        <f t="shared" si="47"/>
        <v>0.24099269172425059</v>
      </c>
      <c r="I186" s="50">
        <f t="shared" si="48"/>
        <v>3.1167043636546168E-2</v>
      </c>
    </row>
    <row r="187" spans="1:14" ht="12.75" customHeight="1" x14ac:dyDescent="0.25">
      <c r="B187" s="84" t="s">
        <v>9</v>
      </c>
      <c r="C187" s="86">
        <v>620.94260061497255</v>
      </c>
      <c r="D187" s="29">
        <v>1339764.2833351614</v>
      </c>
      <c r="E187" s="50">
        <f t="shared" si="44"/>
        <v>0.29802126578265414</v>
      </c>
      <c r="F187" s="50">
        <f t="shared" si="45"/>
        <v>0.43827340143259691</v>
      </c>
      <c r="G187" s="50">
        <f t="shared" si="46"/>
        <v>0.79696072237104254</v>
      </c>
      <c r="H187" s="51">
        <f t="shared" si="47"/>
        <v>0.67926609315684749</v>
      </c>
      <c r="I187" s="50">
        <f t="shared" si="48"/>
        <v>0.28397928967483044</v>
      </c>
    </row>
    <row r="188" spans="1:14" ht="12.75" customHeight="1" x14ac:dyDescent="0.25">
      <c r="B188" s="84" t="s">
        <v>10</v>
      </c>
      <c r="C188" s="86">
        <v>130.37580876063711</v>
      </c>
      <c r="D188" s="29">
        <v>363314.38569269452</v>
      </c>
      <c r="E188" s="50">
        <f t="shared" si="44"/>
        <v>6.2573840989168933E-2</v>
      </c>
      <c r="F188" s="50">
        <f t="shared" si="45"/>
        <v>0.1188500347318915</v>
      </c>
      <c r="G188" s="50">
        <f t="shared" si="46"/>
        <v>0.8595345633602115</v>
      </c>
      <c r="H188" s="51">
        <f t="shared" si="47"/>
        <v>0.79811612788873898</v>
      </c>
      <c r="I188" s="50">
        <f t="shared" si="48"/>
        <v>9.8437261121187031E-2</v>
      </c>
    </row>
    <row r="189" spans="1:14" ht="12.75" customHeight="1" thickBot="1" x14ac:dyDescent="0.3">
      <c r="B189" s="88" t="s">
        <v>11</v>
      </c>
      <c r="C189" s="89">
        <v>292.66694540931792</v>
      </c>
      <c r="D189" s="32">
        <v>617141.72101696266</v>
      </c>
      <c r="E189" s="52">
        <f t="shared" si="44"/>
        <v>0.14046543663978842</v>
      </c>
      <c r="F189" s="52">
        <f t="shared" si="45"/>
        <v>0.20188387211126102</v>
      </c>
      <c r="G189" s="52">
        <f t="shared" si="46"/>
        <v>0.99999999999999989</v>
      </c>
      <c r="H189" s="53">
        <f t="shared" si="47"/>
        <v>1</v>
      </c>
      <c r="I189" s="52">
        <f t="shared" si="48"/>
        <v>0.18770501898794126</v>
      </c>
    </row>
    <row r="190" spans="1:14" ht="12.75" customHeight="1" thickBot="1" x14ac:dyDescent="0.3">
      <c r="B190" s="38" t="s">
        <v>13</v>
      </c>
      <c r="C190" s="32">
        <f>SUM(C178:C189)</f>
        <v>2083.5513163272844</v>
      </c>
      <c r="D190" s="32">
        <f>SUM(D178:D189)</f>
        <v>3056914.4259173274</v>
      </c>
      <c r="E190" s="39">
        <f>SUM(E179:E189)</f>
        <v>0.99999999999999989</v>
      </c>
      <c r="F190" s="33">
        <f>SUM(F179:F189)</f>
        <v>1</v>
      </c>
      <c r="G190" s="40"/>
      <c r="H190" s="40"/>
      <c r="I190" s="52">
        <f>SUM(I178:I189)</f>
        <v>0.61916341027192556</v>
      </c>
    </row>
    <row r="191" spans="1:14" ht="12.75" customHeight="1" thickBot="1" x14ac:dyDescent="0.3">
      <c r="B191" s="4"/>
      <c r="C191" s="4"/>
      <c r="D191" s="4"/>
      <c r="E191" s="4"/>
      <c r="F191" s="4"/>
      <c r="G191" s="4"/>
      <c r="H191" s="7"/>
      <c r="I191" s="54"/>
    </row>
    <row r="192" spans="1:14" ht="12.75" customHeight="1" thickBot="1" x14ac:dyDescent="0.3">
      <c r="B192" s="4"/>
      <c r="C192" s="4"/>
      <c r="D192" s="4"/>
      <c r="E192" s="4"/>
      <c r="F192" s="4"/>
      <c r="G192" s="5"/>
      <c r="H192" s="24" t="s">
        <v>33</v>
      </c>
      <c r="I192" s="53">
        <f>1-(2*I190)</f>
        <v>-0.23832682054385113</v>
      </c>
    </row>
    <row r="193" spans="1:14" ht="12.75" customHeight="1" x14ac:dyDescent="0.25"/>
    <row r="194" spans="1:14" ht="12.75" customHeight="1" x14ac:dyDescent="0.25"/>
    <row r="195" spans="1:14" ht="12.75" customHeight="1" x14ac:dyDescent="0.25"/>
    <row r="196" spans="1:14" ht="12.75" customHeight="1" x14ac:dyDescent="0.25"/>
    <row r="197" spans="1:14" ht="16.2" thickBot="1" x14ac:dyDescent="0.35">
      <c r="B197" s="209" t="s">
        <v>140</v>
      </c>
      <c r="C197" s="209"/>
      <c r="D197" s="209"/>
      <c r="E197" s="209"/>
      <c r="F197" s="209"/>
      <c r="G197" s="209"/>
      <c r="H197" s="209"/>
      <c r="I197" s="209"/>
    </row>
    <row r="198" spans="1:14" ht="27" thickBot="1" x14ac:dyDescent="0.3">
      <c r="A198" s="8"/>
      <c r="B198" s="30" t="s">
        <v>20</v>
      </c>
      <c r="C198" s="31" t="s">
        <v>48</v>
      </c>
      <c r="D198" s="37" t="s">
        <v>135</v>
      </c>
      <c r="E198" s="31" t="s">
        <v>35</v>
      </c>
      <c r="F198" s="31" t="s">
        <v>22</v>
      </c>
      <c r="G198" s="31" t="s">
        <v>36</v>
      </c>
      <c r="H198" s="31" t="s">
        <v>137</v>
      </c>
      <c r="I198" s="31" t="s">
        <v>21</v>
      </c>
      <c r="J198" s="8"/>
      <c r="K198" s="8"/>
      <c r="L198" s="8"/>
      <c r="M198" s="8"/>
      <c r="N198" s="8"/>
    </row>
    <row r="199" spans="1:14" ht="12.75" customHeight="1" x14ac:dyDescent="0.25">
      <c r="B199" s="4"/>
      <c r="C199" s="26">
        <v>0</v>
      </c>
      <c r="D199" s="26">
        <v>0</v>
      </c>
      <c r="E199" s="50">
        <f>C199/$C$127</f>
        <v>0</v>
      </c>
      <c r="F199" s="50">
        <v>0</v>
      </c>
      <c r="G199" s="50">
        <v>0</v>
      </c>
      <c r="H199" s="51">
        <f>F199</f>
        <v>0</v>
      </c>
      <c r="I199" s="50">
        <v>0</v>
      </c>
    </row>
    <row r="200" spans="1:14" ht="12.75" customHeight="1" x14ac:dyDescent="0.25">
      <c r="B200" s="84" t="s">
        <v>1</v>
      </c>
      <c r="C200" s="86">
        <v>13.62551145548483</v>
      </c>
      <c r="D200" s="29">
        <v>24496.645034227455</v>
      </c>
      <c r="E200" s="50">
        <f t="shared" ref="E200:E210" si="49">C200/$C$211</f>
        <v>6.4642065696603936E-3</v>
      </c>
      <c r="F200" s="50">
        <f t="shared" ref="F200:F210" si="50">D200/$D$211</f>
        <v>8.0135200470573958E-3</v>
      </c>
      <c r="G200" s="50">
        <f t="shared" ref="G200:G210" si="51">G199+E200</f>
        <v>6.4642065696603936E-3</v>
      </c>
      <c r="H200" s="51">
        <f t="shared" ref="H200:H210" si="52">F200+H199</f>
        <v>8.0135200470573958E-3</v>
      </c>
      <c r="I200" s="50">
        <f t="shared" ref="I200:I210" si="53">(G199+G200)*0.5*(H200-H199)</f>
        <v>2.5900524467146842E-5</v>
      </c>
    </row>
    <row r="201" spans="1:14" ht="12.75" customHeight="1" x14ac:dyDescent="0.25">
      <c r="B201" s="84" t="s">
        <v>2</v>
      </c>
      <c r="C201" s="86">
        <v>26.053635154547475</v>
      </c>
      <c r="D201" s="29">
        <v>13199.085501550475</v>
      </c>
      <c r="E201" s="50">
        <f t="shared" si="49"/>
        <v>1.2360349193480467E-2</v>
      </c>
      <c r="F201" s="50">
        <f t="shared" si="50"/>
        <v>4.3177805010323955E-3</v>
      </c>
      <c r="G201" s="50">
        <f t="shared" si="51"/>
        <v>1.8824555763140863E-2</v>
      </c>
      <c r="H201" s="51">
        <f t="shared" si="52"/>
        <v>1.2331300548089792E-2</v>
      </c>
      <c r="I201" s="50">
        <f t="shared" si="53"/>
        <v>5.4595662447905906E-5</v>
      </c>
    </row>
    <row r="202" spans="1:14" ht="12.75" customHeight="1" x14ac:dyDescent="0.25">
      <c r="B202" s="84" t="s">
        <v>3</v>
      </c>
      <c r="C202" s="86">
        <v>63.208496046190042</v>
      </c>
      <c r="D202" s="29">
        <v>20836.189535136225</v>
      </c>
      <c r="E202" s="50">
        <f t="shared" si="49"/>
        <v>2.9987334914731531E-2</v>
      </c>
      <c r="F202" s="50">
        <f t="shared" si="50"/>
        <v>6.8160853174303836E-3</v>
      </c>
      <c r="G202" s="50">
        <f t="shared" si="51"/>
        <v>4.8811890677872394E-2</v>
      </c>
      <c r="H202" s="51">
        <f t="shared" si="52"/>
        <v>1.9147385865520176E-2</v>
      </c>
      <c r="I202" s="50">
        <f t="shared" si="53"/>
        <v>2.305078947548785E-4</v>
      </c>
    </row>
    <row r="203" spans="1:14" ht="12.75" customHeight="1" x14ac:dyDescent="0.25">
      <c r="B203" s="84" t="s">
        <v>4</v>
      </c>
      <c r="C203" s="86">
        <v>11.171359418917772</v>
      </c>
      <c r="D203" s="29">
        <v>20450.034940117202</v>
      </c>
      <c r="E203" s="50">
        <f t="shared" si="49"/>
        <v>5.2999093049631314E-3</v>
      </c>
      <c r="F203" s="50">
        <f t="shared" si="50"/>
        <v>6.6897636279041406E-3</v>
      </c>
      <c r="G203" s="50">
        <f t="shared" si="51"/>
        <v>5.4111799982835523E-2</v>
      </c>
      <c r="H203" s="51">
        <f t="shared" si="52"/>
        <v>2.5837149493424316E-2</v>
      </c>
      <c r="I203" s="50">
        <f t="shared" si="53"/>
        <v>3.4426758111583041E-4</v>
      </c>
    </row>
    <row r="204" spans="1:14" ht="12.75" customHeight="1" x14ac:dyDescent="0.25">
      <c r="B204" s="84" t="s">
        <v>5</v>
      </c>
      <c r="C204" s="86">
        <v>353.6026358725851</v>
      </c>
      <c r="D204" s="29">
        <v>49475.746319971244</v>
      </c>
      <c r="E204" s="50">
        <f t="shared" si="49"/>
        <v>0.16775593997513275</v>
      </c>
      <c r="F204" s="50">
        <f t="shared" si="50"/>
        <v>1.6184864679397896E-2</v>
      </c>
      <c r="G204" s="50">
        <f t="shared" si="51"/>
        <v>0.22186773995796827</v>
      </c>
      <c r="H204" s="51">
        <f t="shared" si="52"/>
        <v>4.2022014172822211E-2</v>
      </c>
      <c r="I204" s="50">
        <f t="shared" si="53"/>
        <v>2.2333457541121983E-3</v>
      </c>
    </row>
    <row r="205" spans="1:14" ht="12.75" customHeight="1" x14ac:dyDescent="0.25">
      <c r="B205" s="84" t="s">
        <v>6</v>
      </c>
      <c r="C205" s="86">
        <v>58.065831028798335</v>
      </c>
      <c r="D205" s="29">
        <v>251430.37783690859</v>
      </c>
      <c r="E205" s="50">
        <f t="shared" si="49"/>
        <v>2.7547555013654544E-2</v>
      </c>
      <c r="F205" s="50">
        <f t="shared" si="50"/>
        <v>8.2249727275718124E-2</v>
      </c>
      <c r="G205" s="50">
        <f t="shared" si="51"/>
        <v>0.24941529497162282</v>
      </c>
      <c r="H205" s="51">
        <f t="shared" si="52"/>
        <v>0.12427174144854033</v>
      </c>
      <c r="I205" s="50">
        <f t="shared" si="53"/>
        <v>1.9381450546315803E-2</v>
      </c>
    </row>
    <row r="206" spans="1:14" ht="12.75" customHeight="1" x14ac:dyDescent="0.25">
      <c r="B206" s="84" t="s">
        <v>7</v>
      </c>
      <c r="C206" s="86">
        <v>19.890651093947945</v>
      </c>
      <c r="D206" s="29">
        <v>119784.51078433092</v>
      </c>
      <c r="E206" s="50">
        <f t="shared" si="49"/>
        <v>9.4365101740502624E-3</v>
      </c>
      <c r="F206" s="50">
        <f t="shared" si="50"/>
        <v>3.9184777227902166E-2</v>
      </c>
      <c r="G206" s="50">
        <f t="shared" si="51"/>
        <v>0.25885180514567308</v>
      </c>
      <c r="H206" s="51">
        <f t="shared" si="52"/>
        <v>0.16345651867644251</v>
      </c>
      <c r="I206" s="50">
        <f t="shared" si="53"/>
        <v>9.9581665451840464E-3</v>
      </c>
    </row>
    <row r="207" spans="1:14" ht="12.75" customHeight="1" x14ac:dyDescent="0.25">
      <c r="B207" s="84" t="s">
        <v>8</v>
      </c>
      <c r="C207" s="86">
        <v>436.58135275731689</v>
      </c>
      <c r="D207" s="29">
        <v>237021.44592026682</v>
      </c>
      <c r="E207" s="50">
        <f t="shared" si="49"/>
        <v>0.20712265061793605</v>
      </c>
      <c r="F207" s="50">
        <f t="shared" si="50"/>
        <v>7.7536173047808091E-2</v>
      </c>
      <c r="G207" s="50">
        <f t="shared" si="51"/>
        <v>0.46597445576360913</v>
      </c>
      <c r="H207" s="51">
        <f t="shared" si="52"/>
        <v>0.24099269172425059</v>
      </c>
      <c r="I207" s="50">
        <f t="shared" si="53"/>
        <v>2.8100127197728895E-2</v>
      </c>
    </row>
    <row r="208" spans="1:14" ht="12.75" customHeight="1" x14ac:dyDescent="0.25">
      <c r="B208" s="84" t="s">
        <v>9</v>
      </c>
      <c r="C208" s="86">
        <v>734.87724433925337</v>
      </c>
      <c r="D208" s="29">
        <v>363314.38569269452</v>
      </c>
      <c r="E208" s="50">
        <f t="shared" si="49"/>
        <v>0.34863999977332938</v>
      </c>
      <c r="F208" s="50">
        <f t="shared" si="50"/>
        <v>0.1188500347318915</v>
      </c>
      <c r="G208" s="50">
        <f t="shared" si="51"/>
        <v>0.81461445553693856</v>
      </c>
      <c r="H208" s="51">
        <f t="shared" si="52"/>
        <v>0.35984272645614207</v>
      </c>
      <c r="I208" s="50">
        <f t="shared" si="53"/>
        <v>7.6099018292672599E-2</v>
      </c>
    </row>
    <row r="209" spans="1:14" ht="12.75" customHeight="1" x14ac:dyDescent="0.25">
      <c r="B209" s="84" t="s">
        <v>10</v>
      </c>
      <c r="C209" s="86">
        <v>113.8115207203455</v>
      </c>
      <c r="D209" s="29">
        <v>1339764.2833351614</v>
      </c>
      <c r="E209" s="50">
        <f t="shared" si="49"/>
        <v>5.3994390034243257E-2</v>
      </c>
      <c r="F209" s="50">
        <f t="shared" si="50"/>
        <v>0.43827340143259691</v>
      </c>
      <c r="G209" s="50">
        <f t="shared" si="51"/>
        <v>0.86860884557118179</v>
      </c>
      <c r="H209" s="51">
        <f t="shared" si="52"/>
        <v>0.79811612788873898</v>
      </c>
      <c r="I209" s="50">
        <f t="shared" si="53"/>
        <v>0.36885600077363007</v>
      </c>
    </row>
    <row r="210" spans="1:14" ht="12.75" customHeight="1" thickBot="1" x14ac:dyDescent="0.3">
      <c r="B210" s="88" t="s">
        <v>11</v>
      </c>
      <c r="C210" s="89">
        <v>276.95149598433915</v>
      </c>
      <c r="D210" s="32">
        <v>617141.72101696266</v>
      </c>
      <c r="E210" s="52">
        <f t="shared" si="49"/>
        <v>0.13139115442881824</v>
      </c>
      <c r="F210" s="52">
        <f t="shared" si="50"/>
        <v>0.20188387211126102</v>
      </c>
      <c r="G210" s="52">
        <f t="shared" si="51"/>
        <v>1</v>
      </c>
      <c r="H210" s="53">
        <f t="shared" si="52"/>
        <v>1</v>
      </c>
      <c r="I210" s="52">
        <f t="shared" si="53"/>
        <v>0.18862099460263179</v>
      </c>
    </row>
    <row r="211" spans="1:14" ht="12.75" customHeight="1" thickBot="1" x14ac:dyDescent="0.3">
      <c r="B211" s="38" t="s">
        <v>13</v>
      </c>
      <c r="C211" s="32">
        <f>SUM(C199:C210)</f>
        <v>2107.8397338717264</v>
      </c>
      <c r="D211" s="32">
        <f>SUM(D199:D210)</f>
        <v>3056914.4259173274</v>
      </c>
      <c r="E211" s="52">
        <f>SUM(E200:E210)</f>
        <v>1</v>
      </c>
      <c r="F211" s="52">
        <f>SUM(F200:F210)</f>
        <v>1</v>
      </c>
      <c r="G211" s="53"/>
      <c r="H211" s="53"/>
      <c r="I211" s="52">
        <f>SUM(I199:I210)</f>
        <v>0.69390437537506122</v>
      </c>
    </row>
    <row r="212" spans="1:14" ht="12.75" customHeight="1" thickBot="1" x14ac:dyDescent="0.3">
      <c r="B212" s="4"/>
      <c r="C212" s="4"/>
      <c r="D212" s="4"/>
      <c r="E212" s="51"/>
      <c r="F212" s="51"/>
      <c r="G212" s="51"/>
      <c r="H212" s="54"/>
      <c r="I212" s="54"/>
    </row>
    <row r="213" spans="1:14" ht="12.75" customHeight="1" thickBot="1" x14ac:dyDescent="0.3">
      <c r="B213" s="4"/>
      <c r="C213" s="4"/>
      <c r="D213" s="4"/>
      <c r="E213" s="51"/>
      <c r="F213" s="51"/>
      <c r="G213" s="56"/>
      <c r="H213" s="57" t="s">
        <v>33</v>
      </c>
      <c r="I213" s="53">
        <f>1-(2*I211)</f>
        <v>-0.38780875075012244</v>
      </c>
    </row>
    <row r="214" spans="1:14" ht="12.75" customHeight="1" x14ac:dyDescent="0.25"/>
    <row r="215" spans="1:14" ht="12.75" customHeight="1" x14ac:dyDescent="0.25"/>
    <row r="216" spans="1:14" ht="12.75" customHeight="1" x14ac:dyDescent="0.25"/>
    <row r="217" spans="1:14" ht="12.75" customHeight="1" x14ac:dyDescent="0.25"/>
    <row r="218" spans="1:14" ht="16.2" thickBot="1" x14ac:dyDescent="0.35">
      <c r="B218" s="209" t="s">
        <v>139</v>
      </c>
      <c r="C218" s="209"/>
      <c r="D218" s="209"/>
      <c r="E218" s="209"/>
      <c r="F218" s="209"/>
      <c r="G218" s="209"/>
      <c r="H218" s="209"/>
      <c r="I218" s="209"/>
    </row>
    <row r="219" spans="1:14" ht="27" thickBot="1" x14ac:dyDescent="0.3">
      <c r="A219" s="8"/>
      <c r="B219" s="30" t="s">
        <v>20</v>
      </c>
      <c r="C219" s="31" t="s">
        <v>43</v>
      </c>
      <c r="D219" s="37" t="s">
        <v>135</v>
      </c>
      <c r="E219" s="31" t="s">
        <v>16</v>
      </c>
      <c r="F219" s="31" t="s">
        <v>22</v>
      </c>
      <c r="G219" s="31" t="s">
        <v>18</v>
      </c>
      <c r="H219" s="31" t="s">
        <v>137</v>
      </c>
      <c r="I219" s="31" t="s">
        <v>21</v>
      </c>
      <c r="J219" s="8"/>
      <c r="K219" s="8"/>
      <c r="L219" s="8"/>
      <c r="M219" s="8"/>
      <c r="N219" s="8"/>
    </row>
    <row r="220" spans="1:14" ht="12.75" customHeight="1" x14ac:dyDescent="0.25">
      <c r="B220" s="4"/>
      <c r="C220" s="26">
        <v>0</v>
      </c>
      <c r="D220" s="26">
        <v>0</v>
      </c>
      <c r="E220" s="50">
        <v>0</v>
      </c>
      <c r="F220" s="50">
        <v>0</v>
      </c>
      <c r="G220" s="50">
        <v>0</v>
      </c>
      <c r="H220" s="51">
        <f>F220</f>
        <v>0</v>
      </c>
      <c r="I220" s="50">
        <v>0</v>
      </c>
    </row>
    <row r="221" spans="1:14" ht="12.75" customHeight="1" x14ac:dyDescent="0.25">
      <c r="B221" s="84" t="s">
        <v>1</v>
      </c>
      <c r="C221" s="86">
        <v>1.9832072109514134</v>
      </c>
      <c r="D221" s="29">
        <v>251430.37783690859</v>
      </c>
      <c r="E221" s="50">
        <f t="shared" ref="E221:E231" si="54">C221/$C$232</f>
        <v>3.5466968162584246E-2</v>
      </c>
      <c r="F221" s="50">
        <f t="shared" ref="F221:F231" si="55">D221/$D$232</f>
        <v>8.2249727275718124E-2</v>
      </c>
      <c r="G221" s="50">
        <f t="shared" ref="G221:G231" si="56">G220+E221</f>
        <v>3.5466968162584246E-2</v>
      </c>
      <c r="H221" s="51">
        <f t="shared" ref="H221:H231" si="57">F221+H220</f>
        <v>8.2249727275718124E-2</v>
      </c>
      <c r="I221" s="50">
        <f t="shared" ref="I221:I231" si="58">(G220+G221)*0.5*(H221-H220)</f>
        <v>1.4585742293345659E-3</v>
      </c>
    </row>
    <row r="222" spans="1:14" ht="12.75" customHeight="1" x14ac:dyDescent="0.25">
      <c r="B222" s="84" t="s">
        <v>2</v>
      </c>
      <c r="C222" s="86">
        <v>-2.1134039371138331</v>
      </c>
      <c r="D222" s="29">
        <v>1339764.2833351614</v>
      </c>
      <c r="E222" s="50">
        <f t="shared" si="54"/>
        <v>-3.7795359828455596E-2</v>
      </c>
      <c r="F222" s="50">
        <f t="shared" si="55"/>
        <v>0.43827340143259691</v>
      </c>
      <c r="G222" s="50">
        <f t="shared" si="56"/>
        <v>-2.3283916658713502E-3</v>
      </c>
      <c r="H222" s="51">
        <f t="shared" si="57"/>
        <v>0.52052312870831507</v>
      </c>
      <c r="I222" s="50">
        <f t="shared" si="58"/>
        <v>7.2618783199243373E-3</v>
      </c>
    </row>
    <row r="223" spans="1:14" ht="12.75" customHeight="1" x14ac:dyDescent="0.25">
      <c r="B223" s="84" t="s">
        <v>3</v>
      </c>
      <c r="C223" s="86">
        <v>-16.828155050388805</v>
      </c>
      <c r="D223" s="29">
        <v>617141.72101696266</v>
      </c>
      <c r="E223" s="50">
        <f t="shared" si="54"/>
        <v>-0.30094870375186078</v>
      </c>
      <c r="F223" s="50">
        <f t="shared" si="55"/>
        <v>0.20188387211126102</v>
      </c>
      <c r="G223" s="50">
        <f t="shared" si="56"/>
        <v>-0.30327709541773212</v>
      </c>
      <c r="H223" s="51">
        <f t="shared" si="57"/>
        <v>0.7224070008195761</v>
      </c>
      <c r="I223" s="50">
        <f t="shared" si="58"/>
        <v>-3.0848409535442916E-2</v>
      </c>
    </row>
    <row r="224" spans="1:14" ht="12.75" customHeight="1" x14ac:dyDescent="0.25">
      <c r="B224" s="84" t="s">
        <v>4</v>
      </c>
      <c r="C224" s="86">
        <v>3.2750912718752518</v>
      </c>
      <c r="D224" s="29">
        <v>20450.034940117202</v>
      </c>
      <c r="E224" s="50">
        <f t="shared" si="54"/>
        <v>5.8570560467774965E-2</v>
      </c>
      <c r="F224" s="50">
        <f t="shared" si="55"/>
        <v>6.6897636279041406E-3</v>
      </c>
      <c r="G224" s="50">
        <f t="shared" si="56"/>
        <v>-0.24470653494995714</v>
      </c>
      <c r="H224" s="51">
        <f t="shared" si="57"/>
        <v>0.72909676444748028</v>
      </c>
      <c r="I224" s="50">
        <f t="shared" si="58"/>
        <v>-1.8329404795603304E-3</v>
      </c>
    </row>
    <row r="225" spans="1:14" ht="12.75" customHeight="1" x14ac:dyDescent="0.25">
      <c r="B225" s="84" t="s">
        <v>5</v>
      </c>
      <c r="C225" s="86">
        <v>131.03557864571476</v>
      </c>
      <c r="D225" s="29">
        <v>24496.645034227455</v>
      </c>
      <c r="E225" s="50">
        <f t="shared" si="54"/>
        <v>2.3433934035384199</v>
      </c>
      <c r="F225" s="50">
        <f t="shared" si="55"/>
        <v>8.0135200470573958E-3</v>
      </c>
      <c r="G225" s="50">
        <f t="shared" si="56"/>
        <v>2.0986868685884628</v>
      </c>
      <c r="H225" s="51">
        <f t="shared" si="57"/>
        <v>0.73711028449453764</v>
      </c>
      <c r="I225" s="50">
        <f t="shared" si="58"/>
        <v>7.4284542852311236E-3</v>
      </c>
    </row>
    <row r="226" spans="1:14" ht="12.75" customHeight="1" x14ac:dyDescent="0.25">
      <c r="B226" s="84" t="s">
        <v>6</v>
      </c>
      <c r="C226" s="86">
        <v>16.052819884560293</v>
      </c>
      <c r="D226" s="29">
        <v>13199.085501550475</v>
      </c>
      <c r="E226" s="50">
        <f t="shared" si="54"/>
        <v>0.2870828870636592</v>
      </c>
      <c r="F226" s="50">
        <f t="shared" si="55"/>
        <v>4.3177805010323955E-3</v>
      </c>
      <c r="G226" s="50">
        <f t="shared" si="56"/>
        <v>2.385769755652122</v>
      </c>
      <c r="H226" s="51">
        <f t="shared" si="57"/>
        <v>0.74142806499557001</v>
      </c>
      <c r="I226" s="50">
        <f t="shared" si="58"/>
        <v>9.6814496849357331E-3</v>
      </c>
    </row>
    <row r="227" spans="1:14" ht="12.75" customHeight="1" x14ac:dyDescent="0.25">
      <c r="B227" s="84" t="s">
        <v>7</v>
      </c>
      <c r="C227" s="86">
        <v>1.5386391808328861</v>
      </c>
      <c r="D227" s="29">
        <v>20836.189535136225</v>
      </c>
      <c r="E227" s="50">
        <f t="shared" si="54"/>
        <v>2.7516472579849651E-2</v>
      </c>
      <c r="F227" s="50">
        <f t="shared" si="55"/>
        <v>6.8160853174303836E-3</v>
      </c>
      <c r="G227" s="50">
        <f t="shared" si="56"/>
        <v>2.4132862282319718</v>
      </c>
      <c r="H227" s="51">
        <f t="shared" si="57"/>
        <v>0.7482441503130004</v>
      </c>
      <c r="I227" s="50">
        <f t="shared" si="58"/>
        <v>1.6355387514639403E-2</v>
      </c>
    </row>
    <row r="228" spans="1:14" ht="12.75" customHeight="1" x14ac:dyDescent="0.25">
      <c r="B228" s="84" t="s">
        <v>8</v>
      </c>
      <c r="C228" s="86">
        <v>-15.946701336720173</v>
      </c>
      <c r="D228" s="29">
        <v>49475.746319971244</v>
      </c>
      <c r="E228" s="50">
        <f t="shared" si="54"/>
        <v>-0.28518510092365235</v>
      </c>
      <c r="F228" s="50">
        <f t="shared" si="55"/>
        <v>1.6184864679397896E-2</v>
      </c>
      <c r="G228" s="50">
        <f t="shared" si="56"/>
        <v>2.1281011273083195</v>
      </c>
      <c r="H228" s="51">
        <f t="shared" si="57"/>
        <v>0.76442901499239835</v>
      </c>
      <c r="I228" s="50">
        <f t="shared" si="58"/>
        <v>3.6750869903074253E-2</v>
      </c>
    </row>
    <row r="229" spans="1:14" ht="12.75" customHeight="1" x14ac:dyDescent="0.25">
      <c r="B229" s="84" t="s">
        <v>9</v>
      </c>
      <c r="C229" s="86">
        <v>-113.16668198295125</v>
      </c>
      <c r="D229" s="29">
        <v>119784.51078433092</v>
      </c>
      <c r="E229" s="50">
        <f t="shared" si="54"/>
        <v>-2.0238324491716257</v>
      </c>
      <c r="F229" s="50">
        <f t="shared" si="55"/>
        <v>3.9184777227902166E-2</v>
      </c>
      <c r="G229" s="50">
        <f t="shared" si="56"/>
        <v>0.10426867813669372</v>
      </c>
      <c r="H229" s="51">
        <f t="shared" si="57"/>
        <v>0.80361379222030049</v>
      </c>
      <c r="I229" s="50">
        <f t="shared" si="58"/>
        <v>4.3737456758329046E-2</v>
      </c>
    </row>
    <row r="230" spans="1:14" ht="12.75" customHeight="1" x14ac:dyDescent="0.25">
      <c r="B230" s="84" t="s">
        <v>10</v>
      </c>
      <c r="C230" s="86">
        <v>27.835036451662162</v>
      </c>
      <c r="D230" s="29">
        <v>237021.44592026682</v>
      </c>
      <c r="E230" s="50">
        <f t="shared" si="54"/>
        <v>0.49779183243382219</v>
      </c>
      <c r="F230" s="50">
        <f t="shared" si="55"/>
        <v>7.7536173047808091E-2</v>
      </c>
      <c r="G230" s="50">
        <f t="shared" si="56"/>
        <v>0.60206051057051591</v>
      </c>
      <c r="H230" s="51">
        <f t="shared" si="57"/>
        <v>0.88114996526810863</v>
      </c>
      <c r="I230" s="50">
        <f t="shared" si="58"/>
        <v>2.7383031102160064E-2</v>
      </c>
    </row>
    <row r="231" spans="1:14" ht="12.75" customHeight="1" thickBot="1" x14ac:dyDescent="0.3">
      <c r="B231" s="88" t="s">
        <v>11</v>
      </c>
      <c r="C231" s="89">
        <v>22.251590870161746</v>
      </c>
      <c r="D231" s="32">
        <v>363314.38569269452</v>
      </c>
      <c r="E231" s="52">
        <f t="shared" si="54"/>
        <v>0.39793948942948421</v>
      </c>
      <c r="F231" s="52">
        <f t="shared" si="55"/>
        <v>0.1188500347318915</v>
      </c>
      <c r="G231" s="52">
        <f t="shared" si="56"/>
        <v>1</v>
      </c>
      <c r="H231" s="53">
        <f t="shared" si="57"/>
        <v>1.0000000000000002</v>
      </c>
      <c r="I231" s="52">
        <f t="shared" si="58"/>
        <v>9.5202473661948894E-2</v>
      </c>
    </row>
    <row r="232" spans="1:14" ht="12.75" customHeight="1" thickBot="1" x14ac:dyDescent="0.3">
      <c r="B232" s="38" t="s">
        <v>13</v>
      </c>
      <c r="C232" s="32">
        <f>SUM(C220:C231)</f>
        <v>55.917021208584472</v>
      </c>
      <c r="D232" s="32">
        <f>SUM(D220:D231)</f>
        <v>3056914.4259173274</v>
      </c>
      <c r="E232" s="52">
        <f>SUM(E221:E231)</f>
        <v>1</v>
      </c>
      <c r="F232" s="52">
        <f>SUM(F221:F231)</f>
        <v>1.0000000000000002</v>
      </c>
      <c r="G232" s="53"/>
      <c r="H232" s="53"/>
      <c r="I232" s="52">
        <f>SUM(I220:I231)</f>
        <v>0.21257822544457416</v>
      </c>
    </row>
    <row r="233" spans="1:14" ht="12.75" customHeight="1" thickBot="1" x14ac:dyDescent="0.3">
      <c r="B233" s="4"/>
      <c r="C233" s="4"/>
      <c r="D233" s="4"/>
      <c r="E233" s="51"/>
      <c r="F233" s="51"/>
      <c r="G233" s="51"/>
      <c r="H233" s="54"/>
      <c r="I233" s="54"/>
    </row>
    <row r="234" spans="1:14" ht="12.75" customHeight="1" thickBot="1" x14ac:dyDescent="0.3">
      <c r="B234" s="4"/>
      <c r="C234" s="4"/>
      <c r="D234" s="4"/>
      <c r="E234" s="51"/>
      <c r="F234" s="51"/>
      <c r="G234" s="56"/>
      <c r="H234" s="57" t="s">
        <v>37</v>
      </c>
      <c r="I234" s="53">
        <f>1-(2*I232)</f>
        <v>0.57484354911085167</v>
      </c>
    </row>
    <row r="235" spans="1:14" ht="12.75" customHeight="1" x14ac:dyDescent="0.25"/>
    <row r="236" spans="1:14" ht="12.75" customHeight="1" x14ac:dyDescent="0.25"/>
    <row r="237" spans="1:14" ht="12.75" customHeight="1" x14ac:dyDescent="0.25"/>
    <row r="238" spans="1:14" ht="12.75" customHeight="1" x14ac:dyDescent="0.25"/>
    <row r="239" spans="1:14" ht="16.2" thickBot="1" x14ac:dyDescent="0.35">
      <c r="B239" s="209" t="s">
        <v>138</v>
      </c>
      <c r="C239" s="209"/>
      <c r="D239" s="209"/>
      <c r="E239" s="209"/>
      <c r="F239" s="209"/>
      <c r="G239" s="209"/>
      <c r="H239" s="209"/>
      <c r="I239" s="209"/>
    </row>
    <row r="240" spans="1:14" ht="27" thickBot="1" x14ac:dyDescent="0.3">
      <c r="A240" s="8"/>
      <c r="B240" s="30" t="s">
        <v>20</v>
      </c>
      <c r="C240" s="31" t="s">
        <v>44</v>
      </c>
      <c r="D240" s="37" t="s">
        <v>135</v>
      </c>
      <c r="E240" s="31" t="s">
        <v>16</v>
      </c>
      <c r="F240" s="31" t="s">
        <v>22</v>
      </c>
      <c r="G240" s="31" t="s">
        <v>18</v>
      </c>
      <c r="H240" s="31" t="s">
        <v>137</v>
      </c>
      <c r="I240" s="31" t="s">
        <v>21</v>
      </c>
      <c r="J240" s="8"/>
      <c r="K240" s="8"/>
      <c r="L240" s="8"/>
      <c r="M240" s="8"/>
      <c r="N240" s="8"/>
    </row>
    <row r="241" spans="2:9" ht="12.75" customHeight="1" x14ac:dyDescent="0.25">
      <c r="B241" s="4"/>
      <c r="C241" s="26">
        <v>0</v>
      </c>
      <c r="D241" s="26">
        <v>0</v>
      </c>
      <c r="E241" s="50">
        <v>0</v>
      </c>
      <c r="F241" s="50">
        <v>0</v>
      </c>
      <c r="G241" s="50">
        <v>0</v>
      </c>
      <c r="H241" s="51">
        <f>F241</f>
        <v>0</v>
      </c>
      <c r="I241" s="50">
        <v>0</v>
      </c>
    </row>
    <row r="242" spans="2:9" ht="12.75" customHeight="1" x14ac:dyDescent="0.25">
      <c r="B242" s="84" t="s">
        <v>1</v>
      </c>
      <c r="C242" s="29">
        <v>1.9832072109514134</v>
      </c>
      <c r="D242" s="29">
        <v>20450.034940117202</v>
      </c>
      <c r="E242" s="50">
        <f t="shared" ref="E242:E252" si="59">C242/$C$253</f>
        <v>1.0190307089459937E-2</v>
      </c>
      <c r="F242" s="50">
        <f t="shared" ref="F242:F252" si="60">D242/$D$253</f>
        <v>6.6897636279041406E-3</v>
      </c>
      <c r="G242" s="50">
        <f t="shared" ref="G242:G252" si="61">G241+E242</f>
        <v>1.0190307089459937E-2</v>
      </c>
      <c r="H242" s="51">
        <f t="shared" ref="H242:H252" si="62">F242+H241</f>
        <v>6.6897636279041406E-3</v>
      </c>
      <c r="I242" s="50">
        <f t="shared" ref="I242:I252" si="63">(G241+G242)*0.5*(H242-H241)</f>
        <v>3.4085372862121397E-5</v>
      </c>
    </row>
    <row r="243" spans="2:9" ht="12.75" customHeight="1" x14ac:dyDescent="0.25">
      <c r="B243" s="84" t="s">
        <v>2</v>
      </c>
      <c r="C243" s="29">
        <v>-2.1134039371138331</v>
      </c>
      <c r="D243" s="29">
        <v>24496.645034227455</v>
      </c>
      <c r="E243" s="50">
        <f t="shared" si="59"/>
        <v>-1.0859296499296187E-2</v>
      </c>
      <c r="F243" s="50">
        <f t="shared" si="60"/>
        <v>8.0135200470573958E-3</v>
      </c>
      <c r="G243" s="50">
        <f t="shared" si="61"/>
        <v>-6.6898940983625005E-4</v>
      </c>
      <c r="H243" s="51">
        <f t="shared" si="62"/>
        <v>1.4703283674961536E-2</v>
      </c>
      <c r="I243" s="50">
        <f t="shared" si="63"/>
        <v>3.8149635050033214E-5</v>
      </c>
    </row>
    <row r="244" spans="2:9" ht="12.75" customHeight="1" x14ac:dyDescent="0.25">
      <c r="B244" s="84" t="s">
        <v>3</v>
      </c>
      <c r="C244" s="29">
        <v>39.671844949611199</v>
      </c>
      <c r="D244" s="29">
        <v>13199.085501550475</v>
      </c>
      <c r="E244" s="50">
        <f t="shared" si="59"/>
        <v>0.20384571042782609</v>
      </c>
      <c r="F244" s="50">
        <f t="shared" si="60"/>
        <v>4.3177805010323955E-3</v>
      </c>
      <c r="G244" s="50">
        <f t="shared" si="61"/>
        <v>0.20317672101798984</v>
      </c>
      <c r="H244" s="51">
        <f t="shared" si="62"/>
        <v>1.9021064175993932E-2</v>
      </c>
      <c r="I244" s="50">
        <f t="shared" si="63"/>
        <v>4.3719196742299368E-4</v>
      </c>
    </row>
    <row r="245" spans="2:9" ht="12.75" customHeight="1" x14ac:dyDescent="0.25">
      <c r="B245" s="84" t="s">
        <v>4</v>
      </c>
      <c r="C245" s="29">
        <v>3.2750912718752518</v>
      </c>
      <c r="D245" s="29">
        <v>20836.189535136225</v>
      </c>
      <c r="E245" s="50">
        <f t="shared" si="59"/>
        <v>1.6828390710826424E-2</v>
      </c>
      <c r="F245" s="50">
        <f t="shared" si="60"/>
        <v>6.8160853174303836E-3</v>
      </c>
      <c r="G245" s="50">
        <f t="shared" si="61"/>
        <v>0.22000511172881626</v>
      </c>
      <c r="H245" s="51">
        <f t="shared" si="62"/>
        <v>2.5837149493424316E-2</v>
      </c>
      <c r="I245" s="50">
        <f t="shared" si="63"/>
        <v>1.4422217383943928E-3</v>
      </c>
    </row>
    <row r="246" spans="2:9" ht="12.75" customHeight="1" x14ac:dyDescent="0.25">
      <c r="B246" s="84" t="s">
        <v>5</v>
      </c>
      <c r="C246" s="29">
        <v>131.03557864571476</v>
      </c>
      <c r="D246" s="29">
        <v>617141.72101696266</v>
      </c>
      <c r="E246" s="50">
        <f t="shared" si="59"/>
        <v>0.67329968279226149</v>
      </c>
      <c r="F246" s="50">
        <f t="shared" si="60"/>
        <v>0.20188387211126102</v>
      </c>
      <c r="G246" s="50">
        <f t="shared" si="61"/>
        <v>0.89330479452107769</v>
      </c>
      <c r="H246" s="51">
        <f t="shared" si="62"/>
        <v>0.22772102160468533</v>
      </c>
      <c r="I246" s="50">
        <f t="shared" si="63"/>
        <v>0.11237965736677678</v>
      </c>
    </row>
    <row r="247" spans="2:9" ht="12.75" customHeight="1" x14ac:dyDescent="0.25">
      <c r="B247" s="84" t="s">
        <v>6</v>
      </c>
      <c r="C247" s="29">
        <v>16.052819884560293</v>
      </c>
      <c r="D247" s="29">
        <v>49475.746319971244</v>
      </c>
      <c r="E247" s="50">
        <f t="shared" si="59"/>
        <v>8.2484151616704582E-2</v>
      </c>
      <c r="F247" s="50">
        <f t="shared" si="60"/>
        <v>1.6184864679397896E-2</v>
      </c>
      <c r="G247" s="50">
        <f t="shared" si="61"/>
        <v>0.97578894613778222</v>
      </c>
      <c r="H247" s="51">
        <f t="shared" si="62"/>
        <v>0.24390588628408322</v>
      </c>
      <c r="I247" s="50">
        <f t="shared" si="63"/>
        <v>1.5125514632836633E-2</v>
      </c>
    </row>
    <row r="248" spans="2:9" ht="12.75" customHeight="1" x14ac:dyDescent="0.25">
      <c r="B248" s="84" t="s">
        <v>7</v>
      </c>
      <c r="C248" s="29">
        <v>5.3386391808328861</v>
      </c>
      <c r="D248" s="29">
        <v>1339764.2833351614</v>
      </c>
      <c r="E248" s="50">
        <f t="shared" si="59"/>
        <v>2.7431512144619141E-2</v>
      </c>
      <c r="F248" s="50">
        <f t="shared" si="60"/>
        <v>0.43827340143259691</v>
      </c>
      <c r="G248" s="50">
        <f t="shared" si="61"/>
        <v>1.0032204582824014</v>
      </c>
      <c r="H248" s="51">
        <f t="shared" si="62"/>
        <v>0.68217928771668013</v>
      </c>
      <c r="I248" s="50">
        <f t="shared" si="63"/>
        <v>0.43367359157116581</v>
      </c>
    </row>
    <row r="249" spans="2:9" ht="12.75" customHeight="1" x14ac:dyDescent="0.25">
      <c r="B249" s="84" t="s">
        <v>8</v>
      </c>
      <c r="C249" s="29">
        <v>17.853298663279823</v>
      </c>
      <c r="D249" s="29">
        <v>251430.37783690859</v>
      </c>
      <c r="E249" s="50">
        <f t="shared" si="59"/>
        <v>9.1735545803803109E-2</v>
      </c>
      <c r="F249" s="50">
        <f t="shared" si="60"/>
        <v>8.2249727275718124E-2</v>
      </c>
      <c r="G249" s="50">
        <f t="shared" si="61"/>
        <v>1.0949560040862045</v>
      </c>
      <c r="H249" s="51">
        <f t="shared" si="62"/>
        <v>0.76442901499239824</v>
      </c>
      <c r="I249" s="50">
        <f t="shared" si="63"/>
        <v>8.6287220903074432E-2</v>
      </c>
    </row>
    <row r="250" spans="2:9" ht="12.75" customHeight="1" x14ac:dyDescent="0.25">
      <c r="B250" s="84" t="s">
        <v>9</v>
      </c>
      <c r="C250" s="29">
        <v>-89.666681982951246</v>
      </c>
      <c r="D250" s="29">
        <v>119784.51078433092</v>
      </c>
      <c r="E250" s="50">
        <f t="shared" si="59"/>
        <v>-0.46073401712817957</v>
      </c>
      <c r="F250" s="50">
        <f t="shared" si="60"/>
        <v>3.9184777227902166E-2</v>
      </c>
      <c r="G250" s="50">
        <f t="shared" si="61"/>
        <v>0.63422198695802501</v>
      </c>
      <c r="H250" s="51">
        <f t="shared" si="62"/>
        <v>0.80361379222030038</v>
      </c>
      <c r="I250" s="50">
        <f t="shared" si="63"/>
        <v>3.3878727183229755E-2</v>
      </c>
    </row>
    <row r="251" spans="2:9" ht="12.75" customHeight="1" x14ac:dyDescent="0.25">
      <c r="B251" s="84" t="s">
        <v>10</v>
      </c>
      <c r="C251" s="29">
        <v>27.835036451662162</v>
      </c>
      <c r="D251" s="29">
        <v>363314.38569269452</v>
      </c>
      <c r="E251" s="50">
        <f t="shared" si="59"/>
        <v>0.14302467625290305</v>
      </c>
      <c r="F251" s="50">
        <f t="shared" si="60"/>
        <v>0.1188500347318915</v>
      </c>
      <c r="G251" s="50">
        <f t="shared" si="61"/>
        <v>0.77724666321092806</v>
      </c>
      <c r="H251" s="51">
        <f t="shared" si="62"/>
        <v>0.92246382695219187</v>
      </c>
      <c r="I251" s="50">
        <f t="shared" si="63"/>
        <v>8.3876549047778026E-2</v>
      </c>
    </row>
    <row r="252" spans="2:9" ht="12.75" customHeight="1" thickBot="1" x14ac:dyDescent="0.3">
      <c r="B252" s="88" t="s">
        <v>11</v>
      </c>
      <c r="C252" s="32">
        <v>43.351590870161743</v>
      </c>
      <c r="D252" s="32">
        <v>237021.44592026682</v>
      </c>
      <c r="E252" s="52">
        <f t="shared" si="59"/>
        <v>0.22275333678907178</v>
      </c>
      <c r="F252" s="52">
        <f t="shared" si="60"/>
        <v>7.7536173047808091E-2</v>
      </c>
      <c r="G252" s="52">
        <f t="shared" si="61"/>
        <v>0.99999999999999978</v>
      </c>
      <c r="H252" s="53">
        <f t="shared" si="62"/>
        <v>1</v>
      </c>
      <c r="I252" s="52">
        <f t="shared" si="63"/>
        <v>6.8900452413681035E-2</v>
      </c>
    </row>
    <row r="253" spans="2:9" ht="12.75" customHeight="1" thickBot="1" x14ac:dyDescent="0.3">
      <c r="B253" s="38" t="s">
        <v>13</v>
      </c>
      <c r="C253" s="32">
        <f>SUM(C241:C252)</f>
        <v>194.61702120858448</v>
      </c>
      <c r="D253" s="32">
        <f>SUM(D241:D252)</f>
        <v>3056914.4259173274</v>
      </c>
      <c r="E253" s="52">
        <f>SUM(E242:E252)</f>
        <v>0.99999999999999978</v>
      </c>
      <c r="F253" s="52">
        <f>SUM(F242:F252)</f>
        <v>1</v>
      </c>
      <c r="G253" s="53"/>
      <c r="H253" s="53"/>
      <c r="I253" s="52">
        <f>SUM(I241:I252)</f>
        <v>0.83607336183227188</v>
      </c>
    </row>
    <row r="254" spans="2:9" ht="12.75" customHeight="1" thickBot="1" x14ac:dyDescent="0.3">
      <c r="B254" s="4"/>
      <c r="C254" s="4"/>
      <c r="D254" s="4"/>
      <c r="E254" s="51"/>
      <c r="F254" s="51"/>
      <c r="G254" s="51"/>
      <c r="H254" s="54"/>
      <c r="I254" s="54"/>
    </row>
    <row r="255" spans="2:9" ht="12.75" customHeight="1" thickBot="1" x14ac:dyDescent="0.3">
      <c r="B255" s="4"/>
      <c r="C255" s="4"/>
      <c r="D255" s="4"/>
      <c r="E255" s="51"/>
      <c r="F255" s="51"/>
      <c r="G255" s="56"/>
      <c r="H255" s="58" t="s">
        <v>33</v>
      </c>
      <c r="I255" s="59">
        <f>1-(2*I253)</f>
        <v>-0.67214672366454375</v>
      </c>
    </row>
    <row r="256" spans="2:9" ht="12.6" customHeight="1" x14ac:dyDescent="0.25"/>
    <row r="257" spans="1:14" ht="12.6" customHeight="1" x14ac:dyDescent="0.25">
      <c r="A257" s="117" t="s">
        <v>131</v>
      </c>
      <c r="B257" s="117"/>
      <c r="C257" s="117"/>
      <c r="D257" s="117"/>
      <c r="E257" s="117"/>
      <c r="F257" s="117"/>
      <c r="G257" s="118"/>
      <c r="H257" s="118"/>
      <c r="I257" s="118"/>
    </row>
    <row r="258" spans="1:14" ht="12.75" customHeight="1" x14ac:dyDescent="0.25"/>
    <row r="259" spans="1:14" ht="16.2" thickBot="1" x14ac:dyDescent="0.35">
      <c r="B259" s="209" t="s">
        <v>128</v>
      </c>
      <c r="C259" s="209"/>
      <c r="D259" s="209"/>
      <c r="E259" s="209"/>
      <c r="F259" s="209"/>
      <c r="G259" s="209"/>
      <c r="H259" s="209"/>
      <c r="I259" s="209"/>
    </row>
    <row r="260" spans="1:14" ht="27" thickBot="1" x14ac:dyDescent="0.3">
      <c r="B260" s="36" t="s">
        <v>20</v>
      </c>
      <c r="C260" s="37" t="s">
        <v>108</v>
      </c>
      <c r="D260" s="37" t="s">
        <v>46</v>
      </c>
      <c r="E260" s="37" t="s">
        <v>106</v>
      </c>
      <c r="F260" s="37" t="s">
        <v>17</v>
      </c>
      <c r="G260" s="37" t="s">
        <v>107</v>
      </c>
      <c r="H260" s="37" t="s">
        <v>136</v>
      </c>
      <c r="I260" s="37" t="s">
        <v>21</v>
      </c>
      <c r="J260" s="8"/>
      <c r="K260" s="8"/>
      <c r="L260" s="8"/>
      <c r="M260" s="8"/>
      <c r="N260" s="8"/>
    </row>
    <row r="261" spans="1:14" ht="12.75" customHeight="1" x14ac:dyDescent="0.25">
      <c r="B261" s="4"/>
      <c r="C261" s="26">
        <v>0</v>
      </c>
      <c r="D261" s="26">
        <v>0</v>
      </c>
      <c r="E261" s="50">
        <f>C261/$C$82</f>
        <v>0</v>
      </c>
      <c r="F261" s="50">
        <v>0</v>
      </c>
      <c r="G261" s="50">
        <v>0</v>
      </c>
      <c r="H261" s="51">
        <f>F261</f>
        <v>0</v>
      </c>
      <c r="I261" s="50">
        <v>0</v>
      </c>
    </row>
    <row r="262" spans="1:14" ht="12.75" customHeight="1" x14ac:dyDescent="0.25">
      <c r="B262" s="84" t="s">
        <v>1</v>
      </c>
      <c r="C262" s="29">
        <v>1.8438464226736457</v>
      </c>
      <c r="D262" s="29">
        <v>1.2901100000000001</v>
      </c>
      <c r="E262" s="50">
        <f t="shared" ref="E262:E272" si="64">C262/$C$273</f>
        <v>4.8230826802841556E-3</v>
      </c>
      <c r="F262" s="50">
        <f t="shared" ref="F262:F272" si="65">D262/$D$273</f>
        <v>4.8230826802841548E-3</v>
      </c>
      <c r="G262" s="50">
        <f t="shared" ref="G262:G272" si="66">G261+E262</f>
        <v>4.8230826802841556E-3</v>
      </c>
      <c r="H262" s="51">
        <f t="shared" ref="H262:H272" si="67">F262+H261</f>
        <v>4.8230826802841548E-3</v>
      </c>
      <c r="I262" s="50">
        <f t="shared" ref="I262:I272" si="68">(G261+G262)*0.5*(H262-H261)</f>
        <v>1.1631063270428496E-5</v>
      </c>
    </row>
    <row r="263" spans="1:14" ht="12.75" customHeight="1" x14ac:dyDescent="0.25">
      <c r="B263" s="84" t="s">
        <v>2</v>
      </c>
      <c r="C263" s="29">
        <v>5.538651049031257</v>
      </c>
      <c r="D263" s="29">
        <v>3.8753060000000001</v>
      </c>
      <c r="E263" s="50">
        <f t="shared" si="64"/>
        <v>1.4487850841712155E-2</v>
      </c>
      <c r="F263" s="50">
        <f t="shared" si="65"/>
        <v>1.4487850841712153E-2</v>
      </c>
      <c r="G263" s="50">
        <f t="shared" si="66"/>
        <v>1.931093352199631E-2</v>
      </c>
      <c r="H263" s="51">
        <f t="shared" si="67"/>
        <v>1.931093352199631E-2</v>
      </c>
      <c r="I263" s="50">
        <f t="shared" si="68"/>
        <v>1.7482501347505189E-4</v>
      </c>
    </row>
    <row r="264" spans="1:14" ht="12.75" customHeight="1" x14ac:dyDescent="0.25">
      <c r="B264" s="84" t="s">
        <v>3</v>
      </c>
      <c r="C264" s="29">
        <v>8.8177394892008039</v>
      </c>
      <c r="D264" s="29">
        <v>6.169632</v>
      </c>
      <c r="E264" s="50">
        <f t="shared" si="64"/>
        <v>2.3065200054977399E-2</v>
      </c>
      <c r="F264" s="50">
        <f t="shared" si="65"/>
        <v>2.3065200054977395E-2</v>
      </c>
      <c r="G264" s="50">
        <f t="shared" si="66"/>
        <v>4.2376133576973708E-2</v>
      </c>
      <c r="H264" s="51">
        <f t="shared" si="67"/>
        <v>4.2376133576973701E-2</v>
      </c>
      <c r="I264" s="50">
        <f t="shared" si="68"/>
        <v>7.1141227172127864E-4</v>
      </c>
    </row>
    <row r="265" spans="1:14" ht="12.75" customHeight="1" x14ac:dyDescent="0.25">
      <c r="B265" s="84" t="s">
        <v>4</v>
      </c>
      <c r="C265" s="29">
        <v>15.586715156713844</v>
      </c>
      <c r="D265" s="29">
        <v>10.905776556851148</v>
      </c>
      <c r="E265" s="50">
        <f t="shared" si="64"/>
        <v>4.0771300142156665E-2</v>
      </c>
      <c r="F265" s="50">
        <f t="shared" si="65"/>
        <v>4.0771300142156658E-2</v>
      </c>
      <c r="G265" s="50">
        <f t="shared" si="66"/>
        <v>8.3147433719130373E-2</v>
      </c>
      <c r="H265" s="51">
        <f t="shared" si="67"/>
        <v>8.3147433719130359E-2</v>
      </c>
      <c r="I265" s="50">
        <f t="shared" si="68"/>
        <v>2.5588795185718296E-3</v>
      </c>
    </row>
    <row r="266" spans="1:14" ht="12.75" customHeight="1" x14ac:dyDescent="0.25">
      <c r="B266" s="84" t="s">
        <v>5</v>
      </c>
      <c r="C266" s="29">
        <v>16.330854480663376</v>
      </c>
      <c r="D266" s="29">
        <v>11.426439</v>
      </c>
      <c r="E266" s="50">
        <f t="shared" si="64"/>
        <v>4.2717799287055679E-2</v>
      </c>
      <c r="F266" s="50">
        <f t="shared" si="65"/>
        <v>4.2717799287055672E-2</v>
      </c>
      <c r="G266" s="50">
        <f t="shared" si="66"/>
        <v>0.12586523300618604</v>
      </c>
      <c r="H266" s="51">
        <f t="shared" si="67"/>
        <v>0.12586523300618602</v>
      </c>
      <c r="I266" s="50">
        <f t="shared" si="68"/>
        <v>4.4642805728121624E-3</v>
      </c>
    </row>
    <row r="267" spans="1:14" ht="12.75" customHeight="1" x14ac:dyDescent="0.25">
      <c r="B267" s="84" t="s">
        <v>6</v>
      </c>
      <c r="C267" s="29">
        <v>17.145216291868429</v>
      </c>
      <c r="D267" s="29">
        <v>11.996235</v>
      </c>
      <c r="E267" s="50">
        <f t="shared" si="64"/>
        <v>4.4847984479709939E-2</v>
      </c>
      <c r="F267" s="50">
        <f t="shared" si="65"/>
        <v>4.4847984479709932E-2</v>
      </c>
      <c r="G267" s="50">
        <f t="shared" si="66"/>
        <v>0.17071321748589599</v>
      </c>
      <c r="H267" s="51">
        <f t="shared" si="67"/>
        <v>0.17071321748589596</v>
      </c>
      <c r="I267" s="50">
        <f t="shared" si="68"/>
        <v>6.6504728723426601E-3</v>
      </c>
    </row>
    <row r="268" spans="1:14" ht="12.75" customHeight="1" x14ac:dyDescent="0.25">
      <c r="B268" s="84" t="s">
        <v>7</v>
      </c>
      <c r="C268" s="29">
        <v>28.216605721514604</v>
      </c>
      <c r="D268" s="29">
        <v>19.742709999999999</v>
      </c>
      <c r="E268" s="50">
        <f t="shared" si="64"/>
        <v>7.3808219967966132E-2</v>
      </c>
      <c r="F268" s="50">
        <f t="shared" si="65"/>
        <v>7.3808219967966118E-2</v>
      </c>
      <c r="G268" s="50">
        <f t="shared" si="66"/>
        <v>0.24452143745386212</v>
      </c>
      <c r="H268" s="51">
        <f t="shared" si="67"/>
        <v>0.24452143745386207</v>
      </c>
      <c r="I268" s="50">
        <f t="shared" si="68"/>
        <v>1.5323865375058084E-2</v>
      </c>
    </row>
    <row r="269" spans="1:14" ht="12.75" customHeight="1" x14ac:dyDescent="0.25">
      <c r="B269" s="84" t="s">
        <v>8</v>
      </c>
      <c r="C269" s="29">
        <v>52.856461523913048</v>
      </c>
      <c r="D269" s="29">
        <v>36.982824999999998</v>
      </c>
      <c r="E269" s="50">
        <f t="shared" si="64"/>
        <v>0.1382604760256721</v>
      </c>
      <c r="F269" s="50">
        <f t="shared" si="65"/>
        <v>0.1382604760256721</v>
      </c>
      <c r="G269" s="50">
        <f t="shared" si="66"/>
        <v>0.38278191347953422</v>
      </c>
      <c r="H269" s="51">
        <f t="shared" si="67"/>
        <v>0.38278191347953416</v>
      </c>
      <c r="I269" s="50">
        <f t="shared" si="68"/>
        <v>4.3365629956275305E-2</v>
      </c>
    </row>
    <row r="270" spans="1:14" ht="12.75" customHeight="1" x14ac:dyDescent="0.25">
      <c r="B270" s="84" t="s">
        <v>9</v>
      </c>
      <c r="C270" s="29">
        <v>56.071666847603638</v>
      </c>
      <c r="D270" s="29">
        <v>39.232453</v>
      </c>
      <c r="E270" s="50">
        <f t="shared" si="64"/>
        <v>0.14667072154262978</v>
      </c>
      <c r="F270" s="50">
        <f t="shared" si="65"/>
        <v>0.14667072154262978</v>
      </c>
      <c r="G270" s="50">
        <f t="shared" si="66"/>
        <v>0.529452635022164</v>
      </c>
      <c r="H270" s="51">
        <f t="shared" si="67"/>
        <v>0.529452635022164</v>
      </c>
      <c r="I270" s="50">
        <f t="shared" si="68"/>
        <v>6.6899049722429618E-2</v>
      </c>
    </row>
    <row r="271" spans="1:14" ht="12.75" customHeight="1" x14ac:dyDescent="0.25">
      <c r="B271" s="84" t="s">
        <v>10</v>
      </c>
      <c r="C271" s="29">
        <v>59.910705138752149</v>
      </c>
      <c r="D271" s="29">
        <v>41.918567000000003</v>
      </c>
      <c r="E271" s="50">
        <f t="shared" si="64"/>
        <v>0.15671277215123589</v>
      </c>
      <c r="F271" s="50">
        <f t="shared" si="65"/>
        <v>0.15671277215123589</v>
      </c>
      <c r="G271" s="50">
        <f t="shared" si="66"/>
        <v>0.68616540717339991</v>
      </c>
      <c r="H271" s="51">
        <f t="shared" si="67"/>
        <v>0.68616540717339991</v>
      </c>
      <c r="I271" s="50">
        <f t="shared" si="68"/>
        <v>9.525143663476246E-2</v>
      </c>
    </row>
    <row r="272" spans="1:14" ht="12.75" customHeight="1" thickBot="1" x14ac:dyDescent="0.3">
      <c r="B272" s="88" t="s">
        <v>11</v>
      </c>
      <c r="C272" s="32">
        <v>119.97778799439421</v>
      </c>
      <c r="D272" s="32">
        <v>83.946549000000005</v>
      </c>
      <c r="E272" s="52">
        <f t="shared" si="64"/>
        <v>0.3138345928266002</v>
      </c>
      <c r="F272" s="52">
        <f t="shared" si="65"/>
        <v>0.31383459282660014</v>
      </c>
      <c r="G272" s="52">
        <f t="shared" si="66"/>
        <v>1</v>
      </c>
      <c r="H272" s="53">
        <f t="shared" si="67"/>
        <v>1</v>
      </c>
      <c r="I272" s="52">
        <f t="shared" si="68"/>
        <v>0.26458851699928115</v>
      </c>
    </row>
    <row r="273" spans="2:14" ht="12.75" customHeight="1" thickBot="1" x14ac:dyDescent="0.3">
      <c r="B273" s="38" t="s">
        <v>13</v>
      </c>
      <c r="C273" s="32">
        <f>SUM(C261:C272)</f>
        <v>382.29625011632896</v>
      </c>
      <c r="D273" s="32">
        <f>SUM(D261:D272)</f>
        <v>267.48660255685115</v>
      </c>
      <c r="E273" s="52">
        <f>SUM(E262:E272)</f>
        <v>1</v>
      </c>
      <c r="F273" s="52">
        <f>SUM(F262:F272)</f>
        <v>1</v>
      </c>
      <c r="G273" s="53"/>
      <c r="H273" s="53"/>
      <c r="I273" s="52">
        <f>SUM(I261:I272)</f>
        <v>0.5</v>
      </c>
    </row>
    <row r="274" spans="2:14" ht="12.75" customHeight="1" thickBot="1" x14ac:dyDescent="0.3">
      <c r="B274" s="48"/>
      <c r="C274" s="29"/>
      <c r="D274" s="29"/>
      <c r="E274" s="26"/>
      <c r="F274" s="27"/>
      <c r="G274" s="4"/>
      <c r="H274" s="40"/>
      <c r="I274" s="34"/>
    </row>
    <row r="275" spans="2:14" ht="12.75" customHeight="1" thickBot="1" x14ac:dyDescent="0.3">
      <c r="B275" s="4"/>
      <c r="C275" s="4"/>
      <c r="D275" s="4"/>
      <c r="E275" s="4"/>
      <c r="F275" s="4"/>
      <c r="G275" s="5"/>
      <c r="H275" s="49" t="s">
        <v>42</v>
      </c>
      <c r="I275" s="62">
        <f>1-(2*I273)</f>
        <v>0</v>
      </c>
    </row>
    <row r="276" spans="2:14" ht="12.75" customHeight="1" x14ac:dyDescent="0.25">
      <c r="B276" s="4"/>
      <c r="C276" s="4"/>
      <c r="D276" s="4"/>
      <c r="E276" s="4"/>
      <c r="F276" s="4"/>
      <c r="G276" s="5"/>
      <c r="H276" s="112"/>
      <c r="I276" s="113"/>
    </row>
    <row r="277" spans="2:14" ht="12.75" customHeight="1" x14ac:dyDescent="0.25"/>
    <row r="278" spans="2:14" ht="12.75" customHeight="1" x14ac:dyDescent="0.25"/>
    <row r="279" spans="2:14" ht="16.2" thickBot="1" x14ac:dyDescent="0.35">
      <c r="B279" s="209" t="s">
        <v>127</v>
      </c>
      <c r="C279" s="209"/>
      <c r="D279" s="209"/>
      <c r="E279" s="209"/>
      <c r="F279" s="209"/>
      <c r="G279" s="209"/>
      <c r="H279" s="209"/>
      <c r="I279" s="209"/>
    </row>
    <row r="280" spans="2:14" ht="27" thickBot="1" x14ac:dyDescent="0.3">
      <c r="B280" s="30" t="s">
        <v>20</v>
      </c>
      <c r="C280" s="31" t="s">
        <v>44</v>
      </c>
      <c r="D280" s="31" t="s">
        <v>45</v>
      </c>
      <c r="E280" s="31" t="s">
        <v>16</v>
      </c>
      <c r="F280" s="31" t="s">
        <v>22</v>
      </c>
      <c r="G280" s="31" t="s">
        <v>18</v>
      </c>
      <c r="H280" s="31" t="s">
        <v>137</v>
      </c>
      <c r="I280" s="31" t="s">
        <v>21</v>
      </c>
      <c r="J280" s="8"/>
      <c r="K280" s="8"/>
      <c r="L280" s="8"/>
      <c r="M280" s="8"/>
      <c r="N280" s="8"/>
    </row>
    <row r="281" spans="2:14" ht="12.75" customHeight="1" x14ac:dyDescent="0.25">
      <c r="B281" s="4"/>
      <c r="C281" s="26">
        <v>0</v>
      </c>
      <c r="D281" s="26">
        <v>0</v>
      </c>
      <c r="E281" s="50">
        <v>0</v>
      </c>
      <c r="F281" s="50">
        <v>0</v>
      </c>
      <c r="G281" s="50">
        <v>0</v>
      </c>
      <c r="H281" s="51">
        <f>F281</f>
        <v>0</v>
      </c>
      <c r="I281" s="50">
        <v>0</v>
      </c>
    </row>
    <row r="282" spans="2:14" ht="12.75" customHeight="1" x14ac:dyDescent="0.25">
      <c r="B282" s="84" t="s">
        <v>1</v>
      </c>
      <c r="C282" s="29">
        <v>3.1742387574733155</v>
      </c>
      <c r="D282" s="29">
        <v>4549.0211045835576</v>
      </c>
      <c r="E282" s="50">
        <f t="shared" ref="E282:E292" si="69">C282/$C$293</f>
        <v>8.3030863015460532E-3</v>
      </c>
      <c r="F282" s="50">
        <f>D282/$D$293</f>
        <v>8.3030863015460549E-3</v>
      </c>
      <c r="G282" s="50">
        <f t="shared" ref="G282:G292" si="70">G281+E282</f>
        <v>8.3030863015460532E-3</v>
      </c>
      <c r="H282" s="51">
        <f t="shared" ref="H282:H292" si="71">F282+H281</f>
        <v>8.3030863015460549E-3</v>
      </c>
      <c r="I282" s="50">
        <f t="shared" ref="I282:I292" si="72">(G281+G282)*0.5*(H282-H281)</f>
        <v>3.4470621065460867E-5</v>
      </c>
    </row>
    <row r="283" spans="2:14" ht="12.75" customHeight="1" x14ac:dyDescent="0.25">
      <c r="B283" s="84" t="s">
        <v>2</v>
      </c>
      <c r="C283" s="29">
        <v>3.3071699632456633</v>
      </c>
      <c r="D283" s="29">
        <v>4739.5256339269945</v>
      </c>
      <c r="E283" s="50">
        <f t="shared" si="69"/>
        <v>8.6508040877704764E-3</v>
      </c>
      <c r="F283" s="50">
        <f t="shared" ref="F283:F292" si="73">D283/$D$293</f>
        <v>8.6508040877704764E-3</v>
      </c>
      <c r="G283" s="50">
        <f t="shared" si="70"/>
        <v>1.695389038931653E-2</v>
      </c>
      <c r="H283" s="51">
        <f t="shared" si="71"/>
        <v>1.695389038931653E-2</v>
      </c>
      <c r="I283" s="50">
        <f t="shared" si="72"/>
        <v>1.0924657860101881E-4</v>
      </c>
    </row>
    <row r="284" spans="2:14" ht="12.75" customHeight="1" x14ac:dyDescent="0.25">
      <c r="B284" s="84" t="s">
        <v>3</v>
      </c>
      <c r="C284" s="29">
        <v>5.2321473928615525</v>
      </c>
      <c r="D284" s="29">
        <v>7498.2226388555227</v>
      </c>
      <c r="E284" s="50">
        <f t="shared" si="69"/>
        <v>1.3686107021111144E-2</v>
      </c>
      <c r="F284" s="50">
        <f t="shared" si="73"/>
        <v>1.3686107021111144E-2</v>
      </c>
      <c r="G284" s="50">
        <f t="shared" si="70"/>
        <v>3.0639997410427673E-2</v>
      </c>
      <c r="H284" s="51">
        <f t="shared" si="71"/>
        <v>3.0639997410427673E-2</v>
      </c>
      <c r="I284" s="50">
        <f t="shared" si="72"/>
        <v>3.2568752098902754E-4</v>
      </c>
    </row>
    <row r="285" spans="2:14" ht="12.75" customHeight="1" x14ac:dyDescent="0.25">
      <c r="B285" s="84" t="s">
        <v>4</v>
      </c>
      <c r="C285" s="29">
        <v>5.8701907645866802</v>
      </c>
      <c r="D285" s="29">
        <v>8412.6065227973904</v>
      </c>
      <c r="E285" s="50">
        <f t="shared" si="69"/>
        <v>1.5355083296789959E-2</v>
      </c>
      <c r="F285" s="50">
        <f t="shared" si="73"/>
        <v>1.5355083296789959E-2</v>
      </c>
      <c r="G285" s="50">
        <f t="shared" si="70"/>
        <v>4.5995080707217632E-2</v>
      </c>
      <c r="H285" s="51">
        <f t="shared" si="71"/>
        <v>4.5995080707217632E-2</v>
      </c>
      <c r="I285" s="50">
        <f t="shared" si="72"/>
        <v>5.8836900397622456E-4</v>
      </c>
    </row>
    <row r="286" spans="2:14" ht="12.75" customHeight="1" x14ac:dyDescent="0.25">
      <c r="B286" s="84" t="s">
        <v>5</v>
      </c>
      <c r="C286" s="29">
        <v>8.8681882321860801</v>
      </c>
      <c r="D286" s="29">
        <v>12709.055149886017</v>
      </c>
      <c r="E286" s="50">
        <f t="shared" si="69"/>
        <v>2.3197162487174742E-2</v>
      </c>
      <c r="F286" s="50">
        <f t="shared" si="73"/>
        <v>2.3197162487174745E-2</v>
      </c>
      <c r="G286" s="50">
        <f t="shared" si="70"/>
        <v>6.9192243194392378E-2</v>
      </c>
      <c r="H286" s="51">
        <f t="shared" si="71"/>
        <v>6.9192243194392378E-2</v>
      </c>
      <c r="I286" s="50">
        <f t="shared" si="72"/>
        <v>1.3360095345042375E-3</v>
      </c>
    </row>
    <row r="287" spans="2:14" ht="12.75" customHeight="1" x14ac:dyDescent="0.25">
      <c r="B287" s="84" t="s">
        <v>6</v>
      </c>
      <c r="C287" s="29">
        <v>23.541960102129384</v>
      </c>
      <c r="D287" s="29">
        <v>33738.127951375733</v>
      </c>
      <c r="E287" s="50">
        <f t="shared" si="69"/>
        <v>6.1580410728501248E-2</v>
      </c>
      <c r="F287" s="50">
        <f t="shared" si="73"/>
        <v>6.1580410728501248E-2</v>
      </c>
      <c r="G287" s="50">
        <f t="shared" si="70"/>
        <v>0.13077265392289361</v>
      </c>
      <c r="H287" s="51">
        <f t="shared" si="71"/>
        <v>0.13077265392289361</v>
      </c>
      <c r="I287" s="50">
        <f t="shared" si="72"/>
        <v>6.1569602478824814E-3</v>
      </c>
    </row>
    <row r="288" spans="2:14" ht="12.75" customHeight="1" x14ac:dyDescent="0.25">
      <c r="B288" s="84" t="s">
        <v>7</v>
      </c>
      <c r="C288" s="29">
        <v>24.103681637214642</v>
      </c>
      <c r="D288" s="29">
        <v>34543.134541376516</v>
      </c>
      <c r="E288" s="50">
        <f t="shared" si="69"/>
        <v>6.3049746446323052E-2</v>
      </c>
      <c r="F288" s="50">
        <f t="shared" si="73"/>
        <v>6.3049746446323052E-2</v>
      </c>
      <c r="G288" s="50">
        <f t="shared" si="70"/>
        <v>0.19382240036921666</v>
      </c>
      <c r="H288" s="51">
        <f t="shared" si="71"/>
        <v>0.19382240036921666</v>
      </c>
      <c r="I288" s="50">
        <f t="shared" si="72"/>
        <v>1.0232817935424009E-2</v>
      </c>
    </row>
    <row r="289" spans="1:14" ht="12.75" customHeight="1" x14ac:dyDescent="0.25">
      <c r="B289" s="84" t="s">
        <v>8</v>
      </c>
      <c r="C289" s="29">
        <v>30.163104144712033</v>
      </c>
      <c r="D289" s="29">
        <v>43226.930239887697</v>
      </c>
      <c r="E289" s="50">
        <f t="shared" si="69"/>
        <v>7.8899816923481969E-2</v>
      </c>
      <c r="F289" s="50">
        <f t="shared" si="73"/>
        <v>7.8899816923481969E-2</v>
      </c>
      <c r="G289" s="50">
        <f t="shared" si="70"/>
        <v>0.27272221729269863</v>
      </c>
      <c r="H289" s="51">
        <f t="shared" si="71"/>
        <v>0.27272221729269863</v>
      </c>
      <c r="I289" s="50">
        <f t="shared" si="72"/>
        <v>1.8405142460080504E-2</v>
      </c>
    </row>
    <row r="290" spans="1:14" ht="12.75" customHeight="1" x14ac:dyDescent="0.25">
      <c r="B290" s="84" t="s">
        <v>9</v>
      </c>
      <c r="C290" s="29">
        <v>48.434018064412065</v>
      </c>
      <c r="D290" s="29">
        <v>69411.089457609574</v>
      </c>
      <c r="E290" s="50">
        <f t="shared" si="69"/>
        <v>0.12669237024865942</v>
      </c>
      <c r="F290" s="50">
        <f t="shared" si="73"/>
        <v>0.12669237024865945</v>
      </c>
      <c r="G290" s="50">
        <f t="shared" si="70"/>
        <v>0.39941458754135806</v>
      </c>
      <c r="H290" s="51">
        <f t="shared" si="71"/>
        <v>0.39941458754135806</v>
      </c>
      <c r="I290" s="50">
        <f t="shared" si="72"/>
        <v>4.2577302467893624E-2</v>
      </c>
    </row>
    <row r="291" spans="1:14" ht="12.75" customHeight="1" x14ac:dyDescent="0.25">
      <c r="B291" s="84" t="s">
        <v>10</v>
      </c>
      <c r="C291" s="29">
        <v>104.51055796997203</v>
      </c>
      <c r="D291" s="29">
        <v>149774.72401466093</v>
      </c>
      <c r="E291" s="50">
        <f t="shared" si="69"/>
        <v>0.273375838602054</v>
      </c>
      <c r="F291" s="50">
        <f t="shared" si="73"/>
        <v>0.273375838602054</v>
      </c>
      <c r="G291" s="50">
        <f t="shared" si="70"/>
        <v>0.67279042614341211</v>
      </c>
      <c r="H291" s="51">
        <f t="shared" si="71"/>
        <v>0.67279042614341211</v>
      </c>
      <c r="I291" s="50">
        <f t="shared" si="72"/>
        <v>0.14655747238470043</v>
      </c>
    </row>
    <row r="292" spans="1:14" ht="12.75" customHeight="1" thickBot="1" x14ac:dyDescent="0.3">
      <c r="B292" s="88" t="s">
        <v>11</v>
      </c>
      <c r="C292" s="32">
        <v>125.09099308753558</v>
      </c>
      <c r="D292" s="32">
        <v>179268.67227891536</v>
      </c>
      <c r="E292" s="52">
        <f t="shared" si="69"/>
        <v>0.32720957385658794</v>
      </c>
      <c r="F292" s="52">
        <f t="shared" si="73"/>
        <v>0.327209573856588</v>
      </c>
      <c r="G292" s="52">
        <f t="shared" si="70"/>
        <v>1</v>
      </c>
      <c r="H292" s="53">
        <f t="shared" si="71"/>
        <v>1</v>
      </c>
      <c r="I292" s="52">
        <f t="shared" si="72"/>
        <v>0.27367652124488295</v>
      </c>
    </row>
    <row r="293" spans="1:14" ht="12.75" customHeight="1" thickBot="1" x14ac:dyDescent="0.3">
      <c r="B293" s="38" t="s">
        <v>13</v>
      </c>
      <c r="C293" s="32">
        <f>SUM(C281:C292)</f>
        <v>382.29625011632902</v>
      </c>
      <c r="D293" s="32">
        <f>SUM(D281:D292)</f>
        <v>547871.10953387525</v>
      </c>
      <c r="E293" s="52">
        <f>SUM(E282:E292)</f>
        <v>1</v>
      </c>
      <c r="F293" s="52">
        <f>SUM(F282:F292)</f>
        <v>1</v>
      </c>
      <c r="G293" s="53"/>
      <c r="H293" s="53"/>
      <c r="I293" s="52">
        <f>SUM(I281:I292)</f>
        <v>0.5</v>
      </c>
    </row>
    <row r="294" spans="1:14" ht="12.75" customHeight="1" thickBot="1" x14ac:dyDescent="0.3">
      <c r="B294" s="4"/>
      <c r="C294" s="4"/>
      <c r="D294" s="4"/>
      <c r="E294" s="51"/>
      <c r="F294" s="51"/>
      <c r="G294" s="51"/>
      <c r="H294" s="54"/>
      <c r="I294" s="54"/>
    </row>
    <row r="295" spans="1:14" ht="12.75" customHeight="1" thickBot="1" x14ac:dyDescent="0.3">
      <c r="B295" s="4"/>
      <c r="C295" s="4"/>
      <c r="D295" s="4"/>
      <c r="E295" s="51"/>
      <c r="F295" s="51"/>
      <c r="G295" s="56"/>
      <c r="H295" s="58" t="s">
        <v>33</v>
      </c>
      <c r="I295" s="59">
        <f>1-(2*I293)</f>
        <v>0</v>
      </c>
    </row>
    <row r="296" spans="1:14" ht="12.75" customHeight="1" x14ac:dyDescent="0.25"/>
    <row r="297" spans="1:14" ht="12.75" customHeight="1" x14ac:dyDescent="0.25"/>
    <row r="298" spans="1:14" ht="12.75" customHeight="1" x14ac:dyDescent="0.25"/>
    <row r="299" spans="1:14" ht="12.75" customHeight="1" x14ac:dyDescent="0.25">
      <c r="A299" s="117" t="s">
        <v>141</v>
      </c>
      <c r="B299" s="118"/>
      <c r="C299" s="118"/>
      <c r="D299" s="118"/>
      <c r="E299" s="118"/>
      <c r="F299" s="118"/>
      <c r="G299" s="118"/>
      <c r="H299" s="118"/>
      <c r="I299" s="118"/>
    </row>
    <row r="300" spans="1:14" ht="12.75" customHeight="1" x14ac:dyDescent="0.25"/>
    <row r="301" spans="1:14" ht="16.2" thickBot="1" x14ac:dyDescent="0.35">
      <c r="B301" s="209" t="s">
        <v>147</v>
      </c>
      <c r="C301" s="209"/>
      <c r="D301" s="209"/>
      <c r="E301" s="209"/>
      <c r="F301" s="209"/>
      <c r="G301" s="209"/>
      <c r="H301" s="209"/>
      <c r="I301" s="209"/>
    </row>
    <row r="302" spans="1:14" ht="27" thickBot="1" x14ac:dyDescent="0.3">
      <c r="B302" s="36" t="s">
        <v>20</v>
      </c>
      <c r="C302" s="37" t="s">
        <v>108</v>
      </c>
      <c r="D302" s="37" t="s">
        <v>46</v>
      </c>
      <c r="E302" s="37" t="s">
        <v>106</v>
      </c>
      <c r="F302" s="37" t="s">
        <v>17</v>
      </c>
      <c r="G302" s="37" t="s">
        <v>107</v>
      </c>
      <c r="H302" s="37" t="s">
        <v>136</v>
      </c>
      <c r="I302" s="37" t="s">
        <v>21</v>
      </c>
      <c r="J302" s="8"/>
      <c r="K302" s="8"/>
      <c r="L302" s="8"/>
      <c r="M302" s="8"/>
      <c r="N302" s="8"/>
    </row>
    <row r="303" spans="1:14" ht="12.75" customHeight="1" x14ac:dyDescent="0.25">
      <c r="B303" s="4"/>
      <c r="C303" s="26">
        <v>0</v>
      </c>
      <c r="D303" s="26">
        <v>0</v>
      </c>
      <c r="E303" s="50">
        <f>C303/$C$82</f>
        <v>0</v>
      </c>
      <c r="F303" s="50">
        <v>0</v>
      </c>
      <c r="G303" s="50">
        <v>0</v>
      </c>
      <c r="H303" s="51">
        <f>F303</f>
        <v>0</v>
      </c>
      <c r="I303" s="50">
        <v>0</v>
      </c>
    </row>
    <row r="304" spans="1:14" ht="12.75" customHeight="1" x14ac:dyDescent="0.25">
      <c r="B304" s="84" t="s">
        <v>1</v>
      </c>
      <c r="C304" s="29">
        <v>34.754204556029912</v>
      </c>
      <c r="D304" s="17">
        <v>6.169632</v>
      </c>
      <c r="E304" s="50">
        <f t="shared" ref="E304:E314" si="74">C304/$C$315</f>
        <v>9.0909090909090925E-2</v>
      </c>
      <c r="F304" s="50">
        <f t="shared" ref="F304:F314" si="75">D304/$D$315</f>
        <v>2.3065200054977395E-2</v>
      </c>
      <c r="G304" s="50">
        <f t="shared" ref="G304:G314" si="76">G303+E304</f>
        <v>9.0909090909090925E-2</v>
      </c>
      <c r="H304" s="51">
        <f t="shared" ref="H304:H314" si="77">F304+H303</f>
        <v>2.3065200054977395E-2</v>
      </c>
      <c r="I304" s="50">
        <f t="shared" ref="I304:I314" si="78">(G303+G304)*0.5*(H304-H303)</f>
        <v>1.0484181843171546E-3</v>
      </c>
    </row>
    <row r="305" spans="2:9" ht="12.75" customHeight="1" x14ac:dyDescent="0.25">
      <c r="B305" s="84" t="s">
        <v>2</v>
      </c>
      <c r="C305" s="29">
        <v>34.754204556029912</v>
      </c>
      <c r="D305" s="17">
        <v>3.8753060000000001</v>
      </c>
      <c r="E305" s="50">
        <f t="shared" si="74"/>
        <v>9.0909090909090925E-2</v>
      </c>
      <c r="F305" s="50">
        <f t="shared" si="75"/>
        <v>1.4487850841712153E-2</v>
      </c>
      <c r="G305" s="50">
        <f t="shared" si="76"/>
        <v>0.18181818181818185</v>
      </c>
      <c r="H305" s="51">
        <f t="shared" si="77"/>
        <v>3.7553050896689547E-2</v>
      </c>
      <c r="I305" s="50">
        <f t="shared" si="78"/>
        <v>1.9756160238698392E-3</v>
      </c>
    </row>
    <row r="306" spans="2:9" ht="12.75" customHeight="1" x14ac:dyDescent="0.25">
      <c r="B306" s="84" t="s">
        <v>3</v>
      </c>
      <c r="C306" s="29">
        <v>34.754204556029912</v>
      </c>
      <c r="D306" s="130">
        <v>83.946549000000005</v>
      </c>
      <c r="E306" s="50">
        <f t="shared" si="74"/>
        <v>9.0909090909090925E-2</v>
      </c>
      <c r="F306" s="50">
        <f t="shared" si="75"/>
        <v>0.31383459282660014</v>
      </c>
      <c r="G306" s="50">
        <f t="shared" si="76"/>
        <v>0.27272727272727276</v>
      </c>
      <c r="H306" s="51">
        <f t="shared" si="77"/>
        <v>0.35138764372328968</v>
      </c>
      <c r="I306" s="50">
        <f t="shared" si="78"/>
        <v>7.1326043824227317E-2</v>
      </c>
    </row>
    <row r="307" spans="2:9" ht="12.75" customHeight="1" x14ac:dyDescent="0.25">
      <c r="B307" s="84" t="s">
        <v>4</v>
      </c>
      <c r="C307" s="29">
        <v>34.754204556029912</v>
      </c>
      <c r="D307" s="17">
        <v>1.2901100000000001</v>
      </c>
      <c r="E307" s="50">
        <f t="shared" si="74"/>
        <v>9.0909090909090925E-2</v>
      </c>
      <c r="F307" s="50">
        <f t="shared" si="75"/>
        <v>4.8230826802841548E-3</v>
      </c>
      <c r="G307" s="50">
        <f t="shared" si="76"/>
        <v>0.3636363636363637</v>
      </c>
      <c r="H307" s="51">
        <f t="shared" si="77"/>
        <v>0.35621072640357382</v>
      </c>
      <c r="I307" s="50">
        <f t="shared" si="78"/>
        <v>1.5346172164540451E-3</v>
      </c>
    </row>
    <row r="308" spans="2:9" ht="12.75" customHeight="1" x14ac:dyDescent="0.25">
      <c r="B308" s="84" t="s">
        <v>5</v>
      </c>
      <c r="C308" s="29">
        <v>34.754204556029912</v>
      </c>
      <c r="D308" s="17">
        <v>39.232453</v>
      </c>
      <c r="E308" s="50">
        <f t="shared" si="74"/>
        <v>9.0909090909090925E-2</v>
      </c>
      <c r="F308" s="50">
        <f t="shared" si="75"/>
        <v>0.14667072154262978</v>
      </c>
      <c r="G308" s="50">
        <f t="shared" si="76"/>
        <v>0.45454545454545464</v>
      </c>
      <c r="H308" s="51">
        <f t="shared" si="77"/>
        <v>0.5028814479462036</v>
      </c>
      <c r="I308" s="50">
        <f t="shared" si="78"/>
        <v>6.0001658812894015E-2</v>
      </c>
    </row>
    <row r="309" spans="2:9" ht="12.75" customHeight="1" x14ac:dyDescent="0.25">
      <c r="B309" s="84" t="s">
        <v>6</v>
      </c>
      <c r="C309" s="29">
        <v>34.754204556029912</v>
      </c>
      <c r="D309" s="17">
        <v>19.742709999999999</v>
      </c>
      <c r="E309" s="50">
        <f t="shared" si="74"/>
        <v>9.0909090909090925E-2</v>
      </c>
      <c r="F309" s="50">
        <f t="shared" si="75"/>
        <v>7.3808219967966118E-2</v>
      </c>
      <c r="G309" s="50">
        <f t="shared" si="76"/>
        <v>0.54545454545454553</v>
      </c>
      <c r="H309" s="51">
        <f t="shared" si="77"/>
        <v>0.57668966791416976</v>
      </c>
      <c r="I309" s="50">
        <f t="shared" si="78"/>
        <v>3.6904109983983087E-2</v>
      </c>
    </row>
    <row r="310" spans="2:9" ht="12.75" customHeight="1" x14ac:dyDescent="0.25">
      <c r="B310" s="84" t="s">
        <v>7</v>
      </c>
      <c r="C310" s="29">
        <v>34.754204556029912</v>
      </c>
      <c r="D310" s="17">
        <v>11.426439</v>
      </c>
      <c r="E310" s="50">
        <f t="shared" si="74"/>
        <v>9.0909090909090925E-2</v>
      </c>
      <c r="F310" s="50">
        <f t="shared" si="75"/>
        <v>4.2717799287055672E-2</v>
      </c>
      <c r="G310" s="50">
        <f t="shared" si="76"/>
        <v>0.63636363636363646</v>
      </c>
      <c r="H310" s="51">
        <f t="shared" si="77"/>
        <v>0.61940746720122541</v>
      </c>
      <c r="I310" s="50">
        <f t="shared" si="78"/>
        <v>2.5242335942351077E-2</v>
      </c>
    </row>
    <row r="311" spans="2:9" ht="12.75" customHeight="1" x14ac:dyDescent="0.25">
      <c r="B311" s="84" t="s">
        <v>8</v>
      </c>
      <c r="C311" s="29">
        <v>34.754204556029912</v>
      </c>
      <c r="D311" s="17">
        <v>36.982824999999998</v>
      </c>
      <c r="E311" s="50">
        <f t="shared" si="74"/>
        <v>9.0909090909090925E-2</v>
      </c>
      <c r="F311" s="50">
        <f t="shared" si="75"/>
        <v>0.1382604760256721</v>
      </c>
      <c r="G311" s="50">
        <f t="shared" si="76"/>
        <v>0.7272727272727274</v>
      </c>
      <c r="H311" s="51">
        <f t="shared" si="77"/>
        <v>0.75766794322689757</v>
      </c>
      <c r="I311" s="50">
        <f t="shared" si="78"/>
        <v>9.4268506381140107E-2</v>
      </c>
    </row>
    <row r="312" spans="2:9" ht="12.75" customHeight="1" x14ac:dyDescent="0.25">
      <c r="B312" s="84" t="s">
        <v>9</v>
      </c>
      <c r="C312" s="29">
        <v>34.754204556029912</v>
      </c>
      <c r="D312" s="17">
        <v>10.905776556851148</v>
      </c>
      <c r="E312" s="50">
        <f t="shared" si="74"/>
        <v>9.0909090909090925E-2</v>
      </c>
      <c r="F312" s="50">
        <f t="shared" si="75"/>
        <v>4.0771300142156658E-2</v>
      </c>
      <c r="G312" s="50">
        <f t="shared" si="76"/>
        <v>0.81818181818181834</v>
      </c>
      <c r="H312" s="51">
        <f t="shared" si="77"/>
        <v>0.79843924336905425</v>
      </c>
      <c r="I312" s="50">
        <f t="shared" si="78"/>
        <v>3.1505095564393813E-2</v>
      </c>
    </row>
    <row r="313" spans="2:9" ht="12.75" customHeight="1" x14ac:dyDescent="0.25">
      <c r="B313" s="84" t="s">
        <v>10</v>
      </c>
      <c r="C313" s="29">
        <v>34.754204556029912</v>
      </c>
      <c r="D313" s="130">
        <v>11.996235</v>
      </c>
      <c r="E313" s="50">
        <f t="shared" si="74"/>
        <v>9.0909090909090925E-2</v>
      </c>
      <c r="F313" s="50">
        <f t="shared" si="75"/>
        <v>4.4847984479709932E-2</v>
      </c>
      <c r="G313" s="50">
        <f t="shared" si="76"/>
        <v>0.90909090909090928</v>
      </c>
      <c r="H313" s="51">
        <f t="shared" si="77"/>
        <v>0.8432872278487642</v>
      </c>
      <c r="I313" s="50">
        <f t="shared" si="78"/>
        <v>3.873235023247678E-2</v>
      </c>
    </row>
    <row r="314" spans="2:9" ht="12.75" customHeight="1" thickBot="1" x14ac:dyDescent="0.3">
      <c r="B314" s="88" t="s">
        <v>11</v>
      </c>
      <c r="C314" s="32">
        <v>34.754204556029912</v>
      </c>
      <c r="D314" s="123">
        <v>41.918567000000003</v>
      </c>
      <c r="E314" s="52">
        <f t="shared" si="74"/>
        <v>9.0909090909090925E-2</v>
      </c>
      <c r="F314" s="52">
        <f t="shared" si="75"/>
        <v>0.15671277215123589</v>
      </c>
      <c r="G314" s="52">
        <f t="shared" si="76"/>
        <v>1.0000000000000002</v>
      </c>
      <c r="H314" s="53">
        <f t="shared" si="77"/>
        <v>1</v>
      </c>
      <c r="I314" s="52">
        <f t="shared" si="78"/>
        <v>0.14958946432617967</v>
      </c>
    </row>
    <row r="315" spans="2:9" ht="12.75" customHeight="1" thickBot="1" x14ac:dyDescent="0.3">
      <c r="B315" s="38" t="s">
        <v>13</v>
      </c>
      <c r="C315" s="32">
        <f>SUM(C303:C314)</f>
        <v>382.29625011632896</v>
      </c>
      <c r="D315" s="32">
        <f>SUM(D303:D314)</f>
        <v>267.48660255685115</v>
      </c>
      <c r="E315" s="52">
        <f>SUM(E304:E314)</f>
        <v>1.0000000000000002</v>
      </c>
      <c r="F315" s="52">
        <f>SUM(F304:F314)</f>
        <v>1</v>
      </c>
      <c r="G315" s="53"/>
      <c r="H315" s="53"/>
      <c r="I315" s="52">
        <f>SUM(I303:I314)</f>
        <v>0.5121282164922869</v>
      </c>
    </row>
    <row r="316" spans="2:9" ht="12.75" customHeight="1" thickBot="1" x14ac:dyDescent="0.3">
      <c r="B316" s="48"/>
      <c r="C316" s="29"/>
      <c r="D316" s="29"/>
      <c r="E316" s="26"/>
      <c r="F316" s="27"/>
      <c r="G316" s="4"/>
      <c r="H316" s="40"/>
      <c r="I316" s="34"/>
    </row>
    <row r="317" spans="2:9" ht="12.75" customHeight="1" thickBot="1" x14ac:dyDescent="0.3">
      <c r="B317" s="4"/>
      <c r="C317" s="4"/>
      <c r="D317" s="4"/>
      <c r="E317" s="4"/>
      <c r="F317" s="4"/>
      <c r="G317" s="5"/>
      <c r="H317" s="49" t="s">
        <v>42</v>
      </c>
      <c r="I317" s="62">
        <f>1-(2*I315)</f>
        <v>-2.4256432984573806E-2</v>
      </c>
    </row>
    <row r="318" spans="2:9" ht="12.75" customHeight="1" x14ac:dyDescent="0.25">
      <c r="B318" s="4"/>
      <c r="C318" s="4"/>
      <c r="D318" s="4"/>
      <c r="E318" s="4"/>
      <c r="F318" s="4"/>
      <c r="G318" s="5"/>
      <c r="H318" s="112"/>
      <c r="I318" s="113"/>
    </row>
    <row r="319" spans="2:9" ht="12.75" customHeight="1" x14ac:dyDescent="0.25">
      <c r="B319" s="4"/>
      <c r="C319" s="4"/>
      <c r="D319" s="4"/>
      <c r="E319" s="4"/>
      <c r="F319" s="4"/>
      <c r="G319" s="5"/>
      <c r="H319" s="112"/>
      <c r="I319" s="113"/>
    </row>
    <row r="320" spans="2:9" ht="12.75" customHeight="1" x14ac:dyDescent="0.25">
      <c r="B320" s="4"/>
      <c r="C320" s="4"/>
      <c r="D320" s="4"/>
      <c r="E320" s="4"/>
      <c r="F320" s="4"/>
      <c r="G320" s="5"/>
      <c r="H320" s="112"/>
      <c r="I320" s="113"/>
    </row>
    <row r="321" spans="2:14" ht="12.75" customHeight="1" x14ac:dyDescent="0.25">
      <c r="B321" s="4"/>
      <c r="C321" s="4"/>
      <c r="D321" s="4"/>
      <c r="E321" s="4"/>
      <c r="F321" s="4"/>
      <c r="G321" s="5"/>
      <c r="H321" s="112"/>
      <c r="I321" s="113"/>
    </row>
    <row r="322" spans="2:14" ht="16.2" thickBot="1" x14ac:dyDescent="0.35">
      <c r="B322" s="209" t="s">
        <v>148</v>
      </c>
      <c r="C322" s="209"/>
      <c r="D322" s="209"/>
      <c r="E322" s="209"/>
      <c r="F322" s="209"/>
      <c r="G322" s="209"/>
      <c r="H322" s="209"/>
      <c r="I322" s="209"/>
    </row>
    <row r="323" spans="2:14" ht="27" thickBot="1" x14ac:dyDescent="0.3">
      <c r="B323" s="30" t="s">
        <v>20</v>
      </c>
      <c r="C323" s="31" t="s">
        <v>44</v>
      </c>
      <c r="D323" s="31" t="s">
        <v>149</v>
      </c>
      <c r="E323" s="31" t="s">
        <v>16</v>
      </c>
      <c r="F323" s="31" t="s">
        <v>22</v>
      </c>
      <c r="G323" s="31" t="s">
        <v>18</v>
      </c>
      <c r="H323" s="31" t="s">
        <v>137</v>
      </c>
      <c r="I323" s="31" t="s">
        <v>21</v>
      </c>
      <c r="J323" s="8"/>
      <c r="K323" s="8"/>
      <c r="L323" s="8"/>
      <c r="M323" s="8"/>
      <c r="N323" s="8"/>
    </row>
    <row r="324" spans="2:14" ht="12.75" customHeight="1" x14ac:dyDescent="0.25">
      <c r="B324" s="4"/>
      <c r="C324" s="26">
        <v>0</v>
      </c>
      <c r="D324" s="26">
        <v>0</v>
      </c>
      <c r="E324" s="50">
        <v>0</v>
      </c>
      <c r="F324" s="50">
        <v>0</v>
      </c>
      <c r="G324" s="50">
        <v>0</v>
      </c>
      <c r="H324" s="51">
        <f>F324</f>
        <v>0</v>
      </c>
      <c r="I324" s="50">
        <v>0</v>
      </c>
    </row>
    <row r="325" spans="2:14" ht="12.75" customHeight="1" x14ac:dyDescent="0.25">
      <c r="B325" s="84" t="s">
        <v>1</v>
      </c>
      <c r="C325" s="29">
        <v>34.754204556029912</v>
      </c>
      <c r="D325" s="85">
        <v>13199.085501550475</v>
      </c>
      <c r="E325" s="50">
        <f>C325/$C$336</f>
        <v>9.0909090909090925E-2</v>
      </c>
      <c r="F325" s="50">
        <f>D325/$D$336</f>
        <v>4.3177805010323955E-3</v>
      </c>
      <c r="G325" s="50">
        <f>G324+E325</f>
        <v>9.0909090909090925E-2</v>
      </c>
      <c r="H325" s="51">
        <f t="shared" ref="H325:H335" si="79">F325+H324</f>
        <v>4.3177805010323955E-3</v>
      </c>
      <c r="I325" s="50">
        <f t="shared" ref="I325:I335" si="80">(G324+G325)*0.5*(H325-H324)</f>
        <v>1.962627500469271E-4</v>
      </c>
    </row>
    <row r="326" spans="2:14" ht="12.75" customHeight="1" x14ac:dyDescent="0.25">
      <c r="B326" s="84" t="s">
        <v>2</v>
      </c>
      <c r="C326" s="29">
        <v>34.754204556029912</v>
      </c>
      <c r="D326" s="85">
        <v>20450.034940117202</v>
      </c>
      <c r="E326" s="50">
        <f>C326/$C$293</f>
        <v>9.0909090909090912E-2</v>
      </c>
      <c r="F326" s="50">
        <f t="shared" ref="F326:F335" si="81">D326/$D$336</f>
        <v>6.6897636279041406E-3</v>
      </c>
      <c r="G326" s="50">
        <f t="shared" ref="G326:G334" si="82">G325+E326</f>
        <v>0.18181818181818182</v>
      </c>
      <c r="H326" s="51">
        <f t="shared" si="79"/>
        <v>1.1007544128936536E-2</v>
      </c>
      <c r="I326" s="50">
        <f t="shared" si="80"/>
        <v>9.1224049471420106E-4</v>
      </c>
    </row>
    <row r="327" spans="2:14" ht="12.75" customHeight="1" x14ac:dyDescent="0.25">
      <c r="B327" s="84" t="s">
        <v>3</v>
      </c>
      <c r="C327" s="29">
        <v>34.754204556029912</v>
      </c>
      <c r="D327" s="85">
        <v>251430.37783690859</v>
      </c>
      <c r="E327" s="50">
        <f t="shared" ref="E327:E335" si="83">C327/$C$293</f>
        <v>9.0909090909090912E-2</v>
      </c>
      <c r="F327" s="50">
        <f t="shared" si="81"/>
        <v>8.2249727275718124E-2</v>
      </c>
      <c r="G327" s="50">
        <f t="shared" si="82"/>
        <v>0.27272727272727271</v>
      </c>
      <c r="H327" s="51">
        <f t="shared" si="79"/>
        <v>9.325727140465466E-2</v>
      </c>
      <c r="I327" s="50">
        <f t="shared" si="80"/>
        <v>1.8693119835390484E-2</v>
      </c>
    </row>
    <row r="328" spans="2:14" ht="12.75" customHeight="1" x14ac:dyDescent="0.25">
      <c r="B328" s="84" t="s">
        <v>4</v>
      </c>
      <c r="C328" s="29">
        <v>34.754204556029912</v>
      </c>
      <c r="D328" s="85">
        <v>24496.645034227455</v>
      </c>
      <c r="E328" s="50">
        <f t="shared" si="83"/>
        <v>9.0909090909090912E-2</v>
      </c>
      <c r="F328" s="50">
        <f t="shared" si="81"/>
        <v>8.0135200470573958E-3</v>
      </c>
      <c r="G328" s="50">
        <f t="shared" si="82"/>
        <v>0.36363636363636365</v>
      </c>
      <c r="H328" s="51">
        <f t="shared" si="79"/>
        <v>0.10127079145171206</v>
      </c>
      <c r="I328" s="50">
        <f t="shared" si="80"/>
        <v>2.5497563786091712E-3</v>
      </c>
    </row>
    <row r="329" spans="2:14" ht="12.75" customHeight="1" x14ac:dyDescent="0.25">
      <c r="B329" s="84" t="s">
        <v>5</v>
      </c>
      <c r="C329" s="29">
        <v>34.754204556029912</v>
      </c>
      <c r="D329" s="85">
        <v>363314.38569269452</v>
      </c>
      <c r="E329" s="50">
        <f t="shared" si="83"/>
        <v>9.0909090909090912E-2</v>
      </c>
      <c r="F329" s="50">
        <f t="shared" si="81"/>
        <v>0.1188500347318915</v>
      </c>
      <c r="G329" s="50">
        <f>G328+E329</f>
        <v>0.45454545454545459</v>
      </c>
      <c r="H329" s="51">
        <f t="shared" si="79"/>
        <v>0.22012082618360357</v>
      </c>
      <c r="I329" s="50">
        <f t="shared" si="80"/>
        <v>4.862046875395562E-2</v>
      </c>
    </row>
    <row r="330" spans="2:14" ht="12.75" customHeight="1" x14ac:dyDescent="0.25">
      <c r="B330" s="84" t="s">
        <v>6</v>
      </c>
      <c r="C330" s="29">
        <v>34.754204556029912</v>
      </c>
      <c r="D330" s="85">
        <v>49475.746319971244</v>
      </c>
      <c r="E330" s="50">
        <f t="shared" si="83"/>
        <v>9.0909090909090912E-2</v>
      </c>
      <c r="F330" s="50">
        <f t="shared" si="81"/>
        <v>1.6184864679397896E-2</v>
      </c>
      <c r="G330" s="50">
        <f t="shared" si="82"/>
        <v>0.54545454545454553</v>
      </c>
      <c r="H330" s="51">
        <f t="shared" si="79"/>
        <v>0.23630569086300146</v>
      </c>
      <c r="I330" s="50">
        <f t="shared" si="80"/>
        <v>8.0924323396989462E-3</v>
      </c>
    </row>
    <row r="331" spans="2:14" ht="12.75" customHeight="1" x14ac:dyDescent="0.25">
      <c r="B331" s="84" t="s">
        <v>7</v>
      </c>
      <c r="C331" s="29">
        <v>34.754204556029912</v>
      </c>
      <c r="D331" s="85">
        <v>20836.189535136225</v>
      </c>
      <c r="E331" s="50">
        <f t="shared" si="83"/>
        <v>9.0909090909090912E-2</v>
      </c>
      <c r="F331" s="50">
        <f t="shared" si="81"/>
        <v>6.8160853174303836E-3</v>
      </c>
      <c r="G331" s="50">
        <f t="shared" si="82"/>
        <v>0.63636363636363646</v>
      </c>
      <c r="H331" s="51">
        <f t="shared" si="79"/>
        <v>0.24312177618043185</v>
      </c>
      <c r="I331" s="50">
        <f t="shared" si="80"/>
        <v>4.0276867784815934E-3</v>
      </c>
    </row>
    <row r="332" spans="2:14" ht="12.75" customHeight="1" x14ac:dyDescent="0.25">
      <c r="B332" s="84" t="s">
        <v>8</v>
      </c>
      <c r="C332" s="29">
        <v>34.754204556029912</v>
      </c>
      <c r="D332" s="85">
        <v>1339764.2833351614</v>
      </c>
      <c r="E332" s="50">
        <f t="shared" si="83"/>
        <v>9.0909090909090912E-2</v>
      </c>
      <c r="F332" s="50">
        <f t="shared" si="81"/>
        <v>0.43827340143259691</v>
      </c>
      <c r="G332" s="50">
        <f t="shared" si="82"/>
        <v>0.7272727272727274</v>
      </c>
      <c r="H332" s="51">
        <f t="shared" si="79"/>
        <v>0.6813951776130287</v>
      </c>
      <c r="I332" s="50">
        <f t="shared" si="80"/>
        <v>0.29882277370404331</v>
      </c>
    </row>
    <row r="333" spans="2:14" ht="12.75" customHeight="1" x14ac:dyDescent="0.25">
      <c r="B333" s="84" t="s">
        <v>9</v>
      </c>
      <c r="C333" s="29">
        <v>34.754204556029912</v>
      </c>
      <c r="D333" s="85">
        <v>617141.72101696266</v>
      </c>
      <c r="E333" s="50">
        <f t="shared" si="83"/>
        <v>9.0909090909090912E-2</v>
      </c>
      <c r="F333" s="50">
        <f t="shared" si="81"/>
        <v>0.20188387211126102</v>
      </c>
      <c r="G333" s="50">
        <f t="shared" si="82"/>
        <v>0.81818181818181834</v>
      </c>
      <c r="H333" s="51">
        <f t="shared" si="79"/>
        <v>0.88327904972428972</v>
      </c>
      <c r="I333" s="50">
        <f t="shared" si="80"/>
        <v>0.15600117390415627</v>
      </c>
    </row>
    <row r="334" spans="2:14" ht="12.75" customHeight="1" x14ac:dyDescent="0.25">
      <c r="B334" s="84" t="s">
        <v>10</v>
      </c>
      <c r="C334" s="29">
        <v>34.754204556029912</v>
      </c>
      <c r="D334" s="85">
        <v>119784.51078433092</v>
      </c>
      <c r="E334" s="50">
        <f t="shared" si="83"/>
        <v>9.0909090909090912E-2</v>
      </c>
      <c r="F334" s="50">
        <f t="shared" si="81"/>
        <v>3.9184777227902166E-2</v>
      </c>
      <c r="G334" s="50">
        <f t="shared" si="82"/>
        <v>0.90909090909090928</v>
      </c>
      <c r="H334" s="51">
        <f t="shared" si="79"/>
        <v>0.92246382695219187</v>
      </c>
      <c r="I334" s="50">
        <f t="shared" si="80"/>
        <v>3.38413985150064E-2</v>
      </c>
    </row>
    <row r="335" spans="2:14" ht="12.75" customHeight="1" thickBot="1" x14ac:dyDescent="0.3">
      <c r="B335" s="88" t="s">
        <v>11</v>
      </c>
      <c r="C335" s="32">
        <v>34.754204556029912</v>
      </c>
      <c r="D335" s="89">
        <v>237021.44592026682</v>
      </c>
      <c r="E335" s="52">
        <f t="shared" si="83"/>
        <v>9.0909090909090912E-2</v>
      </c>
      <c r="F335" s="52">
        <f t="shared" si="81"/>
        <v>7.7536173047808091E-2</v>
      </c>
      <c r="G335" s="52">
        <f>G334+E335</f>
        <v>1.0000000000000002</v>
      </c>
      <c r="H335" s="53">
        <f t="shared" si="79"/>
        <v>1</v>
      </c>
      <c r="I335" s="52">
        <f t="shared" si="80"/>
        <v>7.4011801545635053E-2</v>
      </c>
    </row>
    <row r="336" spans="2:14" ht="12.75" customHeight="1" thickBot="1" x14ac:dyDescent="0.3">
      <c r="B336" s="38" t="s">
        <v>13</v>
      </c>
      <c r="C336" s="32">
        <f>SUM(C324:C335)</f>
        <v>382.29625011632896</v>
      </c>
      <c r="D336" s="32">
        <f>SUM(D324:D335)</f>
        <v>3056914.4259173274</v>
      </c>
      <c r="E336" s="52">
        <f>SUM(E325:E335)</f>
        <v>1.0000000000000002</v>
      </c>
      <c r="F336" s="52">
        <f>SUM(F325:F335)</f>
        <v>1</v>
      </c>
      <c r="G336" s="53"/>
      <c r="H336" s="53"/>
      <c r="I336" s="52">
        <f>SUM(I324:I335)</f>
        <v>0.64576911499973799</v>
      </c>
    </row>
    <row r="337" spans="1:14" ht="12.75" customHeight="1" thickBot="1" x14ac:dyDescent="0.3">
      <c r="B337" s="4"/>
      <c r="C337" s="4"/>
      <c r="D337" s="4"/>
      <c r="E337" s="51"/>
      <c r="F337" s="51"/>
      <c r="G337" s="51"/>
      <c r="H337" s="54"/>
      <c r="I337" s="54"/>
    </row>
    <row r="338" spans="1:14" ht="12.75" customHeight="1" thickBot="1" x14ac:dyDescent="0.3">
      <c r="B338" s="4"/>
      <c r="C338" s="4"/>
      <c r="D338" s="4"/>
      <c r="E338" s="51"/>
      <c r="F338" s="51"/>
      <c r="G338" s="56"/>
      <c r="H338" s="58" t="s">
        <v>33</v>
      </c>
      <c r="I338" s="59">
        <f>1-(2*I336)</f>
        <v>-0.29153822999947598</v>
      </c>
    </row>
    <row r="339" spans="1:14" ht="12.75" customHeight="1" x14ac:dyDescent="0.25">
      <c r="B339" s="4"/>
      <c r="C339" s="4"/>
      <c r="D339" s="4"/>
      <c r="E339" s="4"/>
      <c r="F339" s="4"/>
      <c r="G339" s="5"/>
      <c r="H339" s="112"/>
      <c r="I339" s="113"/>
    </row>
    <row r="340" spans="1:14" ht="12.75" customHeight="1" x14ac:dyDescent="0.25">
      <c r="B340" s="4"/>
      <c r="C340" s="4"/>
      <c r="D340" s="4"/>
      <c r="E340" s="4"/>
      <c r="F340" s="4"/>
      <c r="G340" s="5"/>
      <c r="H340" s="112"/>
      <c r="I340" s="113"/>
    </row>
    <row r="341" spans="1:14" ht="12.75" customHeight="1" x14ac:dyDescent="0.25">
      <c r="B341" s="4"/>
      <c r="C341" s="4"/>
      <c r="D341" s="4"/>
      <c r="E341" s="4"/>
      <c r="F341" s="4"/>
      <c r="G341" s="5"/>
      <c r="H341" s="112"/>
      <c r="I341" s="113"/>
    </row>
    <row r="342" spans="1:14" ht="12.75" customHeight="1" x14ac:dyDescent="0.25"/>
    <row r="343" spans="1:14" ht="12.75" customHeight="1" x14ac:dyDescent="0.25">
      <c r="A343" s="210" t="s">
        <v>132</v>
      </c>
      <c r="B343" s="210"/>
      <c r="C343" s="210"/>
      <c r="D343" s="210"/>
      <c r="E343" s="210"/>
      <c r="F343" s="210"/>
      <c r="G343" s="210"/>
      <c r="H343" s="210"/>
      <c r="I343" s="210"/>
    </row>
    <row r="344" spans="1:14" ht="12.75" customHeight="1" x14ac:dyDescent="0.25"/>
    <row r="345" spans="1:14" ht="12.75" customHeight="1" x14ac:dyDescent="0.25"/>
    <row r="346" spans="1:14" ht="16.2" thickBot="1" x14ac:dyDescent="0.35">
      <c r="B346" s="209" t="s">
        <v>130</v>
      </c>
      <c r="C346" s="209"/>
      <c r="D346" s="209"/>
      <c r="E346" s="209"/>
      <c r="F346" s="209"/>
      <c r="G346" s="209"/>
      <c r="H346" s="209"/>
      <c r="I346" s="209"/>
    </row>
    <row r="347" spans="1:14" ht="27" thickBot="1" x14ac:dyDescent="0.3">
      <c r="B347" s="36" t="s">
        <v>20</v>
      </c>
      <c r="C347" s="37" t="s">
        <v>108</v>
      </c>
      <c r="D347" s="37" t="s">
        <v>46</v>
      </c>
      <c r="E347" s="37" t="s">
        <v>106</v>
      </c>
      <c r="F347" s="37" t="s">
        <v>17</v>
      </c>
      <c r="G347" s="37" t="s">
        <v>107</v>
      </c>
      <c r="H347" s="37" t="s">
        <v>19</v>
      </c>
      <c r="I347" s="37" t="s">
        <v>21</v>
      </c>
      <c r="J347" s="8"/>
      <c r="K347" s="8"/>
      <c r="L347" s="8"/>
      <c r="M347" s="8"/>
      <c r="N347" s="8"/>
    </row>
    <row r="348" spans="1:14" ht="12.75" customHeight="1" x14ac:dyDescent="0.25">
      <c r="B348" s="4"/>
      <c r="C348" s="26">
        <v>0</v>
      </c>
      <c r="D348" s="26">
        <v>0</v>
      </c>
      <c r="E348" s="50">
        <f>C348/$C$82</f>
        <v>0</v>
      </c>
      <c r="F348" s="50">
        <v>0</v>
      </c>
      <c r="G348" s="50">
        <v>0</v>
      </c>
      <c r="H348" s="51">
        <f>F348</f>
        <v>0</v>
      </c>
      <c r="I348" s="50">
        <v>0</v>
      </c>
    </row>
    <row r="349" spans="1:14" ht="12.75" customHeight="1" x14ac:dyDescent="0.25">
      <c r="B349" s="84" t="s">
        <v>1</v>
      </c>
      <c r="C349" s="29">
        <v>7.1530660073489152</v>
      </c>
      <c r="D349" s="17">
        <v>89.561402999999999</v>
      </c>
      <c r="E349" s="50">
        <f>C349/$C$315</f>
        <v>1.8710793017646152E-2</v>
      </c>
      <c r="F349" s="50">
        <f>D349/$D$315</f>
        <v>0.33482575255695196</v>
      </c>
      <c r="G349" s="50">
        <f t="shared" ref="G349:G359" si="84">G348+E349</f>
        <v>1.8710793017646152E-2</v>
      </c>
      <c r="H349" s="51">
        <f t="shared" ref="H349:H359" si="85">F349+H348</f>
        <v>0.33482575255695196</v>
      </c>
      <c r="I349" s="50">
        <f t="shared" ref="I349:I359" si="86">(G348+G349)*0.5*(H349-H348)</f>
        <v>3.1324276765353674E-3</v>
      </c>
    </row>
    <row r="350" spans="1:14" ht="12.75" customHeight="1" x14ac:dyDescent="0.25">
      <c r="B350" s="84" t="s">
        <v>2</v>
      </c>
      <c r="C350" s="29">
        <v>1.3224981196287995</v>
      </c>
      <c r="D350" s="17">
        <v>3.546421</v>
      </c>
      <c r="E350" s="50">
        <f t="shared" ref="E350:E359" si="87">C350/$C$315</f>
        <v>3.4593541506786332E-3</v>
      </c>
      <c r="F350" s="50">
        <f t="shared" ref="F350:F359" si="88">D350/$D$315</f>
        <v>1.3258312626129564E-2</v>
      </c>
      <c r="G350" s="50">
        <f t="shared" si="84"/>
        <v>2.2170147168324786E-2</v>
      </c>
      <c r="H350" s="51">
        <f t="shared" si="85"/>
        <v>0.34808406518308155</v>
      </c>
      <c r="I350" s="50">
        <f t="shared" si="86"/>
        <v>2.7100614271785345E-4</v>
      </c>
    </row>
    <row r="351" spans="1:14" ht="12.75" customHeight="1" x14ac:dyDescent="0.25">
      <c r="B351" s="84" t="s">
        <v>3</v>
      </c>
      <c r="C351" s="29">
        <v>56.5</v>
      </c>
      <c r="D351" s="17">
        <v>11.890784</v>
      </c>
      <c r="E351" s="50">
        <f t="shared" si="87"/>
        <v>0.14779114360344264</v>
      </c>
      <c r="F351" s="50">
        <f t="shared" si="88"/>
        <v>4.4453755389385355E-2</v>
      </c>
      <c r="G351" s="50">
        <f t="shared" si="84"/>
        <v>0.16996129077176741</v>
      </c>
      <c r="H351" s="51">
        <f t="shared" si="85"/>
        <v>0.39253782057246689</v>
      </c>
      <c r="I351" s="50">
        <f t="shared" si="86"/>
        <v>4.2704819723998642E-3</v>
      </c>
    </row>
    <row r="352" spans="1:14" ht="12.75" customHeight="1" x14ac:dyDescent="0.25">
      <c r="B352" s="84" t="s">
        <v>4</v>
      </c>
      <c r="C352" s="29">
        <v>1.9103503028842752</v>
      </c>
      <c r="D352" s="17">
        <v>12.952218</v>
      </c>
      <c r="E352" s="50">
        <f t="shared" si="87"/>
        <v>4.9970416981672582E-3</v>
      </c>
      <c r="F352" s="50">
        <f t="shared" si="88"/>
        <v>4.8421931701222894E-2</v>
      </c>
      <c r="G352" s="50">
        <f t="shared" si="84"/>
        <v>0.17495833246993467</v>
      </c>
      <c r="H352" s="51">
        <f t="shared" si="85"/>
        <v>0.44095975227368978</v>
      </c>
      <c r="I352" s="50">
        <f t="shared" si="86"/>
        <v>8.3508372195106144E-3</v>
      </c>
    </row>
    <row r="353" spans="2:9" ht="12.75" customHeight="1" x14ac:dyDescent="0.25">
      <c r="B353" s="84" t="s">
        <v>5</v>
      </c>
      <c r="C353" s="29">
        <v>77.313145320001027</v>
      </c>
      <c r="D353" s="17">
        <v>11.193725000000001</v>
      </c>
      <c r="E353" s="50">
        <f t="shared" si="87"/>
        <v>0.20223359579508143</v>
      </c>
      <c r="F353" s="50">
        <f t="shared" si="88"/>
        <v>4.1847796835435547E-2</v>
      </c>
      <c r="G353" s="50">
        <f t="shared" si="84"/>
        <v>0.37719192826501613</v>
      </c>
      <c r="H353" s="51">
        <f t="shared" si="85"/>
        <v>0.48280754910912532</v>
      </c>
      <c r="I353" s="50">
        <f t="shared" si="86"/>
        <v>1.1553135966934492E-2</v>
      </c>
    </row>
    <row r="354" spans="2:9" ht="12.75" customHeight="1" x14ac:dyDescent="0.25">
      <c r="B354" s="84" t="s">
        <v>6</v>
      </c>
      <c r="C354" s="29">
        <v>37.678981965070257</v>
      </c>
      <c r="D354" s="17">
        <v>43.849260000000001</v>
      </c>
      <c r="E354" s="50">
        <f t="shared" si="87"/>
        <v>9.8559643087278298E-2</v>
      </c>
      <c r="F354" s="50">
        <f t="shared" si="88"/>
        <v>0.16393067757732036</v>
      </c>
      <c r="G354" s="50">
        <f t="shared" si="84"/>
        <v>0.4757515713522944</v>
      </c>
      <c r="H354" s="51">
        <f t="shared" si="85"/>
        <v>0.64673822668644565</v>
      </c>
      <c r="I354" s="50">
        <f t="shared" si="86"/>
        <v>6.9911802913718291E-2</v>
      </c>
    </row>
    <row r="355" spans="2:9" ht="12.75" customHeight="1" x14ac:dyDescent="0.25">
      <c r="B355" s="84" t="s">
        <v>7</v>
      </c>
      <c r="C355" s="29">
        <v>11.97256923586497</v>
      </c>
      <c r="D355" s="17">
        <v>53.771296</v>
      </c>
      <c r="E355" s="50">
        <f t="shared" si="87"/>
        <v>3.1317516800705832E-2</v>
      </c>
      <c r="F355" s="50">
        <f t="shared" si="88"/>
        <v>0.20102425873300156</v>
      </c>
      <c r="G355" s="50">
        <f t="shared" si="84"/>
        <v>0.50706908815300022</v>
      </c>
      <c r="H355" s="51">
        <f t="shared" si="85"/>
        <v>0.84776248541944721</v>
      </c>
      <c r="I355" s="50">
        <f t="shared" si="86"/>
        <v>9.878539727226579E-2</v>
      </c>
    </row>
    <row r="356" spans="2:9" ht="12.75" customHeight="1" x14ac:dyDescent="0.25">
      <c r="B356" s="84" t="s">
        <v>8</v>
      </c>
      <c r="C356" s="29">
        <v>33.799999999999997</v>
      </c>
      <c r="D356" s="17">
        <v>102.33440400000001</v>
      </c>
      <c r="E356" s="50">
        <f t="shared" si="87"/>
        <v>8.841310891674975E-2</v>
      </c>
      <c r="F356" s="50">
        <f t="shared" si="88"/>
        <v>0.38257768060832142</v>
      </c>
      <c r="G356" s="50">
        <f t="shared" si="84"/>
        <v>0.59548219706974992</v>
      </c>
      <c r="H356" s="51">
        <f t="shared" si="85"/>
        <v>1.2303401660277686</v>
      </c>
      <c r="I356" s="50">
        <f t="shared" si="86"/>
        <v>0.2109057567261218</v>
      </c>
    </row>
    <row r="357" spans="2:9" ht="12.75" customHeight="1" x14ac:dyDescent="0.25">
      <c r="B357" s="84" t="s">
        <v>9</v>
      </c>
      <c r="C357" s="29">
        <v>23.5</v>
      </c>
      <c r="D357" s="17">
        <v>59.734217999999998</v>
      </c>
      <c r="E357" s="50">
        <f t="shared" si="87"/>
        <v>6.1470652649219505E-2</v>
      </c>
      <c r="F357" s="50">
        <f t="shared" si="88"/>
        <v>0.22331667242027267</v>
      </c>
      <c r="G357" s="50">
        <f t="shared" si="84"/>
        <v>0.65695284971896939</v>
      </c>
      <c r="H357" s="51">
        <f t="shared" si="85"/>
        <v>1.4536568384480413</v>
      </c>
      <c r="I357" s="50">
        <f t="shared" si="86"/>
        <v>0.13984481353569264</v>
      </c>
    </row>
    <row r="358" spans="2:9" ht="12.75" customHeight="1" x14ac:dyDescent="0.25">
      <c r="B358" s="84" t="s">
        <v>10</v>
      </c>
      <c r="C358" s="29">
        <v>58.968413233176513</v>
      </c>
      <c r="D358" s="17">
        <v>114.963588</v>
      </c>
      <c r="E358" s="50">
        <f t="shared" si="87"/>
        <v>0.15424795094179714</v>
      </c>
      <c r="F358" s="50">
        <f t="shared" si="88"/>
        <v>0.4297919480866928</v>
      </c>
      <c r="G358" s="50">
        <f t="shared" si="84"/>
        <v>0.8112008006607665</v>
      </c>
      <c r="H358" s="51">
        <f t="shared" si="85"/>
        <v>1.883448786534734</v>
      </c>
      <c r="I358" s="50">
        <f t="shared" si="86"/>
        <v>0.31550030874364793</v>
      </c>
    </row>
    <row r="359" spans="2:9" ht="12.75" customHeight="1" thickBot="1" x14ac:dyDescent="0.3">
      <c r="B359" s="88" t="s">
        <v>11</v>
      </c>
      <c r="C359" s="32">
        <v>82.177225932354276</v>
      </c>
      <c r="D359" s="123">
        <v>45.741007000000003</v>
      </c>
      <c r="E359" s="52">
        <f t="shared" si="87"/>
        <v>0.2149569238708163</v>
      </c>
      <c r="F359" s="52">
        <f t="shared" si="88"/>
        <v>0.1710029831878338</v>
      </c>
      <c r="G359" s="52">
        <f t="shared" si="84"/>
        <v>1.0261577245315827</v>
      </c>
      <c r="H359" s="53">
        <f t="shared" si="85"/>
        <v>2.0544517697225677</v>
      </c>
      <c r="I359" s="52">
        <f t="shared" si="86"/>
        <v>0.1570968944967451</v>
      </c>
    </row>
    <row r="360" spans="2:9" ht="12.75" customHeight="1" thickBot="1" x14ac:dyDescent="0.3">
      <c r="B360" s="38" t="s">
        <v>13</v>
      </c>
      <c r="C360" s="32">
        <f>SUM(C348:C359)</f>
        <v>392.29625011632902</v>
      </c>
      <c r="D360" s="32">
        <f>SUM(D348:D359)</f>
        <v>549.53832399999999</v>
      </c>
      <c r="E360" s="52">
        <f>SUM(E349:E359)</f>
        <v>1.0261577245315827</v>
      </c>
      <c r="F360" s="52">
        <f>SUM(F349:F359)</f>
        <v>2.0544517697225677</v>
      </c>
      <c r="G360" s="53"/>
      <c r="H360" s="53"/>
      <c r="I360" s="52">
        <f>SUM(I348:I359)</f>
        <v>1.0196228626662898</v>
      </c>
    </row>
    <row r="361" spans="2:9" ht="12.75" customHeight="1" thickBot="1" x14ac:dyDescent="0.3">
      <c r="B361" s="48"/>
      <c r="C361" s="29"/>
      <c r="D361" s="29"/>
      <c r="E361" s="26"/>
      <c r="F361" s="27"/>
      <c r="G361" s="4"/>
      <c r="H361" s="40"/>
      <c r="I361" s="34"/>
    </row>
    <row r="362" spans="2:9" ht="12.75" customHeight="1" thickBot="1" x14ac:dyDescent="0.3">
      <c r="B362" s="4"/>
      <c r="C362" s="4"/>
      <c r="D362" s="4"/>
      <c r="E362" s="4"/>
      <c r="F362" s="4"/>
      <c r="G362" s="5"/>
      <c r="H362" s="49" t="s">
        <v>42</v>
      </c>
      <c r="I362" s="62">
        <f>1-(2*I360)</f>
        <v>-1.0392457253325795</v>
      </c>
    </row>
    <row r="363" spans="2:9" ht="12.75" customHeight="1" x14ac:dyDescent="0.25">
      <c r="B363" s="4"/>
      <c r="C363" s="4"/>
      <c r="D363" s="4"/>
      <c r="E363" s="4"/>
      <c r="F363" s="4"/>
      <c r="G363" s="5"/>
      <c r="H363" s="112"/>
      <c r="I363" s="113"/>
    </row>
    <row r="364" spans="2:9" ht="12.75" customHeight="1" x14ac:dyDescent="0.25"/>
    <row r="365" spans="2:9" ht="12.75" customHeight="1" x14ac:dyDescent="0.25"/>
    <row r="366" spans="2:9" ht="12.75" customHeight="1" x14ac:dyDescent="0.25"/>
    <row r="367" spans="2:9" ht="12.75" customHeight="1" x14ac:dyDescent="0.25"/>
    <row r="368" spans="2:9"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sheetData>
  <mergeCells count="21">
    <mergeCell ref="B176:I176"/>
    <mergeCell ref="A1:F1"/>
    <mergeCell ref="B4:I4"/>
    <mergeCell ref="B25:I25"/>
    <mergeCell ref="B47:I47"/>
    <mergeCell ref="B68:I68"/>
    <mergeCell ref="A89:F89"/>
    <mergeCell ref="B92:I92"/>
    <mergeCell ref="B113:I113"/>
    <mergeCell ref="B134:I134"/>
    <mergeCell ref="B155:I155"/>
    <mergeCell ref="A174:F174"/>
    <mergeCell ref="B322:I322"/>
    <mergeCell ref="A343:I343"/>
    <mergeCell ref="B346:I346"/>
    <mergeCell ref="B197:I197"/>
    <mergeCell ref="B218:I218"/>
    <mergeCell ref="B239:I239"/>
    <mergeCell ref="B259:I259"/>
    <mergeCell ref="B279:I279"/>
    <mergeCell ref="B301:I301"/>
  </mergeCells>
  <pageMargins left="0.7" right="0.7" top="0.75" bottom="0.75" header="0" footer="0"/>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A3E5D-4BA9-4A1A-B283-DA6811D650D1}">
  <dimension ref="B1:L47"/>
  <sheetViews>
    <sheetView showGridLines="0" topLeftCell="A11" zoomScale="88" workbookViewId="0">
      <selection activeCell="L41" sqref="L41"/>
    </sheetView>
  </sheetViews>
  <sheetFormatPr defaultRowHeight="13.2" x14ac:dyDescent="0.25"/>
  <cols>
    <col min="2" max="2" width="13.77734375" bestFit="1" customWidth="1"/>
    <col min="3" max="3" width="11.33203125" customWidth="1"/>
    <col min="4" max="12" width="9.6640625" bestFit="1" customWidth="1"/>
    <col min="13" max="13" width="9.44140625" bestFit="1" customWidth="1"/>
  </cols>
  <sheetData>
    <row r="1" spans="2:12" x14ac:dyDescent="0.25">
      <c r="B1" s="161"/>
      <c r="C1" s="161"/>
      <c r="D1" s="161"/>
      <c r="E1" s="161"/>
      <c r="F1" s="161"/>
      <c r="G1" s="161"/>
      <c r="H1" s="161"/>
      <c r="I1" s="161"/>
      <c r="J1" s="161"/>
      <c r="K1" s="161"/>
      <c r="L1" s="161"/>
    </row>
    <row r="2" spans="2:12" x14ac:dyDescent="0.25">
      <c r="B2" s="215" t="s">
        <v>129</v>
      </c>
      <c r="C2" s="215"/>
      <c r="D2" s="215"/>
      <c r="E2" s="215"/>
      <c r="F2" s="215"/>
      <c r="G2" s="215"/>
      <c r="H2" s="215"/>
      <c r="I2" s="215"/>
      <c r="J2" s="215"/>
      <c r="K2" s="215"/>
      <c r="L2" s="215"/>
    </row>
    <row r="3" spans="2:12" x14ac:dyDescent="0.25">
      <c r="B3" s="160" t="s">
        <v>61</v>
      </c>
      <c r="C3" s="160" t="s">
        <v>167</v>
      </c>
      <c r="D3" s="160">
        <v>2010</v>
      </c>
      <c r="E3" s="160">
        <v>2011</v>
      </c>
      <c r="F3" s="160">
        <v>2012</v>
      </c>
      <c r="G3" s="160">
        <v>2013</v>
      </c>
      <c r="H3" s="160">
        <v>2014</v>
      </c>
      <c r="I3" s="160">
        <v>2015</v>
      </c>
      <c r="J3" s="160">
        <v>2016</v>
      </c>
      <c r="K3" s="160">
        <v>2017</v>
      </c>
      <c r="L3" s="160">
        <v>2018</v>
      </c>
    </row>
    <row r="4" spans="2:12" x14ac:dyDescent="0.25">
      <c r="B4" s="18" t="s">
        <v>1</v>
      </c>
      <c r="C4" s="138">
        <v>3.1200000000000002E-2</v>
      </c>
      <c r="D4" s="139">
        <v>4.5376418747929925</v>
      </c>
      <c r="E4" s="139">
        <v>4.6792163012865338</v>
      </c>
      <c r="F4" s="139">
        <v>4.8252078498866728</v>
      </c>
      <c r="G4" s="139">
        <v>4.9757543348031366</v>
      </c>
      <c r="H4" s="139">
        <v>5.1309978700489935</v>
      </c>
      <c r="I4" s="139">
        <v>5.2910850035945218</v>
      </c>
      <c r="J4" s="139">
        <v>5.4561668557066705</v>
      </c>
      <c r="K4" s="139">
        <v>5.6263992616047176</v>
      </c>
      <c r="L4" s="139">
        <v>5.8019429185667839</v>
      </c>
    </row>
    <row r="5" spans="2:12" x14ac:dyDescent="0.25">
      <c r="B5" s="18" t="s">
        <v>2</v>
      </c>
      <c r="C5" s="138">
        <v>3.1899999999999998E-2</v>
      </c>
      <c r="D5" s="139">
        <v>2.8309348591687482</v>
      </c>
      <c r="E5" s="139">
        <v>2.9212416811762312</v>
      </c>
      <c r="F5" s="139">
        <v>3.0144292908057531</v>
      </c>
      <c r="G5" s="139">
        <v>3.1105895851824568</v>
      </c>
      <c r="H5" s="139">
        <v>3.2098173929497773</v>
      </c>
      <c r="I5" s="139">
        <v>3.3122105677848754</v>
      </c>
      <c r="J5" s="139">
        <v>3.417870084897213</v>
      </c>
      <c r="K5" s="139">
        <v>3.5269001406054343</v>
      </c>
      <c r="L5" s="139">
        <v>3.6394082550907476</v>
      </c>
    </row>
    <row r="6" spans="2:12" x14ac:dyDescent="0.25">
      <c r="B6" s="18" t="s">
        <v>3</v>
      </c>
      <c r="C6" s="138">
        <v>1.9400000000000001E-2</v>
      </c>
      <c r="D6" s="139">
        <v>69.271813069261029</v>
      </c>
      <c r="E6" s="139">
        <v>70.615686242804699</v>
      </c>
      <c r="F6" s="139">
        <v>71.985630555915122</v>
      </c>
      <c r="G6" s="139">
        <v>73.382151788699886</v>
      </c>
      <c r="H6" s="139">
        <v>74.805765533400674</v>
      </c>
      <c r="I6" s="139">
        <v>76.256997384748658</v>
      </c>
      <c r="J6" s="139">
        <v>77.736383134012783</v>
      </c>
      <c r="K6" s="139">
        <v>79.244468966812633</v>
      </c>
      <c r="L6" s="139">
        <v>80.78181166476881</v>
      </c>
    </row>
    <row r="7" spans="2:12" x14ac:dyDescent="0.25">
      <c r="B7" s="18" t="s">
        <v>4</v>
      </c>
      <c r="C7" s="138">
        <v>1.41E-2</v>
      </c>
      <c r="D7" s="139">
        <v>1.1215507094546049</v>
      </c>
      <c r="E7" s="139">
        <v>1.1373645744579148</v>
      </c>
      <c r="F7" s="139">
        <v>1.1534014149577714</v>
      </c>
      <c r="G7" s="139">
        <v>1.1696643749086759</v>
      </c>
      <c r="H7" s="139">
        <v>1.1861566425948882</v>
      </c>
      <c r="I7" s="139">
        <v>1.2028814512554762</v>
      </c>
      <c r="J7" s="139">
        <v>1.2198420797181784</v>
      </c>
      <c r="K7" s="139">
        <v>1.2370418530422047</v>
      </c>
      <c r="L7" s="139">
        <v>1.2544841431700997</v>
      </c>
    </row>
    <row r="8" spans="2:12" x14ac:dyDescent="0.25">
      <c r="B8" s="18" t="s">
        <v>5</v>
      </c>
      <c r="C8" s="138">
        <v>2.75E-2</v>
      </c>
      <c r="D8" s="139">
        <v>29.910739995094342</v>
      </c>
      <c r="E8" s="139">
        <v>30.733285344959441</v>
      </c>
      <c r="F8" s="139">
        <v>31.578450691945829</v>
      </c>
      <c r="G8" s="139">
        <v>32.446858085974341</v>
      </c>
      <c r="H8" s="139">
        <v>33.33914668333864</v>
      </c>
      <c r="I8" s="139">
        <v>34.255973217130453</v>
      </c>
      <c r="J8" s="139">
        <v>35.198012480601541</v>
      </c>
      <c r="K8" s="139">
        <v>36.16595782381809</v>
      </c>
      <c r="L8" s="139">
        <v>37.160521663973093</v>
      </c>
    </row>
    <row r="9" spans="2:12" x14ac:dyDescent="0.25">
      <c r="B9" s="18" t="s">
        <v>6</v>
      </c>
      <c r="C9" s="138">
        <v>2.2799999999999997E-2</v>
      </c>
      <c r="D9" s="139">
        <v>15.757944722787245</v>
      </c>
      <c r="E9" s="139">
        <v>16.117225862466793</v>
      </c>
      <c r="F9" s="139">
        <v>16.484698612131034</v>
      </c>
      <c r="G9" s="139">
        <v>16.86054974048762</v>
      </c>
      <c r="H9" s="139">
        <v>17.244970274570736</v>
      </c>
      <c r="I9" s="139">
        <v>17.638155596830948</v>
      </c>
      <c r="J9" s="139">
        <v>18.040305544438691</v>
      </c>
      <c r="K9" s="139">
        <v>18.451624510851893</v>
      </c>
      <c r="L9" s="139">
        <v>18.872321549699315</v>
      </c>
    </row>
    <row r="10" spans="2:12" x14ac:dyDescent="0.25">
      <c r="B10" s="18" t="s">
        <v>7</v>
      </c>
      <c r="C10" s="138">
        <v>2.58E-2</v>
      </c>
      <c r="D10" s="139">
        <v>8.8569452121066199</v>
      </c>
      <c r="E10" s="139">
        <v>9.0854543985789711</v>
      </c>
      <c r="F10" s="139">
        <v>9.3198591220623097</v>
      </c>
      <c r="G10" s="139">
        <v>9.5603114874115178</v>
      </c>
      <c r="H10" s="139">
        <v>9.8069675237867351</v>
      </c>
      <c r="I10" s="139">
        <v>10.059987285900434</v>
      </c>
      <c r="J10" s="139">
        <v>10.319534957876666</v>
      </c>
      <c r="K10" s="139">
        <v>10.585778959789884</v>
      </c>
      <c r="L10" s="139">
        <v>10.858892056952463</v>
      </c>
    </row>
    <row r="11" spans="2:12" x14ac:dyDescent="0.25">
      <c r="B11" s="18" t="s">
        <v>8</v>
      </c>
      <c r="C11" s="138">
        <v>2.4199999999999999E-2</v>
      </c>
      <c r="D11" s="139">
        <v>29.117384905391187</v>
      </c>
      <c r="E11" s="139">
        <v>29.822025620101655</v>
      </c>
      <c r="F11" s="139">
        <v>30.543718640108114</v>
      </c>
      <c r="G11" s="139">
        <v>31.282876631198732</v>
      </c>
      <c r="H11" s="139">
        <v>32.039922245673743</v>
      </c>
      <c r="I11" s="139">
        <v>32.815288364019047</v>
      </c>
      <c r="J11" s="139">
        <v>33.609418342428306</v>
      </c>
      <c r="K11" s="139">
        <v>34.422766266315072</v>
      </c>
      <c r="L11" s="139">
        <v>35.255797209959894</v>
      </c>
    </row>
    <row r="12" spans="2:12" x14ac:dyDescent="0.25">
      <c r="B12" s="18" t="s">
        <v>9</v>
      </c>
      <c r="C12" s="138">
        <v>1.1899999999999999E-2</v>
      </c>
      <c r="D12" s="139">
        <v>9.6890374893495448</v>
      </c>
      <c r="E12" s="139">
        <v>9.8043370354728054</v>
      </c>
      <c r="F12" s="139">
        <v>9.9210086461949327</v>
      </c>
      <c r="G12" s="139">
        <v>10.039068649084653</v>
      </c>
      <c r="H12" s="139">
        <v>10.15853356600876</v>
      </c>
      <c r="I12" s="139">
        <v>10.279420115444264</v>
      </c>
      <c r="J12" s="139">
        <v>10.401745214818051</v>
      </c>
      <c r="K12" s="139">
        <v>10.525525982874386</v>
      </c>
      <c r="L12" s="139">
        <v>10.650779742070592</v>
      </c>
    </row>
    <row r="13" spans="2:12" x14ac:dyDescent="0.25">
      <c r="B13" s="18" t="s">
        <v>10</v>
      </c>
      <c r="C13" s="138">
        <v>2.98E-2</v>
      </c>
      <c r="D13" s="139">
        <v>8.9436766609828364</v>
      </c>
      <c r="E13" s="139">
        <v>9.2101982254801253</v>
      </c>
      <c r="F13" s="139">
        <v>9.4846621325994338</v>
      </c>
      <c r="G13" s="139">
        <v>9.7673050641508965</v>
      </c>
      <c r="H13" s="139">
        <v>10.058370755062594</v>
      </c>
      <c r="I13" s="139">
        <v>10.358110203563459</v>
      </c>
      <c r="J13" s="139">
        <v>10.66678188762965</v>
      </c>
      <c r="K13" s="139">
        <v>10.984651987881014</v>
      </c>
      <c r="L13" s="139">
        <v>11.311994617119868</v>
      </c>
    </row>
    <row r="14" spans="2:12" x14ac:dyDescent="0.25">
      <c r="B14" s="164" t="s">
        <v>11</v>
      </c>
      <c r="C14" s="162">
        <v>3.32E-2</v>
      </c>
      <c r="D14" s="163">
        <v>30.238653792381729</v>
      </c>
      <c r="E14" s="163">
        <v>31.242577098288798</v>
      </c>
      <c r="F14" s="163">
        <v>32.279830657951983</v>
      </c>
      <c r="G14" s="163">
        <v>33.351521035795983</v>
      </c>
      <c r="H14" s="163">
        <v>34.458791534184407</v>
      </c>
      <c r="I14" s="163">
        <v>35.602823413119324</v>
      </c>
      <c r="J14" s="163">
        <v>36.784837150434882</v>
      </c>
      <c r="K14" s="163">
        <v>38.006093743829318</v>
      </c>
      <c r="L14" s="163">
        <v>39.267896056124449</v>
      </c>
    </row>
    <row r="15" spans="2:12" x14ac:dyDescent="0.25">
      <c r="B15" s="161" t="s">
        <v>13</v>
      </c>
      <c r="C15" s="161"/>
      <c r="D15" s="163">
        <v>210.2763232907709</v>
      </c>
      <c r="E15" s="163">
        <v>215.36861238507396</v>
      </c>
      <c r="F15" s="163">
        <v>220.59089761455894</v>
      </c>
      <c r="G15" s="163">
        <v>225.94665077769793</v>
      </c>
      <c r="H15" s="163">
        <v>231.43944002161996</v>
      </c>
      <c r="I15" s="163">
        <v>237.07293260339145</v>
      </c>
      <c r="J15" s="163">
        <v>242.85089773256266</v>
      </c>
      <c r="K15" s="163">
        <v>248.77720949742468</v>
      </c>
      <c r="L15" s="163">
        <v>254.85584987749613</v>
      </c>
    </row>
    <row r="19" spans="2:12" x14ac:dyDescent="0.25">
      <c r="B19" s="216" t="s">
        <v>168</v>
      </c>
      <c r="C19" s="216"/>
      <c r="D19" s="216"/>
      <c r="E19" s="216"/>
      <c r="F19" s="216"/>
      <c r="G19" s="216"/>
      <c r="H19" s="216"/>
      <c r="I19" s="216"/>
      <c r="J19" s="216"/>
      <c r="K19" s="216"/>
      <c r="L19" s="216"/>
    </row>
    <row r="20" spans="2:12" x14ac:dyDescent="0.25">
      <c r="B20" s="166" t="s">
        <v>61</v>
      </c>
      <c r="C20" s="166" t="s">
        <v>52</v>
      </c>
      <c r="D20" s="167">
        <v>2010</v>
      </c>
      <c r="E20" s="167">
        <v>2011</v>
      </c>
      <c r="F20" s="167">
        <v>2012</v>
      </c>
      <c r="G20" s="167">
        <v>2013</v>
      </c>
      <c r="H20" s="167">
        <v>2014</v>
      </c>
      <c r="I20" s="167">
        <v>2015</v>
      </c>
      <c r="J20" s="167">
        <v>2016</v>
      </c>
      <c r="K20" s="172">
        <v>2017</v>
      </c>
      <c r="L20" s="167">
        <v>2018</v>
      </c>
    </row>
    <row r="21" spans="2:12" x14ac:dyDescent="0.25">
      <c r="B21" s="165" t="s">
        <v>1</v>
      </c>
      <c r="C21" s="14">
        <v>13199.085501550475</v>
      </c>
      <c r="D21" s="170">
        <v>1.2332552620142447</v>
      </c>
      <c r="E21" s="170">
        <v>1.2659744256775787</v>
      </c>
      <c r="F21" s="170">
        <v>0.7693067514792219</v>
      </c>
      <c r="G21" s="170">
        <v>2.8482081257467033</v>
      </c>
      <c r="H21" s="170">
        <v>1.522812179266253</v>
      </c>
      <c r="I21" s="170">
        <v>4.0079665040383814</v>
      </c>
      <c r="J21" s="170">
        <v>3.7154038785419865</v>
      </c>
      <c r="K21" s="170">
        <v>1.9832072109514134</v>
      </c>
      <c r="L21" s="170">
        <v>7.1530660073489152</v>
      </c>
    </row>
    <row r="22" spans="2:12" x14ac:dyDescent="0.25">
      <c r="B22" s="165" t="s">
        <v>2</v>
      </c>
      <c r="C22" s="14">
        <v>20450.034940117202</v>
      </c>
      <c r="D22" s="170">
        <v>2.4187231998381997</v>
      </c>
      <c r="E22" s="170">
        <v>3.8418556888470429E-2</v>
      </c>
      <c r="F22" s="170">
        <v>2.4789683273851866</v>
      </c>
      <c r="G22" s="170">
        <v>4.4267135247947871E-3</v>
      </c>
      <c r="H22" s="170">
        <v>0</v>
      </c>
      <c r="I22" s="170">
        <v>0.55883956504878174</v>
      </c>
      <c r="J22" s="170">
        <v>0</v>
      </c>
      <c r="K22" s="170">
        <v>0</v>
      </c>
      <c r="L22" s="170">
        <v>1.3224981196287995</v>
      </c>
    </row>
    <row r="23" spans="2:12" x14ac:dyDescent="0.25">
      <c r="B23" s="165" t="s">
        <v>3</v>
      </c>
      <c r="C23" s="14">
        <v>251430.37783690859</v>
      </c>
      <c r="D23" s="170">
        <v>56.5</v>
      </c>
      <c r="E23" s="170">
        <v>56.5</v>
      </c>
      <c r="F23" s="170">
        <v>56.5</v>
      </c>
      <c r="G23" s="170">
        <v>56.5</v>
      </c>
      <c r="H23" s="170">
        <v>56.5</v>
      </c>
      <c r="I23" s="170">
        <v>56.5</v>
      </c>
      <c r="J23" s="170">
        <v>56.5</v>
      </c>
      <c r="K23" s="170">
        <v>56.5</v>
      </c>
      <c r="L23" s="170">
        <v>56.5</v>
      </c>
    </row>
    <row r="24" spans="2:12" x14ac:dyDescent="0.25">
      <c r="B24" s="165" t="s">
        <v>4</v>
      </c>
      <c r="C24" s="14">
        <v>24496.645034227455</v>
      </c>
      <c r="D24" s="170">
        <v>3.502514612375089</v>
      </c>
      <c r="E24" s="170">
        <v>0</v>
      </c>
      <c r="F24" s="170">
        <v>2.9981638556920855</v>
      </c>
      <c r="G24" s="170">
        <v>0.45743447564730311</v>
      </c>
      <c r="H24" s="170">
        <v>2.4776537634861127</v>
      </c>
      <c r="I24" s="170">
        <v>0.64927869200379018</v>
      </c>
      <c r="J24" s="170">
        <v>1.7243620509396349</v>
      </c>
      <c r="K24" s="170">
        <v>3.2750912718752518</v>
      </c>
      <c r="L24" s="170">
        <v>1.9103503028842752</v>
      </c>
    </row>
    <row r="25" spans="2:12" x14ac:dyDescent="0.25">
      <c r="B25" s="165" t="s">
        <v>5</v>
      </c>
      <c r="C25" s="14">
        <v>363314.38569269452</v>
      </c>
      <c r="D25" s="170">
        <v>103.97256102695296</v>
      </c>
      <c r="E25" s="170">
        <v>64.093575287693014</v>
      </c>
      <c r="F25" s="170">
        <v>108.47973776175608</v>
      </c>
      <c r="G25" s="170">
        <v>92.838566818258556</v>
      </c>
      <c r="H25" s="170">
        <v>107.82811573630022</v>
      </c>
      <c r="I25" s="170">
        <v>59.803140686266872</v>
      </c>
      <c r="J25" s="170">
        <v>99.250775937174438</v>
      </c>
      <c r="K25" s="170">
        <v>131.03557864571476</v>
      </c>
      <c r="L25" s="170">
        <v>77.313145320001027</v>
      </c>
    </row>
    <row r="26" spans="2:12" x14ac:dyDescent="0.25">
      <c r="B26" s="165" t="s">
        <v>6</v>
      </c>
      <c r="C26" s="14">
        <v>49475.746319971244</v>
      </c>
      <c r="D26" s="170">
        <v>17.520230893648204</v>
      </c>
      <c r="E26" s="170">
        <v>16.824037840124145</v>
      </c>
      <c r="F26" s="170">
        <v>25.321354259396958</v>
      </c>
      <c r="G26" s="170">
        <v>15.369887542025644</v>
      </c>
      <c r="H26" s="170">
        <v>13.574455320634533</v>
      </c>
      <c r="I26" s="170">
        <v>21.776001224106345</v>
      </c>
      <c r="J26" s="170">
        <v>9.6132768537202793</v>
      </c>
      <c r="K26" s="170">
        <v>16.052819884560293</v>
      </c>
      <c r="L26" s="170">
        <v>27.678981965070257</v>
      </c>
    </row>
    <row r="27" spans="2:12" x14ac:dyDescent="0.25">
      <c r="B27" s="165" t="s">
        <v>7</v>
      </c>
      <c r="C27" s="14">
        <v>20836.189535136225</v>
      </c>
      <c r="D27" s="170">
        <v>7.3584735717562477</v>
      </c>
      <c r="E27" s="170">
        <v>7.6439418147629619</v>
      </c>
      <c r="F27" s="170">
        <v>7.3310475475487973</v>
      </c>
      <c r="G27" s="170">
        <v>5.7083911264401186</v>
      </c>
      <c r="H27" s="170">
        <v>4.077002875061857</v>
      </c>
      <c r="I27" s="170">
        <v>5.8728694745348005</v>
      </c>
      <c r="J27" s="170">
        <v>7.1379012070421028</v>
      </c>
      <c r="K27" s="170">
        <v>5.3386391808328861</v>
      </c>
      <c r="L27" s="170">
        <v>11.97256923586497</v>
      </c>
    </row>
    <row r="28" spans="2:12" x14ac:dyDescent="0.25">
      <c r="B28" s="165" t="s">
        <v>8</v>
      </c>
      <c r="C28" s="14">
        <v>1339764.2833351614</v>
      </c>
      <c r="D28" s="170">
        <v>33.799999999999997</v>
      </c>
      <c r="E28" s="170">
        <v>33.799999999999997</v>
      </c>
      <c r="F28" s="170">
        <v>33.799999999999997</v>
      </c>
      <c r="G28" s="170">
        <v>33.799999999999997</v>
      </c>
      <c r="H28" s="170">
        <v>33.799999999999997</v>
      </c>
      <c r="I28" s="170">
        <v>33.799999999999997</v>
      </c>
      <c r="J28" s="170">
        <v>33.799999999999997</v>
      </c>
      <c r="K28" s="170">
        <v>33.799999999999997</v>
      </c>
      <c r="L28" s="170">
        <v>33.799999999999997</v>
      </c>
    </row>
    <row r="29" spans="2:12" x14ac:dyDescent="0.25">
      <c r="B29" s="165" t="s">
        <v>9</v>
      </c>
      <c r="C29" s="14">
        <v>617141.72101696266</v>
      </c>
      <c r="D29" s="170">
        <v>23.5</v>
      </c>
      <c r="E29" s="170">
        <v>23.5</v>
      </c>
      <c r="F29" s="170">
        <v>23.5</v>
      </c>
      <c r="G29" s="170">
        <v>23.5</v>
      </c>
      <c r="H29" s="170">
        <v>23.5</v>
      </c>
      <c r="I29" s="170">
        <v>23.5</v>
      </c>
      <c r="J29" s="170">
        <v>23.5</v>
      </c>
      <c r="K29" s="170">
        <v>23.5</v>
      </c>
      <c r="L29" s="170">
        <v>23.5</v>
      </c>
    </row>
    <row r="30" spans="2:12" x14ac:dyDescent="0.25">
      <c r="B30" s="165" t="s">
        <v>10</v>
      </c>
      <c r="C30" s="14">
        <v>119784.51078433092</v>
      </c>
      <c r="D30" s="170">
        <v>23.742632694444477</v>
      </c>
      <c r="E30" s="170">
        <v>41.495772011888072</v>
      </c>
      <c r="F30" s="170">
        <v>26.214891117774812</v>
      </c>
      <c r="G30" s="170">
        <v>24.613443607903758</v>
      </c>
      <c r="H30" s="170">
        <v>15.372343482549196</v>
      </c>
      <c r="I30" s="170">
        <v>44.942843609111705</v>
      </c>
      <c r="J30" s="170">
        <v>19.922849793244371</v>
      </c>
      <c r="K30" s="170">
        <v>27.835036451662162</v>
      </c>
      <c r="L30" s="170">
        <v>58.968413233176513</v>
      </c>
    </row>
    <row r="31" spans="2:12" x14ac:dyDescent="0.25">
      <c r="B31" s="168" t="s">
        <v>11</v>
      </c>
      <c r="C31" s="169">
        <v>237021.44592026682</v>
      </c>
      <c r="D31" s="171">
        <v>21.1</v>
      </c>
      <c r="E31" s="171">
        <v>44.910297901754674</v>
      </c>
      <c r="F31" s="171">
        <v>69.122346099497079</v>
      </c>
      <c r="G31" s="171">
        <v>21.1</v>
      </c>
      <c r="H31" s="171">
        <v>38.927918102531734</v>
      </c>
      <c r="I31" s="171">
        <v>71.865197112775462</v>
      </c>
      <c r="J31" s="171">
        <v>21.1</v>
      </c>
      <c r="K31" s="171">
        <v>43.351590870161743</v>
      </c>
      <c r="L31" s="171">
        <v>82.177225932354276</v>
      </c>
    </row>
    <row r="32" spans="2:12" x14ac:dyDescent="0.25">
      <c r="B32" s="194" t="s">
        <v>215</v>
      </c>
      <c r="C32" s="191"/>
      <c r="D32" s="192">
        <f>SUM(D21:D31)</f>
        <v>294.64839126102942</v>
      </c>
      <c r="E32" s="192">
        <f t="shared" ref="E32:K32" si="0">SUM(E21:E31)</f>
        <v>290.0720178387889</v>
      </c>
      <c r="F32" s="192">
        <f t="shared" si="0"/>
        <v>356.51581572053021</v>
      </c>
      <c r="G32" s="192">
        <f t="shared" si="0"/>
        <v>276.74035840954684</v>
      </c>
      <c r="H32" s="192">
        <f t="shared" si="0"/>
        <v>297.58030145982991</v>
      </c>
      <c r="I32" s="192">
        <f t="shared" si="0"/>
        <v>323.27613686788618</v>
      </c>
      <c r="J32" s="192">
        <f t="shared" si="0"/>
        <v>276.26456972066285</v>
      </c>
      <c r="K32" s="192">
        <f t="shared" si="0"/>
        <v>342.67196351575853</v>
      </c>
      <c r="L32" s="192">
        <f>SUM(L21:L31)</f>
        <v>382.29625011632902</v>
      </c>
    </row>
    <row r="33" spans="2:12" s="2" customFormat="1" x14ac:dyDescent="0.25">
      <c r="B33" s="5"/>
      <c r="C33" s="5"/>
      <c r="D33" s="103"/>
      <c r="E33" s="103"/>
      <c r="F33" s="103"/>
      <c r="G33" s="103"/>
      <c r="H33" s="103"/>
      <c r="I33" s="103"/>
      <c r="J33" s="103"/>
      <c r="K33" s="103"/>
      <c r="L33" s="103"/>
    </row>
    <row r="34" spans="2:12" s="2" customFormat="1" x14ac:dyDescent="0.25">
      <c r="B34" s="5"/>
      <c r="C34" s="5"/>
      <c r="D34" s="103"/>
      <c r="E34" s="103"/>
      <c r="F34" s="103"/>
      <c r="G34" s="103"/>
      <c r="H34" s="103"/>
      <c r="I34" s="103"/>
      <c r="J34" s="103"/>
      <c r="K34" s="103"/>
      <c r="L34" s="103"/>
    </row>
    <row r="35" spans="2:12" s="2" customFormat="1" x14ac:dyDescent="0.25">
      <c r="B35" s="161"/>
      <c r="C35" s="161"/>
      <c r="D35" s="193"/>
      <c r="E35" s="193"/>
      <c r="F35" s="193"/>
      <c r="G35" s="193"/>
      <c r="H35" s="193"/>
      <c r="I35" s="193"/>
      <c r="J35" s="193"/>
      <c r="K35" s="193"/>
      <c r="L35" s="103"/>
    </row>
    <row r="36" spans="2:12" x14ac:dyDescent="0.25">
      <c r="B36" s="166" t="s">
        <v>61</v>
      </c>
      <c r="C36" s="167">
        <v>2010</v>
      </c>
      <c r="D36" s="167">
        <v>2011</v>
      </c>
      <c r="E36" s="167">
        <v>2012</v>
      </c>
      <c r="F36" s="167">
        <v>2013</v>
      </c>
      <c r="G36" s="167">
        <v>2014</v>
      </c>
      <c r="H36" s="167">
        <v>2015</v>
      </c>
      <c r="I36" s="167">
        <v>2016</v>
      </c>
      <c r="J36" s="172">
        <v>2017</v>
      </c>
      <c r="K36" s="167">
        <v>2018</v>
      </c>
      <c r="L36" s="5"/>
    </row>
    <row r="37" spans="2:12" x14ac:dyDescent="0.25">
      <c r="B37" s="165" t="s">
        <v>1</v>
      </c>
      <c r="C37" s="139">
        <f>D21/D4</f>
        <v>0.27178329538633011</v>
      </c>
      <c r="D37" s="139">
        <f t="shared" ref="D37:K37" si="1">E21/E4</f>
        <v>0.27055266184841753</v>
      </c>
      <c r="E37" s="139">
        <f t="shared" si="1"/>
        <v>0.1594349456878402</v>
      </c>
      <c r="F37" s="139">
        <f t="shared" si="1"/>
        <v>0.57241735304831753</v>
      </c>
      <c r="G37" s="139">
        <f t="shared" si="1"/>
        <v>0.29678674944601224</v>
      </c>
      <c r="H37" s="139">
        <f t="shared" si="1"/>
        <v>0.75749425709765605</v>
      </c>
      <c r="I37" s="139">
        <f t="shared" si="1"/>
        <v>0.68095495918641147</v>
      </c>
      <c r="J37" s="139">
        <f t="shared" si="1"/>
        <v>0.35248248813145522</v>
      </c>
      <c r="K37" s="139">
        <f t="shared" si="1"/>
        <v>1.2328742470834047</v>
      </c>
    </row>
    <row r="38" spans="2:12" x14ac:dyDescent="0.25">
      <c r="B38" s="165" t="s">
        <v>2</v>
      </c>
      <c r="C38" s="139">
        <f t="shared" ref="C38:K38" si="2">D22/D5</f>
        <v>0.85439027040997095</v>
      </c>
      <c r="D38" s="139">
        <f t="shared" si="2"/>
        <v>1.3151447597105792E-2</v>
      </c>
      <c r="E38" s="139">
        <f t="shared" si="2"/>
        <v>0.8223673830884789</v>
      </c>
      <c r="F38" s="139">
        <f t="shared" si="2"/>
        <v>1.4231107652008456E-3</v>
      </c>
      <c r="G38" s="139">
        <f t="shared" si="2"/>
        <v>0</v>
      </c>
      <c r="H38" s="139">
        <f t="shared" si="2"/>
        <v>0.16872102591669461</v>
      </c>
      <c r="I38" s="139">
        <f t="shared" si="2"/>
        <v>0</v>
      </c>
      <c r="J38" s="139">
        <f t="shared" si="2"/>
        <v>0</v>
      </c>
      <c r="K38" s="139">
        <f t="shared" si="2"/>
        <v>0.36338273338224963</v>
      </c>
    </row>
    <row r="39" spans="2:12" x14ac:dyDescent="0.25">
      <c r="B39" s="165" t="s">
        <v>3</v>
      </c>
      <c r="C39" s="139">
        <f t="shared" ref="C39:K39" si="3">D23/D6</f>
        <v>0.81562756187006102</v>
      </c>
      <c r="D39" s="139">
        <f t="shared" si="3"/>
        <v>0.8001055148813625</v>
      </c>
      <c r="E39" s="139">
        <f t="shared" si="3"/>
        <v>0.78487886490225856</v>
      </c>
      <c r="F39" s="139">
        <f t="shared" si="3"/>
        <v>0.76994199029062038</v>
      </c>
      <c r="G39" s="139">
        <f t="shared" si="3"/>
        <v>0.75528937638867988</v>
      </c>
      <c r="H39" s="139">
        <f t="shared" si="3"/>
        <v>0.74091561348703139</v>
      </c>
      <c r="I39" s="139">
        <f t="shared" si="3"/>
        <v>0.72681539482738022</v>
      </c>
      <c r="J39" s="139">
        <f t="shared" si="3"/>
        <v>0.71298351464330012</v>
      </c>
      <c r="K39" s="139">
        <f t="shared" si="3"/>
        <v>0.69941486623827742</v>
      </c>
    </row>
    <row r="40" spans="2:12" x14ac:dyDescent="0.25">
      <c r="B40" s="165" t="s">
        <v>4</v>
      </c>
      <c r="C40" s="139">
        <f t="shared" ref="C40:K40" si="4">D24/D7</f>
        <v>3.1229213114031329</v>
      </c>
      <c r="D40" s="139">
        <f t="shared" si="4"/>
        <v>0</v>
      </c>
      <c r="E40" s="139">
        <f t="shared" si="4"/>
        <v>2.5994105927136002</v>
      </c>
      <c r="F40" s="139">
        <f t="shared" si="4"/>
        <v>0.39108182266645358</v>
      </c>
      <c r="G40" s="139">
        <f t="shared" si="4"/>
        <v>2.0888082353658524</v>
      </c>
      <c r="H40" s="139">
        <f t="shared" si="4"/>
        <v>0.53976947713851808</v>
      </c>
      <c r="I40" s="139">
        <f t="shared" si="4"/>
        <v>1.413594496869641</v>
      </c>
      <c r="J40" s="139">
        <f t="shared" si="4"/>
        <v>2.647518565213423</v>
      </c>
      <c r="K40" s="139">
        <f t="shared" si="4"/>
        <v>1.5228174172507212</v>
      </c>
    </row>
    <row r="41" spans="2:12" x14ac:dyDescent="0.25">
      <c r="B41" s="165" t="s">
        <v>5</v>
      </c>
      <c r="C41" s="139">
        <f t="shared" ref="C41:K41" si="5">D25/D8</f>
        <v>3.4760945748585788</v>
      </c>
      <c r="D41" s="139">
        <f t="shared" si="5"/>
        <v>2.0854775064978526</v>
      </c>
      <c r="E41" s="139">
        <f t="shared" si="5"/>
        <v>3.4352457256373299</v>
      </c>
      <c r="F41" s="139">
        <f t="shared" si="5"/>
        <v>2.8612498187733459</v>
      </c>
      <c r="G41" s="139">
        <f t="shared" si="5"/>
        <v>3.2342794121418743</v>
      </c>
      <c r="H41" s="139">
        <f t="shared" si="5"/>
        <v>1.7457726367079536</v>
      </c>
      <c r="I41" s="139">
        <f t="shared" si="5"/>
        <v>2.8197835315807644</v>
      </c>
      <c r="J41" s="139">
        <f t="shared" si="5"/>
        <v>3.623174568859826</v>
      </c>
      <c r="K41" s="139">
        <f t="shared" si="5"/>
        <v>2.0805182989386197</v>
      </c>
    </row>
    <row r="42" spans="2:12" x14ac:dyDescent="0.25">
      <c r="B42" s="165" t="s">
        <v>6</v>
      </c>
      <c r="C42" s="139">
        <f t="shared" ref="C42:K42" si="6">D26/D9</f>
        <v>1.1118347729899416</v>
      </c>
      <c r="D42" s="139">
        <f t="shared" si="6"/>
        <v>1.0438544439153981</v>
      </c>
      <c r="E42" s="139">
        <f t="shared" si="6"/>
        <v>1.5360519992014328</v>
      </c>
      <c r="F42" s="139">
        <f t="shared" si="6"/>
        <v>0.91158875473185697</v>
      </c>
      <c r="G42" s="139">
        <f t="shared" si="6"/>
        <v>0.78715446327276606</v>
      </c>
      <c r="H42" s="139">
        <f t="shared" si="6"/>
        <v>1.2345962764961005</v>
      </c>
      <c r="I42" s="139">
        <f t="shared" si="6"/>
        <v>0.53287771817610796</v>
      </c>
      <c r="J42" s="139">
        <f t="shared" si="6"/>
        <v>0.86999493595369892</v>
      </c>
      <c r="K42" s="139">
        <f t="shared" si="6"/>
        <v>1.4666442542418028</v>
      </c>
    </row>
    <row r="43" spans="2:12" x14ac:dyDescent="0.25">
      <c r="B43" s="165" t="s">
        <v>7</v>
      </c>
      <c r="C43" s="139">
        <f t="shared" ref="C43:K43" si="7">D27/D10</f>
        <v>0.83081394267832875</v>
      </c>
      <c r="D43" s="139">
        <f t="shared" si="7"/>
        <v>0.84133841626661277</v>
      </c>
      <c r="E43" s="139">
        <f t="shared" si="7"/>
        <v>0.78660497455315337</v>
      </c>
      <c r="F43" s="139">
        <f t="shared" si="7"/>
        <v>0.59709258782588914</v>
      </c>
      <c r="G43" s="139">
        <f t="shared" si="7"/>
        <v>0.41572513268480937</v>
      </c>
      <c r="H43" s="139">
        <f t="shared" si="7"/>
        <v>0.5837849798046878</v>
      </c>
      <c r="I43" s="139">
        <f t="shared" si="7"/>
        <v>0.69168826271516293</v>
      </c>
      <c r="J43" s="139">
        <f t="shared" si="7"/>
        <v>0.50432180769235069</v>
      </c>
      <c r="K43" s="139">
        <f t="shared" si="7"/>
        <v>1.1025590063029929</v>
      </c>
    </row>
    <row r="44" spans="2:12" x14ac:dyDescent="0.25">
      <c r="B44" s="165" t="s">
        <v>8</v>
      </c>
      <c r="C44" s="139">
        <f t="shared" ref="C44:K44" si="8">D28/D11</f>
        <v>1.16081853194659</v>
      </c>
      <c r="D44" s="139">
        <f t="shared" si="8"/>
        <v>1.1333904822755223</v>
      </c>
      <c r="E44" s="139">
        <f t="shared" si="8"/>
        <v>1.1066105079823494</v>
      </c>
      <c r="F44" s="139">
        <f t="shared" si="8"/>
        <v>1.0804632962139713</v>
      </c>
      <c r="G44" s="139">
        <f t="shared" si="8"/>
        <v>1.0549338959324071</v>
      </c>
      <c r="H44" s="139">
        <f t="shared" si="8"/>
        <v>1.0300077093657558</v>
      </c>
      <c r="I44" s="139">
        <f t="shared" si="8"/>
        <v>1.0056704836611559</v>
      </c>
      <c r="J44" s="139">
        <f t="shared" si="8"/>
        <v>0.98190830273496954</v>
      </c>
      <c r="K44" s="139">
        <f t="shared" si="8"/>
        <v>0.95870757931553374</v>
      </c>
    </row>
    <row r="45" spans="2:12" x14ac:dyDescent="0.25">
      <c r="B45" s="165" t="s">
        <v>9</v>
      </c>
      <c r="C45" s="139">
        <f t="shared" ref="C45:K45" si="9">D29/D12</f>
        <v>2.42542151641294</v>
      </c>
      <c r="D45" s="139">
        <f t="shared" si="9"/>
        <v>2.3968984251536121</v>
      </c>
      <c r="E45" s="139">
        <f t="shared" si="9"/>
        <v>2.3687107670260024</v>
      </c>
      <c r="F45" s="139">
        <f t="shared" si="9"/>
        <v>2.3408545973179189</v>
      </c>
      <c r="G45" s="139">
        <f t="shared" si="9"/>
        <v>2.3133260177072033</v>
      </c>
      <c r="H45" s="139">
        <f t="shared" si="9"/>
        <v>2.2861211757161808</v>
      </c>
      <c r="I45" s="139">
        <f t="shared" si="9"/>
        <v>2.2592362641725274</v>
      </c>
      <c r="J45" s="139">
        <f t="shared" si="9"/>
        <v>2.2326675206764777</v>
      </c>
      <c r="K45" s="139">
        <f t="shared" si="9"/>
        <v>2.2064112270742933</v>
      </c>
    </row>
    <row r="46" spans="2:12" x14ac:dyDescent="0.25">
      <c r="B46" s="165" t="s">
        <v>10</v>
      </c>
      <c r="C46" s="139">
        <f t="shared" ref="C46:K46" si="10">D30/D13</f>
        <v>2.6546837049714358</v>
      </c>
      <c r="D46" s="139">
        <f t="shared" si="10"/>
        <v>4.505415735471308</v>
      </c>
      <c r="E46" s="139">
        <f t="shared" si="10"/>
        <v>2.7639246133684017</v>
      </c>
      <c r="F46" s="139">
        <f t="shared" si="10"/>
        <v>2.5199830911643062</v>
      </c>
      <c r="G46" s="139">
        <f t="shared" si="10"/>
        <v>1.5283134671499323</v>
      </c>
      <c r="H46" s="139">
        <f t="shared" si="10"/>
        <v>4.3389037889990973</v>
      </c>
      <c r="I46" s="139">
        <f t="shared" si="10"/>
        <v>1.8677469927784924</v>
      </c>
      <c r="J46" s="139">
        <f t="shared" si="10"/>
        <v>2.5339934740191672</v>
      </c>
      <c r="K46" s="139">
        <f t="shared" si="10"/>
        <v>5.2129102982361903</v>
      </c>
    </row>
    <row r="47" spans="2:12" x14ac:dyDescent="0.25">
      <c r="B47" s="168" t="s">
        <v>11</v>
      </c>
      <c r="C47" s="163">
        <f t="shared" ref="C47:K47" si="11">D31/D14</f>
        <v>0.69778238624220423</v>
      </c>
      <c r="D47" s="163">
        <f t="shared" si="11"/>
        <v>1.4374709794415288</v>
      </c>
      <c r="E47" s="163">
        <f t="shared" si="11"/>
        <v>2.1413478537710087</v>
      </c>
      <c r="F47" s="163">
        <f t="shared" si="11"/>
        <v>0.63265480387996398</v>
      </c>
      <c r="G47" s="163">
        <f t="shared" si="11"/>
        <v>1.1296948142802334</v>
      </c>
      <c r="H47" s="163">
        <f t="shared" si="11"/>
        <v>2.0185252242184188</v>
      </c>
      <c r="I47" s="163">
        <f t="shared" si="11"/>
        <v>0.57360591032956498</v>
      </c>
      <c r="J47" s="163">
        <f t="shared" si="11"/>
        <v>1.1406484223914835</v>
      </c>
      <c r="K47" s="163">
        <f t="shared" si="11"/>
        <v>2.0927331022497557</v>
      </c>
    </row>
  </sheetData>
  <mergeCells count="2">
    <mergeCell ref="B2:L2"/>
    <mergeCell ref="B19:L19"/>
  </mergeCells>
  <pageMargins left="0.7" right="0.7" top="0.75" bottom="0.75" header="0.3" footer="0.3"/>
  <pageSetup paperSize="9" orientation="portrait" r:id="rId1"/>
  <ignoredErrors>
    <ignoredError sqref="I32:L32 D32:H32"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Annual_sorted</vt:lpstr>
      <vt:lpstr>Gini_2017</vt:lpstr>
      <vt:lpstr>Envy Freeness_2018</vt:lpstr>
      <vt:lpstr>Gini_2018</vt:lpstr>
      <vt:lpstr>Sheet4</vt:lpstr>
      <vt:lpstr>Gini_format</vt:lpstr>
      <vt:lpstr>Utilitarianism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 Dehati</dc:creator>
  <cp:lastModifiedBy>Suzan Dehati</cp:lastModifiedBy>
  <dcterms:created xsi:type="dcterms:W3CDTF">2023-03-03T08:05:22Z</dcterms:created>
  <dcterms:modified xsi:type="dcterms:W3CDTF">2023-03-30T09:40:09Z</dcterms:modified>
</cp:coreProperties>
</file>